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Default Extension="vml" ContentType="application/vnd.openxmlformats-officedocument.vmlDrawing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.152.147\dreal\Sel\UACTE\09_Climat\09_Label_Bas_Carbone\11_Projets\32_En cours instruction\2024PACVER001 Amandiers\"/>
    </mc:Choice>
  </mc:AlternateContent>
  <bookViews>
    <workbookView xWindow="-120" yWindow="-120" windowWidth="20730" windowHeight="11160" firstSheet="2" activeTab="7"/>
  </bookViews>
  <sheets>
    <sheet name="Accueil" sheetId="11" r:id="rId3"/>
    <sheet name="Eligibilité_projet" sheetId="2" r:id="rId4"/>
    <sheet name="RECeff + REIamont (1)" sheetId="4" r:id="rId5"/>
    <sheet name="RECeff + REIamont (2)" sheetId="5" r:id="rId6"/>
    <sheet name="REIaval" sheetId="8" r:id="rId7"/>
    <sheet name="RECant_biom" sheetId="9" r:id="rId8"/>
    <sheet name="RECant_sol" sheetId="10" r:id="rId9"/>
    <sheet name="RE" sheetId="6" r:id="rId10"/>
    <sheet name="(ne pas modifier) BDD_REF" sheetId="1" state="hidden" r:id="rId11"/>
    <sheet name="(ne pas modifier) LISTES" sheetId="3" state="hidden" r:id="rId12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</calcChain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rFont val="Tahoma"/>
            <family val="2"/>
          </rPr>
          <t xml:space="preserve">MYNARD Louise
</t>
        </r>
        <r>
          <rPr>
            <sz val="9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<sst xmlns="http://schemas.openxmlformats.org/spreadsheetml/2006/main" count="892" uniqueCount="353">
  <si>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</si>
  <si>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</si>
  <si>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</si>
  <si>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</si>
  <si>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</si>
  <si>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</si>
  <si>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</si>
  <si>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</si>
  <si>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</si>
  <si>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</si>
  <si>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</si>
  <si>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</si>
  <si>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</si>
  <si>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</si>
  <si>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</si>
  <si>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</si>
  <si>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</si>
  <si>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</si>
  <si>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</si>
  <si>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</si>
  <si>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</si>
  <si>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</si>
  <si>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</si>
  <si>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</si>
  <si>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</si>
  <si>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</si>
  <si>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</si>
  <si>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</si>
  <si>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</si>
  <si>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</si>
  <si>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</si>
  <si>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</si>
  <si>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</si>
  <si>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</si>
  <si>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</si>
  <si>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</si>
  <si>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</si>
  <si>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</si>
  <si>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</si>
  <si>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</si>
  <si>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</si>
  <si>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</si>
  <si>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</si>
  <si>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</si>
  <si>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</si>
  <si>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</si>
  <si>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</si>
  <si>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</si>
  <si>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</si>
  <si>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</si>
  <si>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</si>
  <si>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</si>
  <si>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</si>
  <si>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</si>
  <si>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</si>
  <si>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</si>
  <si>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</si>
  <si>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</si>
  <si>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</si>
  <si>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</si>
  <si>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</si>
  <si>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</si>
  <si>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</si>
  <si>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</si>
  <si>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</si>
  <si>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</si>
  <si>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</si>
  <si>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</si>
  <si>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</si>
  <si>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</si>
  <si>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</si>
  <si>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</si>
  <si>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</si>
  <si>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</si>
  <si>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</si>
  <si>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</si>
  <si>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</si>
  <si>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</si>
  <si>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</si>
  <si>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</si>
  <si>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</si>
  <si>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</si>
  <si>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</si>
  <si>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</si>
  <si>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</si>
  <si>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</si>
  <si>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</si>
  <si>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</si>
  <si>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</si>
  <si>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</si>
  <si>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</si>
  <si>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</si>
  <si>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</si>
  <si>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</si>
  <si>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</si>
  <si>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</si>
  <si>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</si>
  <si>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</si>
  <si>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</si>
  <si>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</si>
  <si>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</si>
  <si>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</si>
  <si>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</si>
  <si>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</si>
  <si>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</si>
  <si>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</si>
  <si>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</si>
  <si>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</si>
  <si>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</si>
  <si>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</si>
  <si>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</si>
  <si>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</si>
  <si>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</si>
  <si>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</si>
  <si>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</si>
  <si>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</si>
  <si>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</si>
  <si>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</si>
  <si>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</si>
  <si>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</si>
  <si>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</si>
  <si>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</si>
  <si>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</si>
  <si>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</si>
  <si>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</si>
  <si>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</si>
  <si>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</si>
  <si>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</si>
  <si>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</si>
  <si>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</si>
  <si>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</si>
  <si>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</si>
  <si>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</si>
  <si>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</si>
  <si>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</si>
  <si>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</si>
  <si>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</si>
  <si>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</si>
  <si>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</si>
  <si>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</si>
  <si>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</si>
  <si>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</si>
  <si>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</si>
  <si>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</si>
  <si>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</si>
  <si>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</si>
  <si>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</si>
  <si>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</si>
  <si>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</si>
  <si>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</si>
  <si>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</si>
  <si>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</si>
  <si>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</si>
  <si>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</si>
  <si>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</si>
  <si>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</si>
  <si>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</si>
  <si>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</si>
  <si>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</si>
  <si>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</si>
  <si>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</si>
  <si>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</si>
  <si>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</si>
  <si>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</si>
  <si>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</si>
  <si>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</si>
  <si>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</si>
  <si>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</si>
  <si>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</si>
  <si>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</si>
  <si>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</si>
  <si>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</si>
  <si>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</si>
  <si>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</si>
  <si>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</si>
  <si>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</si>
  <si>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</si>
  <si>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</si>
  <si>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</si>
  <si>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</si>
  <si>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</si>
  <si>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</si>
  <si>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</si>
  <si>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</si>
  <si>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</si>
  <si>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</si>
  <si>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</si>
  <si>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</si>
  <si>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</si>
  <si>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</si>
  <si>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</si>
  <si>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</si>
  <si>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</si>
  <si>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</si>
  <si>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</si>
  <si>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</si>
  <si>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</si>
  <si>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</si>
  <si>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</si>
  <si>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</si>
  <si>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</si>
  <si>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</si>
  <si>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</si>
  <si>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</si>
  <si>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</si>
  <si>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</si>
  <si>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</si>
  <si>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</si>
  <si>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</si>
  <si>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</si>
  <si>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</si>
  <si>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</si>
  <si>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</si>
  <si>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</si>
  <si>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</si>
  <si>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</si>
  <si>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</si>
  <si>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</si>
  <si>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</si>
  <si>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</si>
  <si>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</si>
  <si>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</si>
  <si>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</si>
  <si>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</si>
  <si>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</si>
  <si>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</si>
  <si>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</si>
  <si>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</si>
  <si>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</si>
  <si>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</si>
  <si>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</si>
  <si>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</si>
  <si>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</si>
  <si>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</si>
  <si>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</si>
  <si>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</si>
  <si>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</si>
  <si>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</si>
  <si>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</si>
  <si>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</si>
  <si>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</si>
  <si>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</si>
  <si>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</si>
  <si>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</si>
  <si>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</si>
  <si>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</si>
  <si>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</si>
  <si>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</si>
  <si>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</si>
  <si>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</si>
  <si>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</si>
  <si>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</si>
  <si>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</si>
  <si>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</si>
  <si>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</si>
  <si>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</si>
  <si>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</si>
  <si>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</si>
  <si>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</si>
  <si>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</si>
  <si>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</si>
  <si>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</si>
  <si>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</si>
  <si>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</si>
  <si>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</si>
  <si>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</si>
  <si>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</si>
  <si>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</si>
  <si>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</si>
  <si>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</si>
  <si>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</si>
  <si>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</si>
  <si>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</si>
  <si>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</si>
  <si>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</si>
  <si>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</si>
  <si>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</si>
  <si>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</si>
  <si>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</si>
  <si>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</si>
  <si>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</si>
  <si>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</si>
  <si>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</si>
  <si>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</si>
  <si>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</si>
  <si>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</si>
  <si>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</si>
  <si>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</si>
  <si>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</si>
  <si>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</si>
  <si>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</si>
  <si>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</si>
  <si>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</si>
  <si>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</si>
  <si>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</si>
  <si>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</si>
  <si>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</si>
  <si>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</si>
  <si>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</si>
  <si>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</si>
  <si>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</si>
  <si>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</si>
  <si>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</si>
  <si>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</si>
  <si>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</si>
  <si>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</si>
  <si>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</si>
  <si>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</si>
  <si>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</si>
  <si>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</si>
  <si>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</si>
  <si>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</si>
  <si>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</si>
  <si>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</si>
  <si>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</si>
  <si>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</si>
  <si>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</si>
  <si>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</si>
  <si>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</si>
  <si>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</si>
  <si>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</si>
  <si>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</si>
  <si>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</si>
  <si>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</si>
  <si>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</si>
  <si>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</si>
  <si>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</si>
  <si>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</si>
  <si>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</si>
  <si>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</si>
  <si>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</si>
  <si>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</si>
  <si>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</si>
  <si>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</si>
  <si>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</si>
  <si>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 val="single"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 val="single"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 val="single"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 val="single"/>
        <sz val="14"/>
        <color theme="1"/>
        <rFont val="Calibri"/>
        <family val="2"/>
        <scheme val="minor"/>
      </rPr>
      <t>RECeff + REIamont (2)</t>
    </r>
    <r>
      <rPr>
        <u val="single"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 val="single"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 val="single"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 val="single"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 val="single"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 val="single"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</si>
  <si>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</si>
  <si>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</si>
  <si>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</si>
  <si>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7669994831085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7669994831085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7669994831085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</si>
  <si>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</si>
  <si>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</si>
  <si>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</si>
  <si>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</si>
  <si>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</si>
  <si>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</si>
  <si>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</si>
  <si>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</si>
  <si>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</si>
  <si>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</si>
  <si>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</si>
  <si>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Lambesc</t>
  </si>
  <si>
    <t>méditérranéen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</si>
</sst>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 val="single"/>
      <sz val="14"/>
      <color theme="1"/>
      <name val="Calibri"/>
      <family val="2"/>
      <scheme val="minor"/>
    </font>
    <font>
      <b/>
      <u val="single"/>
      <sz val="14"/>
      <color theme="1"/>
      <name val="Calibri"/>
      <family val="2"/>
      <scheme val="minor"/>
    </font>
    <font>
      <u val="single"/>
      <sz val="14"/>
      <color theme="1"/>
      <name val="Calibri"/>
      <family val="2"/>
    </font>
    <font>
      <sz val="12"/>
      <color theme="4" tint="-0.24766999483108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0.147689998149872"/>
        <bgColor indexed="64"/>
      </patternFill>
    </fill>
    <fill>
      <patternFill patternType="solid">
        <fgColor theme="4" tint="0.7999500036239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0029125214"/>
        <bgColor indexed="64"/>
      </patternFill>
    </fill>
    <fill>
      <patternFill patternType="solid">
        <fgColor theme="0" tint="-0.0476800017058849"/>
        <bgColor indexed="64"/>
      </patternFill>
    </fill>
    <fill>
      <patternFill patternType="solid">
        <fgColor theme="8" tint="-0.247669994831085"/>
        <bgColor indexed="64"/>
      </patternFill>
    </fill>
    <fill>
      <patternFill patternType="solid">
        <fgColor theme="8" tint="-0.49768000841140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2476699948310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60029125214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2F76B6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thin">
        <color theme="1" tint="0.499949991703033"/>
      </left>
      <right/>
      <top/>
      <bottom/>
    </border>
    <border>
      <left style="thin">
        <color theme="1" tint="0.499949991703033"/>
      </left>
      <right style="thin">
        <color theme="1" tint="0.499949991703033"/>
      </right>
      <top style="thin">
        <color theme="1" tint="0.499949991703033"/>
      </top>
      <bottom style="thin">
        <color theme="1" tint="0.499949991703033"/>
      </bottom>
    </border>
    <border>
      <left style="thin">
        <color theme="1" tint="0.499949991703033"/>
      </left>
      <right style="thin">
        <color theme="1" tint="0.499949991703033"/>
      </right>
      <top/>
      <bottom style="thin">
        <color theme="1" tint="0.499949991703033"/>
      </bottom>
    </border>
    <border>
      <left style="thin">
        <color theme="1" tint="0.499949991703033"/>
      </left>
      <right style="thin">
        <color theme="1" tint="0.499949991703033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theme="1" tint="0.499949991703033"/>
      </left>
      <right style="thin">
        <color theme="1" tint="0.499949991703033"/>
      </right>
      <top style="thin">
        <color theme="1" tint="0.499949991703033"/>
      </top>
      <bottom/>
    </border>
    <border>
      <left/>
      <right style="thin">
        <color theme="1" tint="0.499949991703033"/>
      </right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theme="1" tint="0.499949991703033"/>
      </left>
      <right/>
      <top style="thin">
        <color theme="1" tint="0.499949991703033"/>
      </top>
      <bottom style="thin">
        <color theme="1" tint="0.499949991703033"/>
      </bottom>
    </border>
    <border>
      <left/>
      <right style="thin">
        <color theme="1" tint="0.499949991703033"/>
      </right>
      <top style="thin">
        <color theme="1" tint="0.499949991703033"/>
      </top>
      <bottom style="thin">
        <color theme="1" tint="0.499949991703033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/>
      <top/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5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/>
    </xf>
    <xf numFmtId="0" fontId="2" fillId="2" borderId="2" xfId="0" applyFont="1" applyFill="1" applyBorder="1" applyAlignment="1" applyProtection="1">
      <alignment horizontal="center" vertical="center" wrapText="1"/>
      <protection/>
    </xf>
    <xf numFmtId="0" fontId="2" fillId="2" borderId="3" xfId="0" applyFont="1" applyFill="1" applyBorder="1" applyAlignment="1" applyProtection="1">
      <alignment horizontal="center" vertical="center" wrapText="1"/>
      <protection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24" fillId="5" borderId="0" xfId="0" applyFont="1" applyFill="1" applyBorder="1" applyAlignment="1" applyProtection="1">
      <alignment horizontal="center" vertical="center" wrapText="1"/>
      <protection/>
    </xf>
    <xf numFmtId="0" fontId="24" fillId="5" borderId="12" xfId="0" applyFont="1" applyFill="1" applyBorder="1" applyAlignment="1" applyProtection="1">
      <alignment horizontal="center" vertical="center" wrapText="1"/>
      <protection/>
    </xf>
    <xf numFmtId="0" fontId="0" fillId="4" borderId="13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3" xfId="0" applyFont="1" applyFill="1" applyBorder="1" applyAlignment="1" applyProtection="1">
      <alignment vertical="center" wrapText="1"/>
      <protection/>
    </xf>
    <xf numFmtId="0" fontId="8" fillId="6" borderId="13" xfId="0" applyFont="1" applyFill="1" applyBorder="1" applyAlignment="1" applyProtection="1">
      <alignment horizontal="left" vertical="center" wrapText="1" indent="1"/>
      <protection/>
    </xf>
    <xf numFmtId="0" fontId="0" fillId="7" borderId="0" xfId="0" applyFont="1" applyFill="1" applyBorder="1" applyAlignment="1" applyProtection="1">
      <alignment vertical="center" wrapText="1"/>
      <protection/>
    </xf>
    <xf numFmtId="0" fontId="2" fillId="6" borderId="14" xfId="0" applyFont="1" applyFill="1" applyBorder="1" applyAlignment="1" applyProtection="1">
      <alignment vertical="center" wrapText="1"/>
      <protection/>
    </xf>
    <xf numFmtId="0" fontId="0" fillId="6" borderId="13" xfId="0" applyFont="1" applyFill="1" applyBorder="1" applyAlignment="1" applyProtection="1">
      <alignment vertical="center" wrapText="1"/>
      <protection/>
    </xf>
    <xf numFmtId="0" fontId="0" fillId="0" borderId="0" xfId="0" applyProtection="1">
      <protection/>
    </xf>
    <xf numFmtId="0" fontId="2" fillId="5" borderId="14" xfId="0" applyFont="1" applyFill="1" applyBorder="1" applyAlignment="1" applyProtection="1">
      <alignment vertical="center" wrapText="1"/>
      <protection/>
    </xf>
    <xf numFmtId="9" fontId="0" fillId="7" borderId="0" xfId="20" applyFont="1" applyFill="1" applyBorder="1" applyProtection="1">
      <protection/>
    </xf>
    <xf numFmtId="9" fontId="0" fillId="8" borderId="13" xfId="20" applyFont="1" applyFill="1" applyBorder="1" applyProtection="1">
      <protection/>
    </xf>
    <xf numFmtId="165" fontId="0" fillId="8" borderId="13" xfId="21" applyNumberFormat="1" applyFont="1" applyFill="1" applyBorder="1" applyProtection="1">
      <protection/>
    </xf>
    <xf numFmtId="9" fontId="0" fillId="8" borderId="13" xfId="20" applyFont="1" applyFill="1" applyBorder="1" applyAlignment="1" applyProtection="1">
      <alignment horizontal="center"/>
      <protection/>
    </xf>
    <xf numFmtId="0" fontId="2" fillId="6" borderId="13" xfId="0" applyFont="1" applyFill="1" applyBorder="1" applyAlignment="1" applyProtection="1">
      <alignment horizontal="center" vertical="center" wrapText="1"/>
      <protection/>
    </xf>
    <xf numFmtId="0" fontId="2" fillId="6" borderId="15" xfId="0" applyFont="1" applyFill="1" applyBorder="1" applyAlignment="1" applyProtection="1">
      <alignment horizontal="center" vertical="center" wrapText="1"/>
      <protection/>
    </xf>
    <xf numFmtId="2" fontId="0" fillId="9" borderId="13" xfId="21" applyNumberFormat="1" applyFont="1" applyFill="1" applyBorder="1" applyAlignment="1" applyProtection="1">
      <alignment horizontal="right"/>
      <protection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/>
    </xf>
    <xf numFmtId="0" fontId="2" fillId="0" borderId="0" xfId="0" applyFont="1" applyAlignment="1" applyProtection="1">
      <alignment horizontal="center" vertical="center"/>
      <protection/>
    </xf>
    <xf numFmtId="0" fontId="2" fillId="10" borderId="13" xfId="0" applyFont="1" applyFill="1" applyBorder="1" applyAlignment="1" applyProtection="1">
      <alignment vertical="center" wrapText="1"/>
      <protection/>
    </xf>
    <xf numFmtId="0" fontId="9" fillId="11" borderId="13" xfId="0" applyFont="1" applyFill="1" applyBorder="1" applyAlignment="1" applyProtection="1">
      <alignment vertical="center" wrapText="1"/>
      <protection/>
    </xf>
    <xf numFmtId="0" fontId="9" fillId="12" borderId="13" xfId="0" applyFont="1" applyFill="1" applyBorder="1" applyAlignment="1" applyProtection="1">
      <alignment vertical="center" wrapText="1"/>
      <protection/>
    </xf>
    <xf numFmtId="164" fontId="0" fillId="9" borderId="13" xfId="21" applyFont="1" applyFill="1" applyBorder="1" applyAlignment="1" applyProtection="1">
      <alignment/>
      <protection/>
    </xf>
    <xf numFmtId="0" fontId="2" fillId="0" borderId="0" xfId="0" applyFont="1" applyProtection="1">
      <protection/>
    </xf>
    <xf numFmtId="164" fontId="9" fillId="12" borderId="13" xfId="0" applyNumberFormat="1" applyFont="1" applyFill="1" applyBorder="1" applyAlignment="1" applyProtection="1">
      <alignment vertical="center" wrapText="1"/>
      <protection/>
    </xf>
    <xf numFmtId="2" fontId="0" fillId="4" borderId="13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4" borderId="13" xfId="20" applyFont="1" applyFill="1" applyBorder="1" applyProtection="1">
      <protection locked="0"/>
    </xf>
    <xf numFmtId="164" fontId="0" fillId="4" borderId="13" xfId="21" applyFont="1" applyFill="1" applyBorder="1" applyProtection="1">
      <protection locked="0"/>
    </xf>
    <xf numFmtId="164" fontId="0" fillId="4" borderId="13" xfId="21" applyFon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right"/>
      <protection locked="0"/>
    </xf>
    <xf numFmtId="164" fontId="0" fillId="4" borderId="13" xfId="21" applyFont="1" applyFill="1" applyBorder="1" applyAlignment="1" applyProtection="1">
      <alignment/>
      <protection locked="0"/>
    </xf>
    <xf numFmtId="167" fontId="0" fillId="0" borderId="16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/>
    </xf>
    <xf numFmtId="0" fontId="2" fillId="10" borderId="13" xfId="0" applyFont="1" applyFill="1" applyBorder="1" applyAlignment="1" applyProtection="1">
      <alignment horizontal="center" vertical="center" wrapText="1"/>
      <protection/>
    </xf>
    <xf numFmtId="0" fontId="0" fillId="0" borderId="16" xfId="0" applyBorder="1" applyAlignment="1" applyProtection="1">
      <alignment wrapText="1"/>
      <protection/>
    </xf>
    <xf numFmtId="0" fontId="9" fillId="12" borderId="17" xfId="0" applyFont="1" applyFill="1" applyBorder="1" applyAlignment="1" applyProtection="1">
      <alignment vertical="center" wrapText="1"/>
      <protection/>
    </xf>
    <xf numFmtId="0" fontId="0" fillId="0" borderId="0" xfId="0" applyBorder="1" applyAlignment="1" applyProtection="1">
      <alignment wrapText="1"/>
      <protection/>
    </xf>
    <xf numFmtId="0" fontId="0" fillId="0" borderId="16" xfId="0" applyBorder="1" applyProtection="1">
      <protection/>
    </xf>
    <xf numFmtId="0" fontId="0" fillId="9" borderId="13" xfId="21" applyNumberFormat="1" applyFont="1" applyFill="1" applyBorder="1" applyAlignment="1" applyProtection="1">
      <alignment/>
      <protection/>
    </xf>
    <xf numFmtId="165" fontId="0" fillId="9" borderId="13" xfId="21" applyNumberFormat="1" applyFont="1" applyFill="1" applyBorder="1" applyAlignment="1" applyProtection="1">
      <alignment/>
      <protection/>
    </xf>
    <xf numFmtId="0" fontId="2" fillId="0" borderId="0" xfId="0" applyFont="1" applyAlignment="1" applyProtection="1">
      <alignment horizontal="right"/>
      <protection/>
    </xf>
    <xf numFmtId="2" fontId="2" fillId="10" borderId="13" xfId="0" applyNumberFormat="1" applyFont="1" applyFill="1" applyBorder="1" applyAlignment="1" applyProtection="1">
      <alignment vertical="center" wrapText="1"/>
      <protection/>
    </xf>
    <xf numFmtId="0" fontId="0" fillId="8" borderId="13" xfId="0" applyFill="1" applyBorder="1" applyAlignment="1" applyProtection="1">
      <alignment wrapText="1"/>
      <protection/>
    </xf>
    <xf numFmtId="0" fontId="0" fillId="8" borderId="13" xfId="0" applyFill="1" applyBorder="1" applyProtection="1">
      <protection/>
    </xf>
    <xf numFmtId="2" fontId="0" fillId="8" borderId="13" xfId="0" applyNumberFormat="1" applyFill="1" applyBorder="1" applyProtection="1">
      <protection/>
    </xf>
    <xf numFmtId="0" fontId="0" fillId="6" borderId="15" xfId="0" applyFont="1" applyFill="1" applyBorder="1" applyAlignment="1" applyProtection="1">
      <alignment vertical="center" wrapText="1"/>
      <protection/>
    </xf>
    <xf numFmtId="0" fontId="2" fillId="13" borderId="16" xfId="0" applyFont="1" applyFill="1" applyBorder="1" applyAlignment="1" applyProtection="1">
      <alignment horizontal="left"/>
      <protection/>
    </xf>
    <xf numFmtId="0" fontId="2" fillId="13" borderId="16" xfId="0" applyFont="1" applyFill="1" applyBorder="1" applyAlignment="1" applyProtection="1">
      <alignment vertical="center"/>
      <protection/>
    </xf>
    <xf numFmtId="0" fontId="2" fillId="13" borderId="16" xfId="0" applyFont="1" applyFill="1" applyBorder="1" applyAlignment="1" applyProtection="1">
      <alignment wrapText="1"/>
      <protection/>
    </xf>
    <xf numFmtId="0" fontId="0" fillId="0" borderId="0" xfId="0" applyAlignment="1" applyProtection="1">
      <alignment vertical="center" wrapText="1"/>
      <protection/>
    </xf>
    <xf numFmtId="0" fontId="0" fillId="0" borderId="16" xfId="0" applyBorder="1" applyAlignment="1" applyProtection="1">
      <alignment vertical="center" wrapText="1"/>
      <protection/>
    </xf>
    <xf numFmtId="0" fontId="0" fillId="0" borderId="16" xfId="0" applyFill="1" applyBorder="1" applyProtection="1">
      <protection/>
    </xf>
    <xf numFmtId="0" fontId="0" fillId="0" borderId="0" xfId="0" applyFill="1" applyProtection="1">
      <protection/>
    </xf>
    <xf numFmtId="2" fontId="0" fillId="0" borderId="0" xfId="0" applyNumberFormat="1" applyFill="1" applyProtection="1">
      <protection/>
    </xf>
    <xf numFmtId="0" fontId="2" fillId="13" borderId="16" xfId="0" applyFont="1" applyFill="1" applyBorder="1" applyProtection="1">
      <protection/>
    </xf>
    <xf numFmtId="0" fontId="3" fillId="13" borderId="16" xfId="0" applyFont="1" applyFill="1" applyBorder="1" applyAlignment="1" applyProtection="1">
      <alignment vertical="center"/>
      <protection/>
    </xf>
    <xf numFmtId="0" fontId="3" fillId="13" borderId="16" xfId="0" applyFont="1" applyFill="1" applyBorder="1" applyAlignment="1" applyProtection="1">
      <alignment vertical="center" wrapText="1"/>
      <protection/>
    </xf>
    <xf numFmtId="0" fontId="2" fillId="13" borderId="16" xfId="0" applyFont="1" applyFill="1" applyBorder="1" applyAlignment="1" applyProtection="1">
      <alignment vertical="center" wrapText="1"/>
      <protection/>
    </xf>
    <xf numFmtId="0" fontId="6" fillId="13" borderId="16" xfId="0" applyFont="1" applyFill="1" applyBorder="1" applyAlignment="1" applyProtection="1">
      <alignment vertical="center" wrapText="1"/>
      <protection/>
    </xf>
    <xf numFmtId="0" fontId="0" fillId="0" borderId="16" xfId="0" applyBorder="1" applyAlignment="1" applyProtection="1">
      <alignment horizontal="left"/>
      <protection/>
    </xf>
    <xf numFmtId="2" fontId="0" fillId="0" borderId="16" xfId="0" applyNumberFormat="1" applyBorder="1" applyProtection="1">
      <protection/>
    </xf>
    <xf numFmtId="0" fontId="0" fillId="0" borderId="0" xfId="0" applyAlignment="1" applyProtection="1">
      <alignment horizontal="left"/>
      <protection/>
    </xf>
    <xf numFmtId="1" fontId="0" fillId="0" borderId="16" xfId="0" applyNumberFormat="1" applyBorder="1" applyAlignment="1" applyProtection="1">
      <alignment horizontal="right"/>
      <protection/>
    </xf>
    <xf numFmtId="165" fontId="2" fillId="0" borderId="0" xfId="0" applyNumberFormat="1" applyFont="1" applyProtection="1">
      <protection/>
    </xf>
    <xf numFmtId="165" fontId="0" fillId="0" borderId="0" xfId="21" applyNumberFormat="1" applyFont="1" applyProtection="1">
      <protection/>
    </xf>
    <xf numFmtId="166" fontId="0" fillId="0" borderId="0" xfId="0" applyNumberFormat="1" applyProtection="1">
      <protection/>
    </xf>
    <xf numFmtId="0" fontId="13" fillId="0" borderId="0" xfId="0" applyFont="1" applyAlignment="1" applyProtection="1">
      <alignment vertical="center"/>
      <protection/>
    </xf>
    <xf numFmtId="0" fontId="14" fillId="0" borderId="0" xfId="0" applyFont="1" applyProtection="1">
      <protection/>
    </xf>
    <xf numFmtId="0" fontId="15" fillId="0" borderId="0" xfId="0" applyFont="1" applyAlignment="1" applyProtection="1">
      <alignment vertical="center"/>
      <protection/>
    </xf>
    <xf numFmtId="0" fontId="10" fillId="0" borderId="0" xfId="0" applyFont="1" applyAlignment="1" applyProtection="1">
      <alignment vertical="center"/>
      <protection/>
    </xf>
    <xf numFmtId="0" fontId="0" fillId="0" borderId="16" xfId="0" applyNumberFormat="1" applyBorder="1" applyProtection="1">
      <protection/>
    </xf>
    <xf numFmtId="0" fontId="0" fillId="0" borderId="13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  <protection/>
    </xf>
    <xf numFmtId="0" fontId="9" fillId="14" borderId="13" xfId="0" applyFont="1" applyFill="1" applyBorder="1" applyAlignment="1" applyProtection="1">
      <alignment vertical="center" wrapText="1"/>
      <protection/>
    </xf>
    <xf numFmtId="9" fontId="0" fillId="0" borderId="0" xfId="20" applyFont="1" applyFill="1" applyBorder="1" applyAlignment="1" applyProtection="1">
      <alignment horizontal="center"/>
      <protection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  <protection/>
    </xf>
    <xf numFmtId="0" fontId="0" fillId="0" borderId="18" xfId="0" applyFont="1" applyFill="1" applyBorder="1" applyAlignment="1" applyProtection="1">
      <alignment vertical="center" wrapText="1"/>
      <protection/>
    </xf>
    <xf numFmtId="0" fontId="0" fillId="0" borderId="14" xfId="0" applyFill="1" applyBorder="1" applyProtection="1">
      <protection/>
    </xf>
    <xf numFmtId="0" fontId="2" fillId="6" borderId="14" xfId="0" applyFont="1" applyFill="1" applyBorder="1" applyAlignment="1" applyProtection="1">
      <alignment horizontal="center" vertical="center" wrapText="1"/>
      <protection/>
    </xf>
    <xf numFmtId="0" fontId="2" fillId="0" borderId="0" xfId="0" applyFont="1" applyFill="1" applyProtection="1">
      <protection/>
    </xf>
    <xf numFmtId="0" fontId="0" fillId="7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2" borderId="13" xfId="0" applyNumberFormat="1" applyFont="1" applyFill="1" applyBorder="1" applyAlignment="1" applyProtection="1">
      <alignment vertical="center" wrapText="1"/>
      <protection/>
    </xf>
    <xf numFmtId="0" fontId="0" fillId="0" borderId="0" xfId="0" applyNumberFormat="1" applyProtection="1">
      <protection/>
    </xf>
    <xf numFmtId="0" fontId="0" fillId="4" borderId="13" xfId="21" applyNumberFormat="1" applyFont="1" applyFill="1" applyBorder="1" applyAlignment="1" applyProtection="1">
      <alignment/>
      <protection locked="0"/>
    </xf>
    <xf numFmtId="0" fontId="2" fillId="9" borderId="13" xfId="21" applyNumberFormat="1" applyFont="1" applyFill="1" applyBorder="1" applyAlignment="1" applyProtection="1">
      <alignment/>
      <protection/>
    </xf>
    <xf numFmtId="0" fontId="0" fillId="9" borderId="13" xfId="21" applyNumberFormat="1" applyFont="1" applyFill="1" applyBorder="1" applyAlignment="1" applyProtection="1">
      <alignment/>
      <protection locked="0"/>
    </xf>
    <xf numFmtId="0" fontId="9" fillId="11" borderId="13" xfId="0" applyNumberFormat="1" applyFont="1" applyFill="1" applyBorder="1" applyAlignment="1" applyProtection="1">
      <alignment vertical="center" wrapText="1"/>
      <protection/>
    </xf>
    <xf numFmtId="0" fontId="9" fillId="14" borderId="13" xfId="0" applyNumberFormat="1" applyFont="1" applyFill="1" applyBorder="1" applyAlignment="1" applyProtection="1">
      <alignment vertical="center" wrapText="1"/>
      <protection/>
    </xf>
    <xf numFmtId="0" fontId="0" fillId="0" borderId="0" xfId="0" applyFill="1" applyBorder="1" applyAlignment="1" applyProtection="1">
      <alignment horizontal="center"/>
      <protection/>
    </xf>
    <xf numFmtId="0" fontId="9" fillId="15" borderId="0" xfId="0" applyFont="1" applyFill="1" applyAlignment="1" applyProtection="1">
      <alignment horizontal="center"/>
      <protection locked="0"/>
    </xf>
    <xf numFmtId="0" fontId="9" fillId="15" borderId="0" xfId="0" applyFont="1" applyFill="1" applyAlignment="1" applyProtection="1">
      <alignment horizontal="center"/>
      <protection/>
    </xf>
    <xf numFmtId="0" fontId="0" fillId="16" borderId="0" xfId="0" applyFill="1" applyProtection="1">
      <protection/>
    </xf>
    <xf numFmtId="2" fontId="0" fillId="16" borderId="0" xfId="0" applyNumberFormat="1" applyFill="1" applyProtection="1">
      <protection/>
    </xf>
    <xf numFmtId="2" fontId="29" fillId="16" borderId="0" xfId="0" applyNumberFormat="1" applyFont="1" applyFill="1" applyProtection="1">
      <protection/>
    </xf>
    <xf numFmtId="0" fontId="24" fillId="5" borderId="12" xfId="0" applyFont="1" applyFill="1" applyBorder="1" applyAlignment="1" applyProtection="1">
      <alignment vertical="center" wrapText="1"/>
      <protection/>
    </xf>
    <xf numFmtId="0" fontId="2" fillId="8" borderId="13" xfId="0" applyFont="1" applyFill="1" applyBorder="1" applyAlignment="1" applyProtection="1">
      <alignment vertical="center" wrapText="1"/>
      <protection/>
    </xf>
    <xf numFmtId="2" fontId="0" fillId="17" borderId="13" xfId="21" applyNumberFormat="1" applyFont="1" applyFill="1" applyBorder="1" applyAlignment="1" applyProtection="1">
      <alignment horizontal="right"/>
      <protection/>
    </xf>
    <xf numFmtId="2" fontId="2" fillId="17" borderId="13" xfId="0" applyNumberFormat="1" applyFont="1" applyFill="1" applyBorder="1" applyAlignment="1" applyProtection="1">
      <alignment vertical="center" wrapText="1"/>
      <protection/>
    </xf>
    <xf numFmtId="9" fontId="30" fillId="8" borderId="13" xfId="20" applyFont="1" applyFill="1" applyBorder="1" applyAlignment="1" applyProtection="1">
      <alignment horizontal="center" vertical="center" wrapText="1"/>
      <protection/>
    </xf>
    <xf numFmtId="0" fontId="0" fillId="2" borderId="19" xfId="0" applyFill="1" applyBorder="1" applyAlignment="1" applyProtection="1">
      <alignment horizontal="center"/>
      <protection/>
    </xf>
    <xf numFmtId="0" fontId="0" fillId="2" borderId="20" xfId="0" applyFill="1" applyBorder="1" applyAlignment="1" applyProtection="1">
      <alignment horizontal="center"/>
      <protection/>
    </xf>
    <xf numFmtId="0" fontId="0" fillId="2" borderId="21" xfId="0" applyFill="1" applyBorder="1" applyAlignment="1" applyProtection="1">
      <alignment horizontal="center"/>
      <protection/>
    </xf>
    <xf numFmtId="0" fontId="0" fillId="9" borderId="19" xfId="0" applyFill="1" applyBorder="1" applyAlignment="1" applyProtection="1">
      <alignment horizontal="center" vertical="center" wrapText="1"/>
      <protection/>
    </xf>
    <xf numFmtId="0" fontId="0" fillId="9" borderId="20" xfId="0" applyFill="1" applyBorder="1" applyAlignment="1" applyProtection="1">
      <alignment horizontal="center" vertical="center" wrapText="1"/>
      <protection/>
    </xf>
    <xf numFmtId="0" fontId="0" fillId="9" borderId="21" xfId="0" applyFill="1" applyBorder="1" applyAlignment="1" applyProtection="1">
      <alignment horizontal="center" vertical="center" wrapText="1"/>
      <protection/>
    </xf>
    <xf numFmtId="0" fontId="2" fillId="6" borderId="22" xfId="0" applyFont="1" applyFill="1" applyBorder="1" applyAlignment="1" applyProtection="1">
      <alignment horizontal="center" vertical="center" wrapText="1"/>
      <protection/>
    </xf>
    <xf numFmtId="0" fontId="2" fillId="6" borderId="23" xfId="0" applyFont="1" applyFill="1" applyBorder="1" applyAlignment="1" applyProtection="1">
      <alignment horizontal="center" vertical="center" wrapText="1"/>
      <protection/>
    </xf>
    <xf numFmtId="0" fontId="6" fillId="13" borderId="19" xfId="0" applyFont="1" applyFill="1" applyBorder="1" applyAlignment="1" applyProtection="1">
      <alignment horizontal="center"/>
      <protection/>
    </xf>
    <xf numFmtId="0" fontId="6" fillId="13" borderId="20" xfId="0" applyFont="1" applyFill="1" applyBorder="1" applyAlignment="1" applyProtection="1">
      <alignment horizontal="center"/>
      <protection/>
    </xf>
    <xf numFmtId="0" fontId="6" fillId="13" borderId="21" xfId="0" applyFont="1" applyFill="1" applyBorder="1" applyAlignment="1" applyProtection="1">
      <alignment horizontal="center"/>
      <protection/>
    </xf>
    <xf numFmtId="0" fontId="31" fillId="18" borderId="24" xfId="0" applyNumberFormat="1" applyFont="1" applyFill="1" applyBorder="1" applyAlignment="1" applyProtection="1">
      <alignment vertical="center" wrapText="1"/>
      <protection/>
    </xf>
    <xf numFmtId="0" fontId="32" fillId="4" borderId="24" xfId="0" applyNumberFormat="1" applyFont="1" applyFill="1" applyBorder="1" applyAlignment="1" applyProtection="1">
      <alignment/>
      <protection locked="0"/>
    </xf>
    <xf numFmtId="0" fontId="32" fillId="0" borderId="0" xfId="0" applyNumberFormat="1" applyFont="1" applyFill="1" applyBorder="1" applyAlignment="1" applyProtection="1">
      <alignment/>
      <protection locked="0"/>
    </xf>
    <xf numFmtId="2" fontId="32" fillId="4" borderId="24" xfId="0" applyNumberFormat="1" applyFont="1" applyFill="1" applyBorder="1" applyAlignment="1" applyProtection="1">
      <alignment horizontal="right"/>
      <protection locked="0"/>
    </xf>
    <xf numFmtId="2" fontId="32" fillId="4" borderId="24" xfId="0" applyNumberFormat="1" applyFont="1" applyFill="1" applyBorder="1" applyAlignment="1" applyProtection="1">
      <alignment/>
      <protection locked="0"/>
    </xf>
    <xf numFmtId="2" fontId="31" fillId="19" borderId="0" xfId="0" applyNumberFormat="1" applyFont="1" applyFill="1" applyBorder="1" applyAlignment="1" applyProtection="1">
      <alignment horizontal="right"/>
      <protection/>
    </xf>
    <xf numFmtId="0" fontId="31" fillId="0" borderId="0" xfId="0" applyNumberFormat="1" applyFont="1" applyFill="1" applyBorder="1" applyAlignment="1" applyProtection="1">
      <alignment/>
      <protection locked="0"/>
    </xf>
    <xf numFmtId="0" fontId="32" fillId="4" borderId="24" xfId="0" applyNumberFormat="1" applyFont="1" applyFill="1" applyBorder="1" applyAlignment="1" applyProtection="1">
      <alignment horizontal="right"/>
      <protection locked="0"/>
    </xf>
    <xf numFmtId="0" fontId="32" fillId="4" borderId="24" xfId="0" applyNumberFormat="1" applyFont="1" applyFill="1" applyBorder="1" applyAlignment="1" applyProtection="1">
      <alignment wrapText="1"/>
      <protection locked="0"/>
    </xf>
    <xf numFmtId="0" fontId="32" fillId="4" borderId="24" xfId="0" applyNumberFormat="1" applyFont="1" applyFill="1" applyBorder="1" applyAlignment="1" applyProtection="1">
      <alignment horizontal="left" wrapText="1"/>
      <protection locked="0"/>
    </xf>
    <xf numFmtId="9" fontId="32" fillId="4" borderId="24" xfId="0" applyNumberFormat="1" applyFont="1" applyFill="1" applyBorder="1" applyAlignment="1" applyProtection="1">
      <alignment horizontal="right"/>
      <protection locked="0"/>
    </xf>
    <xf numFmtId="9" fontId="32" fillId="4" borderId="24" xfId="0" applyNumberFormat="1" applyFont="1" applyFill="1" applyBorder="1" applyAlignment="1" applyProtection="1">
      <alignment/>
      <protection locked="0"/>
    </xf>
    <xf numFmtId="0" fontId="34" fillId="20" borderId="25" xfId="0" applyNumberFormat="1" applyFont="1" applyFill="1" applyBorder="1" applyAlignment="1" applyProtection="1">
      <alignment vertical="center" wrapText="1"/>
      <protection/>
    </xf>
    <xf numFmtId="0" fontId="33" fillId="18" borderId="24" xfId="0" applyNumberFormat="1" applyFont="1" applyFill="1" applyBorder="1" applyAlignment="1" applyProtection="1">
      <alignment horizontal="left" vertical="center" wrapText="1"/>
      <protection/>
    </xf>
    <xf numFmtId="0" fontId="32" fillId="0" borderId="0" xfId="0" applyNumberFormat="1" applyFont="1" applyFill="1" applyBorder="1" applyAlignment="1" applyProtection="1">
      <alignment horizontal="center" vertical="center"/>
      <protection/>
    </xf>
    <xf numFmtId="0" fontId="32" fillId="21" borderId="24" xfId="0" applyNumberFormat="1" applyFont="1" applyFill="1" applyBorder="1" applyAlignment="1" applyProtection="1">
      <alignment horizontal="right"/>
      <protection/>
    </xf>
    <xf numFmtId="0" fontId="31" fillId="18" borderId="24" xfId="0" applyNumberFormat="1" applyFont="1" applyFill="1" applyBorder="1" applyAlignment="1" applyProtection="1">
      <alignment horizontal="center" vertical="center" wrapText="1"/>
      <protection/>
    </xf>
    <xf numFmtId="0" fontId="32" fillId="18" borderId="24" xfId="0" applyNumberFormat="1" applyFont="1" applyFill="1" applyBorder="1" applyAlignment="1" applyProtection="1">
      <alignment vertical="center" wrapText="1"/>
      <protection/>
    </xf>
    <xf numFmtId="0" fontId="31" fillId="22" borderId="24" xfId="0" applyNumberFormat="1" applyFont="1" applyFill="1" applyBorder="1" applyAlignment="1" applyProtection="1">
      <alignment vertical="center" wrapText="1"/>
      <protection/>
    </xf>
    <xf numFmtId="0" fontId="31" fillId="0" borderId="0" xfId="0" applyNumberFormat="1" applyFont="1" applyFill="1" applyBorder="1" applyAlignment="1" applyProtection="1">
      <alignment horizontal="center" vertical="center"/>
      <protection/>
    </xf>
    <xf numFmtId="0" fontId="31" fillId="21" borderId="24" xfId="0" applyNumberFormat="1" applyFont="1" applyFill="1" applyBorder="1" applyAlignment="1" applyProtection="1">
      <alignment horizontal="right"/>
      <protection/>
    </xf>
    <xf numFmtId="0" fontId="31" fillId="0" borderId="0" xfId="0" applyNumberFormat="1" applyFont="1" applyFill="1" applyBorder="1" applyAlignment="1" applyProtection="1">
      <alignment/>
      <protection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ourcentage" xfId="20" builtinId="5"/>
    <cellStyle name="Milliers" xfId="2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6" Type="http://schemas.openxmlformats.org/officeDocument/2006/relationships/worksheet" Target="worksheets/sheet4.xml" /><Relationship Id="rId1" Type="http://schemas.openxmlformats.org/officeDocument/2006/relationships/theme" Target="theme/theme1.xml" /><Relationship Id="rId10" Type="http://schemas.openxmlformats.org/officeDocument/2006/relationships/worksheet" Target="worksheets/sheet8.xml" /><Relationship Id="rId8" Type="http://schemas.openxmlformats.org/officeDocument/2006/relationships/worksheet" Target="worksheets/sheet6.xml" /><Relationship Id="rId5" Type="http://schemas.openxmlformats.org/officeDocument/2006/relationships/worksheet" Target="worksheets/sheet3.xml" /><Relationship Id="rId9" Type="http://schemas.openxmlformats.org/officeDocument/2006/relationships/worksheet" Target="worksheets/sheet7.xml" /><Relationship Id="rId4" Type="http://schemas.openxmlformats.org/officeDocument/2006/relationships/worksheet" Target="worksheets/sheet2.xml" /><Relationship Id="rId12" Type="http://schemas.openxmlformats.org/officeDocument/2006/relationships/worksheet" Target="worksheets/sheet10.xml" /><Relationship Id="rId11" Type="http://schemas.openxmlformats.org/officeDocument/2006/relationships/worksheet" Target="worksheets/sheet9.xml" /><Relationship Id="rId13" Type="http://schemas.openxmlformats.org/officeDocument/2006/relationships/sharedStrings" Target="sharedStrings.xml" /><Relationship Id="rId7" Type="http://schemas.openxmlformats.org/officeDocument/2006/relationships/worksheet" Target="worksheets/sheet5.xml" /><Relationship Id="rId14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bb82478-2f65-4e36-9b97-bd00e3a21e2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33900" y="114300"/>
          <a:ext cx="2143125" cy="876300"/>
        </a:xfrm>
        <a:prstGeom prst="rect"/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6.bin" /><Relationship Id="rId1" Type="http://schemas.openxmlformats.org/officeDocument/2006/relationships/comments" Target="../comments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 topLeftCell="A1">
      <selection pane="topLeft" activeCell="B11" sqref="B11:P30"/>
    </sheetView>
  </sheetViews>
  <sheetFormatPr defaultColWidth="11.4242857142857" defaultRowHeight="15"/>
  <cols>
    <col min="1" max="1" width="4.85714285714286" customWidth="1"/>
    <col min="15" max="15" width="11.4285714285714" customWidth="1"/>
  </cols>
  <sheetData>
    <row r="2" spans="11:11" ht="15">
      <c r="K2" t="s">
        <v>348</v>
      </c>
    </row>
    <row r="3" spans="11:16" ht="15" customHeight="1">
      <c r="K3" s="14" t="s">
        <v>311</v>
      </c>
      <c r="L3" s="14"/>
      <c r="M3" s="14"/>
      <c r="N3" s="14"/>
      <c r="O3" s="14"/>
      <c r="P3" s="14"/>
    </row>
    <row r="4" spans="11:16" ht="15">
      <c r="K4" s="14"/>
      <c r="L4" s="14"/>
      <c r="M4" s="14"/>
      <c r="N4" s="14"/>
      <c r="O4" s="14"/>
      <c r="P4" s="14"/>
    </row>
    <row r="5" spans="11:16" ht="15">
      <c r="K5" s="14"/>
      <c r="L5" s="14"/>
      <c r="M5" s="14"/>
      <c r="N5" s="14"/>
      <c r="O5" s="14"/>
      <c r="P5" s="14"/>
    </row>
    <row r="7" spans="2:16" ht="15" customHeight="1">
      <c r="B7" s="13" t="s">
        <v>310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15" customHeight="1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2:16" ht="15" customHeight="1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1" spans="2:16" ht="15" customHeight="1">
      <c r="B11" s="12" t="s">
        <v>335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0"/>
    </row>
    <row r="12" spans="2:16" ht="15" customHeight="1"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7"/>
    </row>
    <row r="13" spans="2:16" ht="15" customHeight="1"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7"/>
    </row>
    <row r="14" spans="2:16" ht="15" customHeight="1"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"/>
    </row>
    <row r="15" spans="2:16" ht="15" customHeight="1"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</row>
    <row r="16" spans="2:16" ht="15" customHeight="1"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7"/>
    </row>
    <row r="17" spans="2:16" ht="15" customHeight="1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7"/>
    </row>
    <row r="18" spans="2:16" ht="15" customHeight="1"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</row>
    <row r="19" spans="2:16" ht="15" customHeight="1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</row>
    <row r="20" spans="2:16" ht="15" customHeight="1"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7"/>
    </row>
    <row r="21" spans="2:16" ht="15" customHeight="1"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</row>
    <row r="22" spans="2:16" ht="15" customHeight="1"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7"/>
    </row>
    <row r="23" spans="2:16" ht="15" customHeight="1"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</row>
    <row r="24" spans="2:16" ht="15" customHeight="1"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</row>
    <row r="25" spans="2:16" ht="15.75" customHeight="1"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</row>
    <row r="26" spans="2:16" ht="15.75" customHeight="1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</row>
    <row r="27" spans="2:16" ht="15.75" customHeight="1"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</row>
    <row r="28" spans="2:16" ht="15.75" customHeight="1"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</row>
    <row r="29" spans="2:16" ht="15.75" customHeight="1"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</row>
    <row r="30" spans="2:16" ht="15.75" customHeight="1"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"/>
    </row>
    <row r="32" spans="2:16" ht="22.5" customHeight="1">
      <c r="B32" s="13" t="s">
        <v>340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2:16" ht="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2:16" ht="1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orientation="portrait" paperSize="9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workbookViewId="0" topLeftCell="A37">
      <selection pane="topLeft" activeCell="F37" sqref="F37"/>
    </sheetView>
  </sheetViews>
  <sheetFormatPr defaultColWidth="11.4242857142857" defaultRowHeight="15"/>
  <cols>
    <col min="1" max="1" width="25" style="24" bestFit="1" customWidth="1"/>
    <col min="2" max="2" width="20.1428571428571" style="24" bestFit="1" customWidth="1"/>
    <col min="3" max="3" width="15.5714285714286" style="24" bestFit="1" customWidth="1"/>
    <col min="4" max="16384" width="11.4285714285714" style="24"/>
  </cols>
  <sheetData>
    <row r="1" spans="1:6" ht="15">
      <c r="A1" s="40" t="s">
        <v>26</v>
      </c>
      <c r="B1" s="40" t="s">
        <v>8</v>
      </c>
      <c r="C1" s="40" t="s">
        <v>28</v>
      </c>
      <c r="D1" s="40" t="s">
        <v>29</v>
      </c>
      <c r="E1" s="40" t="s">
        <v>59</v>
      </c>
      <c r="F1" s="24" t="s">
        <v>71</v>
      </c>
    </row>
    <row r="2" spans="1:6" ht="15">
      <c r="A2" s="24" t="s">
        <v>6</v>
      </c>
      <c r="B2" s="24" t="s">
        <v>0</v>
      </c>
      <c r="C2" s="24" t="s">
        <v>31</v>
      </c>
      <c r="D2" s="24" t="s">
        <v>35</v>
      </c>
      <c r="E2" s="81">
        <v>10</v>
      </c>
      <c r="F2" s="24" t="s">
        <v>72</v>
      </c>
    </row>
    <row r="3" spans="1:6" ht="15">
      <c r="A3" s="24" t="s">
        <v>5</v>
      </c>
      <c r="B3" s="24" t="s">
        <v>287</v>
      </c>
      <c r="C3" s="24" t="s">
        <v>33</v>
      </c>
      <c r="D3" s="24" t="s">
        <v>32</v>
      </c>
      <c r="E3" s="81">
        <v>11</v>
      </c>
      <c r="F3" s="24" t="s">
        <v>73</v>
      </c>
    </row>
    <row r="4" spans="2:6" ht="15">
      <c r="B4" s="24" t="s">
        <v>2</v>
      </c>
      <c r="C4" s="24" t="s">
        <v>34</v>
      </c>
      <c r="D4" s="24" t="s">
        <v>48</v>
      </c>
      <c r="E4" s="81">
        <v>12</v>
      </c>
      <c r="F4" s="24" t="s">
        <v>74</v>
      </c>
    </row>
    <row r="5" spans="3:6" ht="15">
      <c r="C5" s="24" t="s">
        <v>36</v>
      </c>
      <c r="D5" s="24" t="s">
        <v>38</v>
      </c>
      <c r="E5" s="81">
        <v>13</v>
      </c>
      <c r="F5" s="24" t="s">
        <v>75</v>
      </c>
    </row>
    <row r="6" spans="3:6" ht="15">
      <c r="C6" s="24" t="s">
        <v>37</v>
      </c>
      <c r="D6" s="24" t="s">
        <v>43</v>
      </c>
      <c r="E6" s="81">
        <v>14</v>
      </c>
      <c r="F6" s="24" t="s">
        <v>76</v>
      </c>
    </row>
    <row r="7" spans="3:6" ht="15">
      <c r="C7" s="24" t="s">
        <v>39</v>
      </c>
      <c r="D7" s="24" t="s">
        <v>47</v>
      </c>
      <c r="E7" s="81">
        <v>15</v>
      </c>
      <c r="F7" s="24" t="s">
        <v>77</v>
      </c>
    </row>
    <row r="8" spans="3:6" ht="15">
      <c r="C8" s="24" t="s">
        <v>40</v>
      </c>
      <c r="E8" s="81">
        <v>16</v>
      </c>
      <c r="F8" s="24" t="s">
        <v>78</v>
      </c>
    </row>
    <row r="9" spans="3:6" ht="15">
      <c r="C9" s="24" t="s">
        <v>41</v>
      </c>
      <c r="E9" s="81">
        <v>17</v>
      </c>
      <c r="F9" s="24" t="s">
        <v>79</v>
      </c>
    </row>
    <row r="10" spans="3:6" ht="15">
      <c r="C10" s="24" t="s">
        <v>42</v>
      </c>
      <c r="E10" s="81">
        <v>18</v>
      </c>
      <c r="F10" s="24" t="s">
        <v>80</v>
      </c>
    </row>
    <row r="11" spans="3:6" ht="15">
      <c r="C11" s="24" t="s">
        <v>44</v>
      </c>
      <c r="E11" s="81">
        <v>19</v>
      </c>
      <c r="F11" s="24" t="s">
        <v>81</v>
      </c>
    </row>
    <row r="12" spans="3:6" ht="15">
      <c r="C12" s="24" t="s">
        <v>45</v>
      </c>
      <c r="E12" s="81">
        <v>20</v>
      </c>
      <c r="F12" s="24" t="s">
        <v>82</v>
      </c>
    </row>
    <row r="13" spans="3:6" ht="15">
      <c r="C13" s="24" t="s">
        <v>46</v>
      </c>
      <c r="F13" s="24" t="s">
        <v>83</v>
      </c>
    </row>
    <row r="14" spans="3:6" ht="15">
      <c r="C14" s="24" t="s">
        <v>49</v>
      </c>
      <c r="F14" s="24" t="s">
        <v>84</v>
      </c>
    </row>
    <row r="15" spans="3:6" ht="15">
      <c r="C15" s="24" t="s">
        <v>50</v>
      </c>
      <c r="F15" s="24" t="s">
        <v>85</v>
      </c>
    </row>
    <row r="16" spans="3:6" ht="15">
      <c r="C16" s="24" t="s">
        <v>51</v>
      </c>
      <c r="F16" s="24" t="s">
        <v>86</v>
      </c>
    </row>
    <row r="17" spans="6:6" ht="15">
      <c r="F17" s="24" t="s">
        <v>87</v>
      </c>
    </row>
    <row r="18" spans="6:6" ht="15">
      <c r="F18" s="24" t="s">
        <v>88</v>
      </c>
    </row>
    <row r="19" spans="6:6" ht="15">
      <c r="F19" s="24" t="s">
        <v>89</v>
      </c>
    </row>
    <row r="20" spans="6:6" ht="15">
      <c r="F20" s="24" t="s">
        <v>90</v>
      </c>
    </row>
    <row r="21" spans="6:6" ht="15">
      <c r="F21" s="24" t="s">
        <v>91</v>
      </c>
    </row>
    <row r="22" spans="6:6" ht="15">
      <c r="F22" s="24" t="s">
        <v>92</v>
      </c>
    </row>
    <row r="23" spans="6:6" ht="15">
      <c r="F23" s="24" t="s">
        <v>93</v>
      </c>
    </row>
    <row r="24" spans="6:6" ht="15">
      <c r="F24" s="24" t="s">
        <v>94</v>
      </c>
    </row>
    <row r="25" spans="6:6" ht="15">
      <c r="F25" s="24" t="s">
        <v>95</v>
      </c>
    </row>
    <row r="26" spans="6:6" ht="15">
      <c r="F26" s="24" t="s">
        <v>96</v>
      </c>
    </row>
    <row r="27" spans="6:6" ht="15">
      <c r="F27" s="24" t="s">
        <v>97</v>
      </c>
    </row>
    <row r="28" spans="6:6" ht="15">
      <c r="F28" s="24" t="s">
        <v>98</v>
      </c>
    </row>
    <row r="29" spans="6:6" ht="15">
      <c r="F29" s="24" t="s">
        <v>99</v>
      </c>
    </row>
    <row r="30" spans="6:6" ht="15">
      <c r="F30" s="24" t="s">
        <v>100</v>
      </c>
    </row>
    <row r="31" spans="6:6" ht="15">
      <c r="F31" s="24" t="s">
        <v>101</v>
      </c>
    </row>
    <row r="32" spans="6:6" ht="15">
      <c r="F32" s="24" t="s">
        <v>102</v>
      </c>
    </row>
    <row r="33" spans="6:6" ht="15">
      <c r="F33" s="24" t="s">
        <v>103</v>
      </c>
    </row>
    <row r="34" spans="6:6" ht="15">
      <c r="F34" s="24" t="s">
        <v>104</v>
      </c>
    </row>
    <row r="35" spans="6:6" ht="15">
      <c r="F35" s="24" t="s">
        <v>105</v>
      </c>
    </row>
    <row r="36" spans="6:6" ht="15">
      <c r="F36" s="24" t="s">
        <v>106</v>
      </c>
    </row>
    <row r="37" spans="6:6" ht="15">
      <c r="F37" s="24" t="s">
        <v>347</v>
      </c>
    </row>
    <row r="38" spans="6:6" ht="15">
      <c r="F38" s="24" t="s">
        <v>107</v>
      </c>
    </row>
    <row r="39" spans="6:6" ht="15">
      <c r="F39" s="24" t="s">
        <v>108</v>
      </c>
    </row>
    <row r="40" spans="6:6" ht="15">
      <c r="F40" s="24" t="s">
        <v>109</v>
      </c>
    </row>
    <row r="41" spans="6:6" ht="15">
      <c r="F41" s="24" t="s">
        <v>110</v>
      </c>
    </row>
    <row r="42" spans="6:6" ht="15">
      <c r="F42" s="24" t="s">
        <v>111</v>
      </c>
    </row>
    <row r="43" spans="6:6" ht="15">
      <c r="F43" s="24" t="s">
        <v>112</v>
      </c>
    </row>
    <row r="44" spans="6:6" ht="15">
      <c r="F44" s="24" t="s">
        <v>113</v>
      </c>
    </row>
    <row r="45" spans="6:6" ht="15">
      <c r="F45" s="24" t="s">
        <v>114</v>
      </c>
    </row>
    <row r="46" spans="6:6" ht="15">
      <c r="F46" s="24" t="s">
        <v>115</v>
      </c>
    </row>
    <row r="47" spans="6:6" ht="15">
      <c r="F47" s="24" t="s">
        <v>116</v>
      </c>
    </row>
    <row r="48" spans="6:6" ht="15">
      <c r="F48" s="24" t="s">
        <v>117</v>
      </c>
    </row>
    <row r="49" spans="6:6" ht="15">
      <c r="F49" s="24" t="s">
        <v>118</v>
      </c>
    </row>
    <row r="50" spans="6:6" ht="15">
      <c r="F50" s="24" t="s">
        <v>119</v>
      </c>
    </row>
    <row r="51" spans="6:6" ht="15">
      <c r="F51" s="24" t="s">
        <v>120</v>
      </c>
    </row>
    <row r="52" spans="6:6" ht="15">
      <c r="F52" s="24" t="s">
        <v>121</v>
      </c>
    </row>
    <row r="53" spans="6:6" ht="15">
      <c r="F53" s="24" t="s">
        <v>122</v>
      </c>
    </row>
    <row r="54" spans="6:6" ht="15">
      <c r="F54" s="24" t="s">
        <v>123</v>
      </c>
    </row>
    <row r="55" spans="6:6" ht="15">
      <c r="F55" s="24" t="s">
        <v>124</v>
      </c>
    </row>
    <row r="56" spans="6:6" ht="15">
      <c r="F56" s="24" t="s">
        <v>125</v>
      </c>
    </row>
    <row r="57" spans="6:6" ht="15">
      <c r="F57" s="24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ref="D2:D7">
    <sortCondition sortBy="value" ref="D2:D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 topLeftCell="A10">
      <selection pane="topLeft" activeCell="E3" sqref="E3"/>
    </sheetView>
  </sheetViews>
  <sheetFormatPr defaultColWidth="11.4242857142857" defaultRowHeight="15"/>
  <cols>
    <col min="1" max="1" width="71.2857142857143" style="24" customWidth="1"/>
    <col min="2" max="2" width="16.4285714285714" style="18" customWidth="1"/>
    <col min="3" max="3" width="14.7142857142857" style="18" customWidth="1"/>
    <col min="4" max="4" width="17" style="18" customWidth="1"/>
    <col min="5" max="5" width="15" style="18" customWidth="1"/>
    <col min="6" max="6" width="16.1428571428571" style="18" customWidth="1"/>
    <col min="7" max="7" width="16.2857142857143" style="18" customWidth="1"/>
    <col min="8" max="8" width="18" style="18" customWidth="1"/>
    <col min="9" max="10" width="15.7142857142857" style="18" customWidth="1"/>
    <col min="11" max="11" width="16" style="18" customWidth="1"/>
    <col min="12" max="12" width="24.5714285714286" style="18" customWidth="1"/>
    <col min="13" max="16384" width="11.4285714285714" style="18"/>
  </cols>
  <sheetData>
    <row r="1" spans="1:11" s="93" customFormat="1" ht="12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33" ht="115.15" customHeight="1">
      <c r="A2" s="16" t="s">
        <v>339</v>
      </c>
      <c r="B2" s="15"/>
      <c r="C2" s="48" t="s">
        <v>337</v>
      </c>
      <c r="D2" s="24"/>
      <c r="E2" s="24"/>
      <c r="F2" s="24"/>
      <c r="G2" s="24"/>
      <c r="H2" s="24"/>
      <c r="I2" s="24"/>
      <c r="J2" s="24"/>
      <c r="K2" s="24"/>
      <c r="AG2" s="18" t="s">
        <v>338</v>
      </c>
    </row>
    <row r="3" spans="1:33" ht="15">
      <c r="A3" s="18"/>
      <c r="AG3" s="18" t="s">
        <v>337</v>
      </c>
    </row>
    <row r="4" spans="1:21" s="72" customFormat="1" ht="15.75" thickBot="1">
      <c r="A4" s="24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s="24" customFormat="1" ht="22.5" customHeight="1" thickBot="1">
      <c r="A5" s="3" t="s">
        <v>331</v>
      </c>
      <c r="B5" s="2"/>
      <c r="C5" s="2"/>
      <c r="D5" s="2"/>
      <c r="E5" s="2"/>
      <c r="F5" s="2"/>
      <c r="G5" s="2"/>
      <c r="H5" s="2"/>
      <c r="I5" s="2"/>
      <c r="J5" s="2"/>
      <c r="K5" s="1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52" s="40" customFormat="1" ht="15">
      <c r="A6" s="100"/>
      <c r="B6" s="101" t="s">
        <v>9</v>
      </c>
      <c r="C6" s="101" t="s">
        <v>10</v>
      </c>
      <c r="D6" s="101" t="s">
        <v>11</v>
      </c>
      <c r="E6" s="101" t="s">
        <v>12</v>
      </c>
      <c r="F6" s="101" t="s">
        <v>13</v>
      </c>
      <c r="G6" s="101" t="s">
        <v>14</v>
      </c>
      <c r="H6" s="101" t="s">
        <v>15</v>
      </c>
      <c r="I6" s="101" t="s">
        <v>16</v>
      </c>
      <c r="J6" s="101" t="s">
        <v>17</v>
      </c>
      <c r="K6" s="101" t="s">
        <v>18</v>
      </c>
      <c r="L6" s="115" t="s">
        <v>341</v>
      </c>
      <c r="M6" s="33"/>
      <c r="N6" s="33"/>
      <c r="O6" s="33"/>
      <c r="P6" s="33"/>
      <c r="Q6" s="33"/>
      <c r="R6" s="33"/>
      <c r="S6" s="33"/>
      <c r="T6" s="33"/>
      <c r="U6" s="33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</row>
    <row r="7" spans="1:52" s="33" customFormat="1" ht="15" customHeight="1">
      <c r="A7" s="136" t="s">
        <v>288</v>
      </c>
      <c r="B7" s="137"/>
      <c r="C7" s="137" t="s">
        <v>351</v>
      </c>
      <c r="D7" s="137"/>
      <c r="E7" s="137"/>
      <c r="F7" s="137"/>
      <c r="G7" s="137"/>
      <c r="H7" s="137"/>
      <c r="I7" s="137"/>
      <c r="J7" s="137"/>
      <c r="K7" s="137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</row>
    <row r="8" spans="1:22" ht="15" customHeight="1">
      <c r="A8" s="136" t="s">
        <v>65</v>
      </c>
      <c r="B8" s="139"/>
      <c r="C8" s="139">
        <v>0.29</v>
      </c>
      <c r="D8" s="140"/>
      <c r="E8" s="140"/>
      <c r="F8" s="140"/>
      <c r="G8" s="140"/>
      <c r="H8" s="140"/>
      <c r="I8" s="140"/>
      <c r="J8" s="140"/>
      <c r="K8" s="140"/>
      <c r="L8" s="141">
        <f>SUM(B8:K8)</f>
        <v>0.28999999999999998</v>
      </c>
      <c r="M8" s="142"/>
      <c r="N8" s="142"/>
      <c r="O8" s="142"/>
      <c r="P8" s="142"/>
      <c r="Q8" s="142"/>
      <c r="R8" s="142"/>
      <c r="S8" s="142"/>
      <c r="T8" s="142"/>
      <c r="U8" s="142"/>
      <c r="V8" s="142"/>
    </row>
    <row r="9" spans="1:22" ht="15" customHeight="1">
      <c r="A9" s="136" t="s">
        <v>309</v>
      </c>
      <c r="B9" s="137"/>
      <c r="C9" s="137" t="s">
        <v>33</v>
      </c>
      <c r="D9" s="137"/>
      <c r="E9" s="137"/>
      <c r="F9" s="137"/>
      <c r="G9" s="137"/>
      <c r="H9" s="137"/>
      <c r="I9" s="137"/>
      <c r="J9" s="137"/>
      <c r="K9" s="137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</row>
    <row r="10" spans="1:22" ht="30">
      <c r="A10" s="19" t="s">
        <v>286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5" customHeight="1">
      <c r="A11" s="136" t="s">
        <v>29</v>
      </c>
      <c r="B11" s="137"/>
      <c r="C11" s="137" t="s">
        <v>32</v>
      </c>
      <c r="D11" s="137"/>
      <c r="E11" s="137"/>
      <c r="F11" s="137"/>
      <c r="G11" s="137"/>
      <c r="H11" s="137"/>
      <c r="I11" s="137"/>
      <c r="J11" s="137"/>
      <c r="K11" s="137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</row>
    <row r="12" spans="1:22" ht="15" customHeight="1">
      <c r="A12" s="136" t="s">
        <v>290</v>
      </c>
      <c r="B12" s="143"/>
      <c r="C12" s="143">
        <v>160</v>
      </c>
      <c r="D12" s="137"/>
      <c r="E12" s="137"/>
      <c r="F12" s="137"/>
      <c r="G12" s="137"/>
      <c r="H12" s="137"/>
      <c r="I12" s="137"/>
      <c r="J12" s="137"/>
      <c r="K12" s="137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</row>
    <row r="13" spans="1:22" s="44" customFormat="1" ht="30.75" customHeight="1">
      <c r="A13" s="136" t="s">
        <v>20</v>
      </c>
      <c r="B13" s="144"/>
      <c r="C13" s="145" t="s">
        <v>352</v>
      </c>
      <c r="D13" s="144"/>
      <c r="E13" s="144"/>
      <c r="F13" s="144"/>
      <c r="G13" s="144"/>
      <c r="H13" s="144"/>
      <c r="I13" s="144"/>
      <c r="J13" s="144"/>
      <c r="K13" s="144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</row>
    <row r="14" spans="1:22" ht="15" customHeight="1">
      <c r="A14" s="136" t="s">
        <v>291</v>
      </c>
      <c r="B14" s="143"/>
      <c r="C14" s="143">
        <v>20</v>
      </c>
      <c r="D14" s="137"/>
      <c r="E14" s="137"/>
      <c r="F14" s="137"/>
      <c r="G14" s="137"/>
      <c r="H14" s="137"/>
      <c r="I14" s="137"/>
      <c r="J14" s="137"/>
      <c r="K14" s="137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</row>
    <row r="15" spans="1:22" ht="15" customHeight="1">
      <c r="A15" s="136" t="s">
        <v>19</v>
      </c>
      <c r="B15" s="146"/>
      <c r="C15" s="146">
        <v>1</v>
      </c>
      <c r="D15" s="147"/>
      <c r="E15" s="147"/>
      <c r="F15" s="147"/>
      <c r="G15" s="147"/>
      <c r="H15" s="147"/>
      <c r="I15" s="147"/>
      <c r="J15" s="147"/>
      <c r="K15" s="147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</row>
    <row r="16" spans="1:22" ht="31.5" customHeight="1">
      <c r="A16" s="136" t="s">
        <v>8</v>
      </c>
      <c r="B16" s="137"/>
      <c r="C16" s="137" t="s">
        <v>0</v>
      </c>
      <c r="D16" s="137"/>
      <c r="E16" s="137"/>
      <c r="F16" s="137"/>
      <c r="G16" s="137"/>
      <c r="H16" s="137"/>
      <c r="I16" s="137"/>
      <c r="J16" s="137"/>
      <c r="K16" s="137"/>
      <c r="L16" s="148" t="s">
        <v>346</v>
      </c>
      <c r="M16" s="142"/>
      <c r="N16" s="142"/>
      <c r="O16" s="142"/>
      <c r="P16" s="142"/>
      <c r="Q16" s="142"/>
      <c r="R16" s="142"/>
      <c r="S16" s="142"/>
      <c r="T16" s="142"/>
      <c r="U16" s="142"/>
      <c r="V16" s="142"/>
    </row>
    <row r="17" spans="1:22" ht="25.5" customHeight="1">
      <c r="A17" s="149" t="s">
        <v>343</v>
      </c>
      <c r="B17" s="137"/>
      <c r="C17" s="137" t="s">
        <v>73</v>
      </c>
      <c r="D17" s="137"/>
      <c r="E17" s="137"/>
      <c r="F17" s="137"/>
      <c r="G17" s="137"/>
      <c r="H17" s="137"/>
      <c r="I17" s="137"/>
      <c r="J17" s="137"/>
      <c r="K17" s="137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</row>
    <row r="18" spans="1:22" ht="25.5" customHeight="1">
      <c r="A18" s="149" t="s">
        <v>344</v>
      </c>
      <c r="B18" s="137"/>
      <c r="C18" s="137" t="s">
        <v>73</v>
      </c>
      <c r="D18" s="137"/>
      <c r="E18" s="137"/>
      <c r="F18" s="137"/>
      <c r="G18" s="137"/>
      <c r="H18" s="137"/>
      <c r="I18" s="137"/>
      <c r="J18" s="137"/>
      <c r="K18" s="137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</row>
    <row r="19" spans="1:22" ht="25.5" customHeight="1">
      <c r="A19" s="149" t="s">
        <v>345</v>
      </c>
      <c r="B19" s="137"/>
      <c r="C19" s="137" t="s">
        <v>73</v>
      </c>
      <c r="D19" s="137"/>
      <c r="E19" s="137"/>
      <c r="F19" s="137"/>
      <c r="G19" s="137"/>
      <c r="H19" s="137"/>
      <c r="I19" s="137"/>
      <c r="J19" s="137"/>
      <c r="K19" s="137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</row>
    <row r="20" spans="1:27" ht="27.75">
      <c r="A20" s="19" t="s">
        <v>140</v>
      </c>
      <c r="B20" s="46">
        <v>0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27.75">
      <c r="A21" s="19" t="s">
        <v>141</v>
      </c>
      <c r="B21" s="47">
        <v>0.29</v>
      </c>
      <c r="C21" s="33"/>
      <c r="D21" s="33"/>
      <c r="E21" s="33"/>
      <c r="F21" s="33"/>
      <c r="G21" s="33"/>
      <c r="H21" s="33"/>
      <c r="I21" s="33"/>
      <c r="J21" s="33"/>
      <c r="K21" s="33"/>
      <c r="L21" s="97"/>
      <c r="M21" s="97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ht="15">
      <c r="A22" s="102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102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102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102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102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102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102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102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102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102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102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102" t="str">
        <f>IF(AND($B$8&gt;0,$B20=""),"Il manque des données ligne 20","")</f>
        <v/>
      </c>
      <c r="M22" s="102" t="str">
        <f>IF(AND($B$8&gt;0,$B21=""),"Il manque des données ligne 21","")</f>
        <v/>
      </c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15.75" thickBo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1" s="24" customFormat="1" ht="15.75" thickBot="1">
      <c r="A24" s="3" t="s">
        <v>308</v>
      </c>
      <c r="B24" s="2"/>
      <c r="C24" s="2"/>
      <c r="D24" s="2"/>
      <c r="E24" s="2"/>
      <c r="F24" s="2"/>
      <c r="G24" s="2"/>
      <c r="H24" s="2"/>
      <c r="I24" s="2"/>
      <c r="J24" s="2"/>
      <c r="K24" s="1"/>
      <c r="L24" s="103"/>
      <c r="M24" s="104"/>
      <c r="N24" s="18"/>
      <c r="O24" s="18"/>
      <c r="P24" s="18"/>
      <c r="Q24" s="18"/>
      <c r="R24" s="18"/>
      <c r="S24" s="18"/>
      <c r="T24" s="18"/>
      <c r="U24" s="18"/>
    </row>
    <row r="25" spans="1:21" s="24" customFormat="1" ht="15">
      <c r="A25" s="22" t="s">
        <v>62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s="24" customFormat="1" ht="15" hidden="1">
      <c r="A26" s="22" t="s">
        <v>66</v>
      </c>
      <c r="B26" s="27" t="str">
        <f t="shared" si="0" ref="B26:K26">CONCATENATE(B9," - ",B11)</f>
        <v xml:space="preserve"> - </v>
      </c>
      <c r="C26" s="27" t="str">
        <f t="shared" si="0"/>
        <v>Amandier - Gobelet</v>
      </c>
      <c r="D26" s="27" t="str">
        <f t="shared" si="0"/>
        <v xml:space="preserve"> - </v>
      </c>
      <c r="E26" s="27" t="str">
        <f t="shared" si="0"/>
        <v xml:space="preserve"> - </v>
      </c>
      <c r="F26" s="27" t="str">
        <f t="shared" si="0"/>
        <v xml:space="preserve"> - </v>
      </c>
      <c r="G26" s="27" t="str">
        <f t="shared" si="0"/>
        <v xml:space="preserve"> - </v>
      </c>
      <c r="H26" s="27" t="str">
        <f t="shared" si="0"/>
        <v xml:space="preserve"> - </v>
      </c>
      <c r="I26" s="27" t="str">
        <f t="shared" si="0"/>
        <v xml:space="preserve"> - </v>
      </c>
      <c r="J26" s="27" t="str">
        <f t="shared" si="0"/>
        <v xml:space="preserve"> - </v>
      </c>
      <c r="K26" s="27" t="str">
        <f t="shared" si="0"/>
        <v xml:space="preserve"> - 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s="24" customFormat="1" ht="15">
      <c r="A27" s="23" t="s">
        <v>60</v>
      </c>
      <c r="B27" s="28" t="str">
        <f>IF(B12="","",VLOOKUP(B26,'(ne pas modifier) BDD_REF'!$C$21:$D$42,2,FALSE))</f>
        <v/>
      </c>
      <c r="C27" s="28">
        <f>IF(C12="","",VLOOKUP(C26,'(ne pas modifier) BDD_REF'!$C$21:$D$42,2,FALSE))</f>
        <v>150</v>
      </c>
      <c r="D27" s="28" t="str">
        <f>IF(D12="","",VLOOKUP(D26,'(ne pas modifier) BDD_REF'!$C$21:$D$42,2,FALSE))</f>
        <v/>
      </c>
      <c r="E27" s="28" t="str">
        <f>IF(E12="","",VLOOKUP(E26,'(ne pas modifier) BDD_REF'!$C$21:$D$42,2,FALSE))</f>
        <v/>
      </c>
      <c r="F27" s="28" t="str">
        <f>IF(F12="","",VLOOKUP(F26,'(ne pas modifier) BDD_REF'!$C$21:$D$42,2,FALSE))</f>
        <v/>
      </c>
      <c r="G27" s="28" t="str">
        <f>IF(G12="","",VLOOKUP(G26,'(ne pas modifier) BDD_REF'!$C$21:$D$42,2,FALSE))</f>
        <v/>
      </c>
      <c r="H27" s="28" t="str">
        <f>IF(H12="","",VLOOKUP(H26,'(ne pas modifier) BDD_REF'!$C$21:$D$42,2,FALSE))</f>
        <v/>
      </c>
      <c r="I27" s="28" t="str">
        <f>IF(I12="","",VLOOKUP(I26,'(ne pas modifier) BDD_REF'!$C$21:$D$42,2,FALSE))</f>
        <v/>
      </c>
      <c r="J27" s="28" t="str">
        <f>IF(J12="","",VLOOKUP(J26,'(ne pas modifier) BDD_REF'!$C$21:$D$42,2,FALSE))</f>
        <v/>
      </c>
      <c r="K27" s="28" t="str">
        <f>IF(K12="","",VLOOKUP(K26,'(ne pas modifier) BDD_REF'!$C$21:$D$42,2,FALSE))</f>
        <v/>
      </c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s="24" customFormat="1" ht="30">
      <c r="A28" s="23" t="s">
        <v>289</v>
      </c>
      <c r="B28" s="29" t="str">
        <f t="shared" si="1" ref="B28:K28">IF(B12="","",IF(B12&gt;=B27,"OUI","NON"))</f>
        <v/>
      </c>
      <c r="C28" s="29" t="str">
        <f t="shared" si="1"/>
        <v>OUI</v>
      </c>
      <c r="D28" s="29" t="str">
        <f t="shared" si="1"/>
        <v/>
      </c>
      <c r="E28" s="29" t="str">
        <f t="shared" si="1"/>
        <v/>
      </c>
      <c r="F28" s="29" t="str">
        <f t="shared" si="1"/>
        <v/>
      </c>
      <c r="G28" s="29" t="str">
        <f t="shared" si="1"/>
        <v/>
      </c>
      <c r="H28" s="29" t="str">
        <f t="shared" si="1"/>
        <v/>
      </c>
      <c r="I28" s="29" t="str">
        <f t="shared" si="1"/>
        <v/>
      </c>
      <c r="J28" s="29" t="str">
        <f t="shared" si="1"/>
        <v/>
      </c>
      <c r="K28" s="29" t="str">
        <f t="shared" si="1"/>
        <v/>
      </c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s="24" customFormat="1" ht="15">
      <c r="A29" s="21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s="24" customFormat="1" ht="15">
      <c r="A30" s="22" t="s">
        <v>295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s="24" customFormat="1" ht="15" customHeight="1">
      <c r="A31" s="23" t="s">
        <v>61</v>
      </c>
      <c r="B31" s="29" t="str">
        <f t="shared" si="2" ref="B31:K31">IF(B21="","",IF(B21&gt;=B20,"OUI","NON"))</f>
        <v>OUI</v>
      </c>
      <c r="C31" s="96" t="str">
        <f t="shared" si="2"/>
        <v/>
      </c>
      <c r="D31" s="96" t="str">
        <f t="shared" si="2"/>
        <v/>
      </c>
      <c r="E31" s="96" t="str">
        <f t="shared" si="2"/>
        <v/>
      </c>
      <c r="F31" s="96" t="str">
        <f t="shared" si="2"/>
        <v/>
      </c>
      <c r="G31" s="96" t="str">
        <f t="shared" si="2"/>
        <v/>
      </c>
      <c r="H31" s="96" t="str">
        <f t="shared" si="2"/>
        <v/>
      </c>
      <c r="I31" s="96" t="str">
        <f t="shared" si="2"/>
        <v/>
      </c>
      <c r="J31" s="96" t="str">
        <f t="shared" si="2"/>
        <v/>
      </c>
      <c r="K31" s="96" t="str">
        <f t="shared" si="2"/>
        <v/>
      </c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2:21" s="24" customFormat="1" ht="15"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s="24" customFormat="1" ht="15">
      <c r="A33" s="22" t="s">
        <v>63</v>
      </c>
      <c r="L33" s="116" t="s">
        <v>341</v>
      </c>
      <c r="M33" s="18"/>
      <c r="N33" s="18"/>
      <c r="O33" s="18"/>
      <c r="P33" s="18"/>
      <c r="Q33" s="18"/>
      <c r="R33" s="18"/>
      <c r="S33" s="18"/>
      <c r="T33" s="18"/>
      <c r="U33" s="18"/>
    </row>
    <row r="34" spans="1:21" s="24" customFormat="1" ht="45" hidden="1">
      <c r="A34" s="23" t="s">
        <v>27</v>
      </c>
      <c r="B34" s="62" t="str">
        <f>CONCATENATE(Eligibilité_projet!B13," - ",Eligibilité_projet!B16)</f>
        <v xml:space="preserve"> - </v>
      </c>
      <c r="C34" s="62" t="str">
        <f>CONCATENATE(Eligibilité_projet!C13," - ",Eligibilité_projet!C16)</f>
        <v>méditérranéen - Grandes cultures</v>
      </c>
      <c r="D34" s="62" t="str">
        <f>CONCATENATE(Eligibilité_projet!D13," - ",Eligibilité_projet!D16)</f>
        <v xml:space="preserve"> - </v>
      </c>
      <c r="E34" s="62" t="str">
        <f>CONCATENATE(Eligibilité_projet!E13," - ",Eligibilité_projet!E16)</f>
        <v xml:space="preserve"> - </v>
      </c>
      <c r="F34" s="62" t="str">
        <f>CONCATENATE(Eligibilité_projet!F13," - ",Eligibilité_projet!F16)</f>
        <v xml:space="preserve"> - </v>
      </c>
      <c r="G34" s="62" t="str">
        <f>CONCATENATE(Eligibilité_projet!G13," - ",Eligibilité_projet!G16)</f>
        <v xml:space="preserve"> - </v>
      </c>
      <c r="H34" s="62" t="str">
        <f>CONCATENATE(Eligibilité_projet!H13," - ",Eligibilité_projet!H16)</f>
        <v xml:space="preserve"> - </v>
      </c>
      <c r="I34" s="62" t="str">
        <f>CONCATENATE(Eligibilité_projet!I13," - ",Eligibilité_projet!I16)</f>
        <v xml:space="preserve"> - </v>
      </c>
      <c r="J34" s="62" t="str">
        <f>CONCATENATE(Eligibilité_projet!J13," - ",Eligibilité_projet!J16)</f>
        <v xml:space="preserve"> - </v>
      </c>
      <c r="K34" s="62" t="str">
        <f>CONCATENATE(Eligibilité_projet!K13," - ",Eligibilité_projet!K16)</f>
        <v xml:space="preserve"> - </v>
      </c>
      <c r="M34" s="18"/>
      <c r="N34" s="18"/>
      <c r="O34" s="18"/>
      <c r="P34" s="18"/>
      <c r="Q34" s="18"/>
      <c r="R34" s="18"/>
      <c r="S34" s="18"/>
      <c r="T34" s="18"/>
      <c r="U34" s="18"/>
    </row>
    <row r="35" spans="1:21" s="24" customFormat="1" ht="60" hidden="1">
      <c r="A35" s="23" t="s">
        <v>64</v>
      </c>
      <c r="B35" s="62" t="str">
        <f>CONCATENATE(Eligibilité_projet!B14," - ",Eligibilité_projet!B16,"-",Eligibilité_projet!B13)</f>
        <v xml:space="preserve"> - -</v>
      </c>
      <c r="C35" s="62" t="str">
        <f>CONCATENATE(Eligibilité_projet!C14," - ",Eligibilité_projet!C16,"-",Eligibilité_projet!C13)</f>
        <v>20 - Grandes cultures-méditérranéen</v>
      </c>
      <c r="D35" s="62" t="str">
        <f>CONCATENATE(Eligibilité_projet!D14," - ",Eligibilité_projet!D16,"-",Eligibilité_projet!D13)</f>
        <v xml:space="preserve"> - -</v>
      </c>
      <c r="E35" s="62" t="str">
        <f>CONCATENATE(Eligibilité_projet!E14," - ",Eligibilité_projet!E16,"-",Eligibilité_projet!E13)</f>
        <v xml:space="preserve"> - -</v>
      </c>
      <c r="F35" s="62" t="str">
        <f>CONCATENATE(Eligibilité_projet!F14," - ",Eligibilité_projet!F16,"-",Eligibilité_projet!F13)</f>
        <v xml:space="preserve"> - -</v>
      </c>
      <c r="G35" s="62" t="str">
        <f>CONCATENATE(Eligibilité_projet!G14," - ",Eligibilité_projet!G16,"-",Eligibilité_projet!G13)</f>
        <v xml:space="preserve"> - -</v>
      </c>
      <c r="H35" s="62" t="str">
        <f>CONCATENATE(Eligibilité_projet!H14," - ",Eligibilité_projet!H16,"-",Eligibilité_projet!H13)</f>
        <v xml:space="preserve"> - -</v>
      </c>
      <c r="I35" s="62" t="str">
        <f>CONCATENATE(Eligibilité_projet!I14," - ",Eligibilité_projet!I16,"-",Eligibilité_projet!I13)</f>
        <v xml:space="preserve"> - -</v>
      </c>
      <c r="J35" s="62" t="str">
        <f>CONCATENATE(Eligibilité_projet!J14," - ",Eligibilité_projet!J16,"-",Eligibilité_projet!J13)</f>
        <v xml:space="preserve"> - -</v>
      </c>
      <c r="K35" s="62" t="str">
        <f>CONCATENATE(Eligibilité_projet!K14," - ",Eligibilité_projet!K16,"-",Eligibilité_projet!K13)</f>
        <v xml:space="preserve"> - -</v>
      </c>
      <c r="M35" s="18"/>
      <c r="N35" s="18"/>
      <c r="O35" s="18"/>
      <c r="P35" s="18"/>
      <c r="Q35" s="18"/>
      <c r="R35" s="18"/>
      <c r="S35" s="18"/>
      <c r="T35" s="18"/>
      <c r="U35" s="18"/>
    </row>
    <row r="36" spans="1:21" s="24" customFormat="1" ht="15">
      <c r="A36" s="23" t="s">
        <v>302</v>
      </c>
      <c r="B36" s="63">
        <f>RECant_sol!C9</f>
        <v>0</v>
      </c>
      <c r="C36" s="63">
        <f>RECant_sol!D9</f>
        <v>18.076666666666668</v>
      </c>
      <c r="D36" s="63">
        <f>RECant_sol!E9</f>
        <v>0</v>
      </c>
      <c r="E36" s="63">
        <f>RECant_sol!F9</f>
        <v>0</v>
      </c>
      <c r="F36" s="63">
        <f>RECant_sol!G9</f>
        <v>0</v>
      </c>
      <c r="G36" s="63">
        <f>RECant_sol!H9</f>
        <v>0</v>
      </c>
      <c r="H36" s="63">
        <f>RECant_sol!I9</f>
        <v>0</v>
      </c>
      <c r="I36" s="63">
        <f>RECant_sol!J9</f>
        <v>0</v>
      </c>
      <c r="J36" s="63">
        <f>RECant_sol!K9</f>
        <v>0</v>
      </c>
      <c r="K36" s="63">
        <f>RECant_sol!L9</f>
        <v>0</v>
      </c>
      <c r="L36" s="117">
        <f>SUM(B36:K36)</f>
        <v>18.076666666666668</v>
      </c>
      <c r="M36" s="18"/>
      <c r="N36" s="18"/>
      <c r="O36" s="18"/>
      <c r="P36" s="18"/>
      <c r="Q36" s="18"/>
      <c r="R36" s="18"/>
      <c r="S36" s="18"/>
      <c r="T36" s="18"/>
      <c r="U36" s="18"/>
    </row>
    <row r="37" spans="1:21" s="24" customFormat="1" ht="15">
      <c r="A37" s="23" t="s">
        <v>303</v>
      </c>
      <c r="B37" s="64">
        <f>RECant_biom!C28</f>
        <v>0</v>
      </c>
      <c r="C37" s="64">
        <f>RECant_biom!D28</f>
        <v>10.644473015873015</v>
      </c>
      <c r="D37" s="63">
        <f>RECant_biom!E28</f>
        <v>0</v>
      </c>
      <c r="E37" s="63">
        <f>RECant_biom!F28</f>
        <v>0</v>
      </c>
      <c r="F37" s="63">
        <f>RECant_biom!G28</f>
        <v>0</v>
      </c>
      <c r="G37" s="63">
        <f>RECant_biom!H28</f>
        <v>0</v>
      </c>
      <c r="H37" s="63">
        <f>RECant_biom!I28</f>
        <v>0</v>
      </c>
      <c r="I37" s="63">
        <f>RECant_biom!J28</f>
        <v>0</v>
      </c>
      <c r="J37" s="63">
        <f>RECant_biom!K28</f>
        <v>0</v>
      </c>
      <c r="K37" s="63">
        <f>RECant_biom!L28</f>
        <v>0</v>
      </c>
      <c r="L37" s="118">
        <f>SUM(B37:K37)</f>
        <v>10.644473015873015</v>
      </c>
      <c r="M37" s="18"/>
      <c r="N37" s="18"/>
      <c r="O37" s="18"/>
      <c r="P37" s="18"/>
      <c r="Q37" s="18"/>
      <c r="R37" s="18"/>
      <c r="S37" s="18"/>
      <c r="T37" s="18"/>
      <c r="U37" s="18"/>
    </row>
    <row r="38" spans="1:21" s="24" customFormat="1" ht="15">
      <c r="A38" s="65" t="s">
        <v>226</v>
      </c>
      <c r="B38" s="64">
        <f t="shared" si="3" ref="B38:K38">IF(B36="","",B36+B37)</f>
        <v>0</v>
      </c>
      <c r="C38" s="64">
        <f t="shared" si="3"/>
        <v>28.721139682539683</v>
      </c>
      <c r="D38" s="63">
        <f t="shared" si="3"/>
        <v>0</v>
      </c>
      <c r="E38" s="63">
        <f t="shared" si="3"/>
        <v>0</v>
      </c>
      <c r="F38" s="63">
        <f t="shared" si="3"/>
        <v>0</v>
      </c>
      <c r="G38" s="63">
        <f t="shared" si="3"/>
        <v>0</v>
      </c>
      <c r="H38" s="63">
        <f t="shared" si="3"/>
        <v>0</v>
      </c>
      <c r="I38" s="63">
        <f t="shared" si="3"/>
        <v>0</v>
      </c>
      <c r="J38" s="63">
        <f t="shared" si="3"/>
        <v>0</v>
      </c>
      <c r="K38" s="63">
        <f t="shared" si="3"/>
        <v>0</v>
      </c>
      <c r="L38" s="118">
        <f>SUM(B38:K38)</f>
        <v>28.721139682539683</v>
      </c>
      <c r="M38" s="18"/>
      <c r="N38" s="18"/>
      <c r="O38" s="18"/>
      <c r="P38" s="18"/>
      <c r="Q38" s="18"/>
      <c r="R38" s="18"/>
      <c r="S38" s="18"/>
      <c r="T38" s="18"/>
      <c r="U38" s="18"/>
    </row>
    <row r="39" spans="1:21" s="24" customFormat="1" ht="15">
      <c r="A39" s="23" t="s">
        <v>61</v>
      </c>
      <c r="B39" s="29" t="str">
        <f t="shared" si="4" ref="B39:K39">IF(AND(B36=0,B37=0),"",IF(B38&gt;0,"OUI","NON"))</f>
        <v/>
      </c>
      <c r="C39" s="29" t="str">
        <f t="shared" si="4"/>
        <v>OUI</v>
      </c>
      <c r="D39" s="29" t="str">
        <f t="shared" si="4"/>
        <v/>
      </c>
      <c r="E39" s="29" t="str">
        <f t="shared" si="4"/>
        <v/>
      </c>
      <c r="F39" s="29" t="str">
        <f t="shared" si="4"/>
        <v/>
      </c>
      <c r="G39" s="29" t="str">
        <f t="shared" si="4"/>
        <v/>
      </c>
      <c r="H39" s="29" t="str">
        <f t="shared" si="4"/>
        <v/>
      </c>
      <c r="I39" s="29" t="str">
        <f t="shared" si="4"/>
        <v/>
      </c>
      <c r="J39" s="29" t="str">
        <f t="shared" si="4"/>
        <v/>
      </c>
      <c r="K39" s="29" t="str">
        <f t="shared" si="4"/>
        <v/>
      </c>
      <c r="M39" s="18"/>
      <c r="N39" s="18"/>
      <c r="O39" s="18"/>
      <c r="P39" s="18"/>
      <c r="Q39" s="18"/>
      <c r="R39" s="18"/>
      <c r="S39" s="18"/>
      <c r="T39" s="18"/>
      <c r="U39" s="18"/>
    </row>
    <row r="40" spans="1:21" s="24" customFormat="1" ht="15">
      <c r="A40" s="99"/>
      <c r="M40" s="18"/>
      <c r="N40" s="18"/>
      <c r="O40" s="18"/>
      <c r="P40" s="18"/>
      <c r="Q40" s="18"/>
      <c r="R40" s="18"/>
      <c r="S40" s="18"/>
      <c r="T40" s="18"/>
      <c r="U40" s="18"/>
    </row>
    <row r="41" spans="13:21" s="24" customFormat="1" ht="15">
      <c r="M41" s="18"/>
      <c r="N41" s="18"/>
      <c r="O41" s="18"/>
      <c r="P41" s="18"/>
      <c r="Q41" s="18"/>
      <c r="R41" s="18"/>
      <c r="S41" s="18"/>
      <c r="T41" s="18"/>
      <c r="U41" s="18"/>
    </row>
    <row r="42" spans="1:21" s="24" customFormat="1" ht="15">
      <c r="A42" s="22" t="s">
        <v>68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M42" s="18"/>
      <c r="N42" s="18"/>
      <c r="O42" s="18"/>
      <c r="P42" s="18"/>
      <c r="Q42" s="18"/>
      <c r="R42" s="18"/>
      <c r="S42" s="18"/>
      <c r="T42" s="18"/>
      <c r="U42" s="18"/>
    </row>
    <row r="43" spans="1:21" s="24" customFormat="1" ht="15">
      <c r="A43" s="23" t="s">
        <v>61</v>
      </c>
      <c r="B43" s="29" t="str">
        <f>IF(B15="","",IF(B15&gt;=0.5,"OUI","NON"))</f>
        <v/>
      </c>
      <c r="C43" s="29" t="str">
        <f t="shared" si="5" ref="C43:K43">IF(C15="","",IF(C15&gt;=0.5,"OUI","NON"))</f>
        <v>OUI</v>
      </c>
      <c r="D43" s="29" t="str">
        <f t="shared" si="5"/>
        <v/>
      </c>
      <c r="E43" s="29" t="str">
        <f t="shared" si="5"/>
        <v/>
      </c>
      <c r="F43" s="29" t="str">
        <f t="shared" si="5"/>
        <v/>
      </c>
      <c r="G43" s="29" t="str">
        <f t="shared" si="5"/>
        <v/>
      </c>
      <c r="H43" s="29" t="str">
        <f t="shared" si="5"/>
        <v/>
      </c>
      <c r="I43" s="29" t="str">
        <f t="shared" si="5"/>
        <v/>
      </c>
      <c r="J43" s="29" t="str">
        <f t="shared" si="5"/>
        <v/>
      </c>
      <c r="K43" s="29" t="str">
        <f t="shared" si="5"/>
        <v/>
      </c>
      <c r="M43" s="18"/>
      <c r="N43" s="18"/>
      <c r="O43" s="18"/>
      <c r="P43" s="18"/>
      <c r="Q43" s="18"/>
      <c r="R43" s="18"/>
      <c r="S43" s="18"/>
      <c r="T43" s="18"/>
      <c r="U43" s="18"/>
    </row>
    <row r="44" spans="1:11" s="24" customFormat="1" ht="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s="24" customFormat="1" ht="15">
      <c r="A45" s="22" t="s">
        <v>342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s="24" customFormat="1" ht="45.75" customHeight="1">
      <c r="A46" s="23" t="s">
        <v>61</v>
      </c>
      <c r="B46" s="124" t="str">
        <f>IF(B13="","",IF(AND(B13="Hors climat Mediterranéen",B16="Prairies "),"Parcelle non éligible","OUI"))</f>
        <v/>
      </c>
      <c r="C46" s="124" t="str">
        <f t="shared" si="6" ref="C46:K46">IF(C13="","",IF(AND(C13="Hors climat Mediterranéen",C16="Prairies "),"Parcelle non éligible","OUI"))</f>
        <v>OUI</v>
      </c>
      <c r="D46" s="124" t="str">
        <f t="shared" si="6"/>
        <v/>
      </c>
      <c r="E46" s="29" t="str">
        <f t="shared" si="6"/>
        <v/>
      </c>
      <c r="F46" s="29" t="str">
        <f t="shared" si="6"/>
        <v/>
      </c>
      <c r="G46" s="29" t="str">
        <f t="shared" si="6"/>
        <v/>
      </c>
      <c r="H46" s="29" t="str">
        <f t="shared" si="6"/>
        <v/>
      </c>
      <c r="I46" s="29" t="str">
        <f t="shared" si="6"/>
        <v/>
      </c>
      <c r="J46" s="29" t="str">
        <f t="shared" si="6"/>
        <v/>
      </c>
      <c r="K46" s="29" t="str">
        <f t="shared" si="6"/>
        <v/>
      </c>
    </row>
    <row r="47" spans="1:11" s="24" customFormat="1" ht="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s="24" customFormat="1" ht="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s="24" customFormat="1" ht="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s="24" customFormat="1" ht="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s="24" customFormat="1" ht="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s="24" customFormat="1" ht="1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s="24" customFormat="1" ht="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" ht="15">
      <c r="A54" s="18"/>
    </row>
    <row r="55" spans="1:1" ht="15">
      <c r="A55" s="18"/>
    </row>
    <row r="56" spans="1:1" ht="15">
      <c r="A56" s="18"/>
    </row>
    <row r="57" spans="1:1" ht="15">
      <c r="A57" s="18"/>
    </row>
    <row r="58" spans="1:1" ht="15">
      <c r="A58" s="18"/>
    </row>
    <row r="59" spans="1:1" ht="15">
      <c r="A59" s="18"/>
    </row>
    <row r="60" spans="1:1" ht="15">
      <c r="A60" s="18"/>
    </row>
    <row r="61" spans="1:1" ht="15">
      <c r="A61" s="18"/>
    </row>
    <row r="62" spans="1:1" ht="15">
      <c r="A62" s="18"/>
    </row>
    <row r="63" spans="1:1" ht="15">
      <c r="A63" s="18"/>
    </row>
    <row r="64" spans="1:1" ht="15">
      <c r="A64" s="18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9">
    <dataValidation showInputMessage="1" showErrorMessage="1" sqref="B8:K8 B12:K12 B20:K21 A22:M22 B23:K23"/>
    <dataValidation type="list" showInputMessage="1" showErrorMessage="1" sqref="C2">
      <formula1>$AG$2:$AG$3</formula1>
    </dataValidation>
    <dataValidation type="list" showInputMessage="1" showErrorMessage="1" sqref="B13:K13">
      <formula1>'(ne pas modifier) LISTES'!$A$2:$A$3</formula1>
    </dataValidation>
    <dataValidation type="list" showInputMessage="1" showErrorMessage="1" sqref="B16:K16">
      <formula1>'(ne pas modifier) LISTES'!$B$2:$B$5</formula1>
    </dataValidation>
    <dataValidation type="list" allowBlank="1" showInputMessage="1" showErrorMessage="1" sqref="B9:K9">
      <formula1>'(ne pas modifier) LISTES'!$C$2:$C$17</formula1>
    </dataValidation>
    <dataValidation type="list" showInputMessage="1" showErrorMessage="1" sqref="B14:K14">
      <formula1>'(ne pas modifier) LISTES'!$E$2:$E$12</formula1>
    </dataValidation>
    <dataValidation type="list" showInputMessage="1" showErrorMessage="1" sqref="B8:K8 B11:K11 B13:K13">
      <formula1>'(ne pas modifier) LISTES'!$D$2:$D$7</formula1>
    </dataValidation>
    <dataValidation type="list" allowBlank="1" showInputMessage="1" showErrorMessage="1" sqref="B10:K10">
      <formula1>'(ne pas modifier) BDD_REF'!$A$195:$A$204</formula1>
    </dataValidation>
    <dataValidation type="list" showInputMessage="1" showErrorMessage="1" sqref="B17:K19">
      <formula1>'(ne pas modifier) LISTES'!$F$2:$F$58</formula1>
    </dataValidation>
  </dataValidations>
  <pageMargins left="0.7" right="0.7" top="0.75" bottom="0.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 topLeftCell="A1">
      <selection pane="topLeft" activeCell="B5" sqref="B5"/>
    </sheetView>
  </sheetViews>
  <sheetFormatPr defaultColWidth="11.4242857142857" defaultRowHeight="15"/>
  <cols>
    <col min="1" max="1" width="46.7142857142857" style="24" customWidth="1"/>
    <col min="2" max="16384" width="11.4285714285714" style="24"/>
  </cols>
  <sheetData>
    <row r="2" spans="1:12" ht="14.25" customHeight="1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3:14" ht="15">
      <c r="M3" s="18"/>
      <c r="N3" s="18"/>
    </row>
    <row r="4" spans="2:14" ht="30">
      <c r="B4" s="30" t="s">
        <v>9</v>
      </c>
      <c r="C4" s="30" t="s">
        <v>10</v>
      </c>
      <c r="D4" s="30" t="s">
        <v>11</v>
      </c>
      <c r="E4" s="30" t="s">
        <v>12</v>
      </c>
      <c r="F4" s="30" t="s">
        <v>13</v>
      </c>
      <c r="G4" s="30" t="s">
        <v>14</v>
      </c>
      <c r="H4" s="30" t="s">
        <v>15</v>
      </c>
      <c r="I4" s="30" t="s">
        <v>16</v>
      </c>
      <c r="J4" s="30" t="s">
        <v>17</v>
      </c>
      <c r="K4" s="30" t="s">
        <v>18</v>
      </c>
      <c r="L4" s="30" t="s">
        <v>151</v>
      </c>
      <c r="M4" s="18"/>
      <c r="N4" s="18"/>
    </row>
    <row r="5" spans="1:14" ht="15">
      <c r="A5" s="19" t="s">
        <v>138</v>
      </c>
      <c r="B5" s="3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0</v>
      </c>
      <c r="C5" s="3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3.4623325584952003</v>
      </c>
      <c r="D5" s="3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3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3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3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3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3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3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3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32">
        <f>SUM(B5:K5)</f>
        <v>3.4623325584952003</v>
      </c>
      <c r="M5" s="18"/>
      <c r="N5" s="18"/>
    </row>
    <row r="6" spans="1:14" ht="15">
      <c r="A6" s="19" t="s">
        <v>139</v>
      </c>
      <c r="B6" s="32">
        <f>IF(Eligibilité_projet!B10="",0,VLOOKUP(Eligibilité_projet!B10,'(ne pas modifier) BDD_REF'!$A$195:$B$204,2,FALSE)/1000)</f>
        <v>0</v>
      </c>
      <c r="C6" s="32">
        <f>IF(Eligibilité_projet!C10="",0,VLOOKUP(Eligibilité_projet!C10,'(ne pas modifier) BDD_REF'!$A$195:$B$204,2,FALSE)/1000)</f>
        <v>0</v>
      </c>
      <c r="D6" s="32">
        <f>IF(Eligibilité_projet!D10="",0,VLOOKUP(Eligibilité_projet!D10,'(ne pas modifier) BDD_REF'!$A$195:$B$204,2,FALSE)/1000)</f>
        <v>0</v>
      </c>
      <c r="E6" s="32">
        <f>IF(Eligibilité_projet!E10="",0,VLOOKUP(Eligibilité_projet!E10,'(ne pas modifier) BDD_REF'!$A$195:$B$204,2,FALSE)/1000)</f>
        <v>0</v>
      </c>
      <c r="F6" s="32">
        <f>IF(Eligibilité_projet!F10="",0,VLOOKUP(Eligibilité_projet!F10,'(ne pas modifier) BDD_REF'!$A$195:$B$204,2,FALSE)/1000)</f>
        <v>0</v>
      </c>
      <c r="G6" s="32">
        <f>IF(Eligibilité_projet!G10="",0,VLOOKUP(Eligibilité_projet!G10,'(ne pas modifier) BDD_REF'!$A$195:$B$204,2,FALSE)/1000)</f>
        <v>0</v>
      </c>
      <c r="H6" s="32">
        <f>IF(Eligibilité_projet!H10="",0,VLOOKUP(Eligibilité_projet!H10,'(ne pas modifier) BDD_REF'!$A$195:$B$204,2,FALSE)/1000)</f>
        <v>0</v>
      </c>
      <c r="I6" s="32">
        <f>IF(Eligibilité_projet!I10="",0,VLOOKUP(Eligibilité_projet!I10,'(ne pas modifier) BDD_REF'!$A$195:$B$204,2,FALSE)/1000)</f>
        <v>0</v>
      </c>
      <c r="J6" s="32">
        <f>IF(Eligibilité_projet!J10="",0,VLOOKUP(Eligibilité_projet!J10,'(ne pas modifier) BDD_REF'!$A$195:$B$204,2,FALSE)/1000)</f>
        <v>0</v>
      </c>
      <c r="K6" s="32">
        <f>IF(Eligibilité_projet!K10="",0,VLOOKUP(Eligibilité_projet!K10,'(ne pas modifier) BDD_REF'!$A$195:$B$204,2,FALSE)/1000)</f>
        <v>0</v>
      </c>
      <c r="L6" s="32">
        <f>SUM(B6:K6)</f>
        <v>0</v>
      </c>
      <c r="M6" s="18"/>
      <c r="N6" s="18"/>
    </row>
    <row r="7" spans="1:14" ht="15">
      <c r="A7" s="19" t="s">
        <v>223</v>
      </c>
      <c r="B7" s="32">
        <f>IF(OR('RECeff + REIamont (1)'!B5="pas de calcul possible",'RECeff + REIamont (1)'!B6="pas de calcul possible"),"pas de calcul possible",('RECeff + REIamont (1)'!B6-'RECeff + REIamont (1)'!B5)*5*Eligibilité_projet!B8)</f>
        <v>0</v>
      </c>
      <c r="C7" s="32">
        <f>IF(OR('RECeff + REIamont (1)'!C5="pas de calcul possible",'RECeff + REIamont (1)'!C6="pas de calcul possible"),"pas de calcul possible",('RECeff + REIamont (1)'!C6-'RECeff + REIamont (1)'!C5)*5*Eligibilité_projet!C8)</f>
        <v>-5.02038220981804</v>
      </c>
      <c r="D7" s="32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32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32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32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32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32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32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32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32">
        <f>SUM(B7:K7)</f>
        <v>-5.02038220981804</v>
      </c>
      <c r="M7" s="18"/>
      <c r="N7" s="18"/>
    </row>
    <row r="8" spans="1:12" ht="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 topLeftCell="A22">
      <selection pane="topLeft" activeCell="D137" sqref="D137"/>
    </sheetView>
  </sheetViews>
  <sheetFormatPr defaultColWidth="11.4242857142857" defaultRowHeight="15"/>
  <cols>
    <col min="1" max="1" width="12.4285714285714" style="34" customWidth="1"/>
    <col min="2" max="2" width="53.8571428571429" style="24" customWidth="1"/>
    <col min="3" max="12" width="11.4285714285714" style="18"/>
    <col min="13" max="13" width="11.4285714285714" style="24"/>
    <col min="14" max="15" width="11.4285714285714" style="18"/>
    <col min="16" max="108" width="11.4285714285714" style="24"/>
    <col min="109" max="16384" width="11.4285714285714" style="18"/>
  </cols>
  <sheetData>
    <row r="2" spans="2:13" ht="36.6" customHeight="1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3:15" s="24" customFormat="1" ht="28.9" customHeight="1">
      <c r="C4" s="30" t="s">
        <v>9</v>
      </c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14</v>
      </c>
      <c r="I4" s="30" t="s">
        <v>15</v>
      </c>
      <c r="J4" s="30" t="s">
        <v>16</v>
      </c>
      <c r="K4" s="30" t="s">
        <v>17</v>
      </c>
      <c r="L4" s="30" t="s">
        <v>18</v>
      </c>
      <c r="M4" s="31" t="s">
        <v>151</v>
      </c>
      <c r="N4" s="18"/>
      <c r="O4" s="18"/>
    </row>
    <row r="5" spans="1:15" s="24" customFormat="1" ht="15" customHeight="1">
      <c r="A5" s="150"/>
      <c r="B5" s="136" t="s">
        <v>145</v>
      </c>
      <c r="C5" s="151"/>
      <c r="D5" s="151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3.4623325584952003</v>
      </c>
      <c r="E5" s="151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151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151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151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151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151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151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151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151">
        <f>SUM(C5:L5)</f>
        <v>3.4623325584952003</v>
      </c>
      <c r="N5" s="138"/>
      <c r="O5" s="138"/>
    </row>
    <row r="6" spans="1:15" s="24" customFormat="1" ht="15">
      <c r="A6" s="34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"/>
      <c r="O6" s="18"/>
    </row>
    <row r="7" spans="1:13" ht="15" customHeight="1">
      <c r="A7" s="152" t="s">
        <v>146</v>
      </c>
      <c r="B7" s="153" t="s">
        <v>312</v>
      </c>
      <c r="C7" s="143"/>
      <c r="D7" s="143">
        <v>0</v>
      </c>
      <c r="E7" s="137"/>
      <c r="F7" s="137"/>
      <c r="G7" s="137"/>
      <c r="H7" s="137"/>
      <c r="I7" s="137"/>
      <c r="J7" s="137"/>
      <c r="K7" s="137"/>
      <c r="L7" s="137"/>
      <c r="M7" s="151">
        <f>SUM(C7:L7)</f>
        <v>0</v>
      </c>
    </row>
    <row r="8" spans="2:13" ht="15" customHeight="1">
      <c r="B8" s="153" t="s">
        <v>313</v>
      </c>
      <c r="C8" s="143"/>
      <c r="D8" s="143">
        <v>0</v>
      </c>
      <c r="E8" s="137"/>
      <c r="F8" s="137"/>
      <c r="G8" s="137"/>
      <c r="H8" s="137"/>
      <c r="I8" s="137"/>
      <c r="J8" s="137"/>
      <c r="K8" s="137"/>
      <c r="L8" s="137"/>
      <c r="M8" s="151">
        <f>SUM(C8:L8)</f>
        <v>0</v>
      </c>
    </row>
    <row r="9" spans="2:13" ht="15" customHeight="1">
      <c r="B9" s="153" t="s">
        <v>314</v>
      </c>
      <c r="C9" s="143"/>
      <c r="D9" s="143">
        <v>0</v>
      </c>
      <c r="E9" s="137"/>
      <c r="F9" s="137"/>
      <c r="G9" s="137"/>
      <c r="H9" s="137"/>
      <c r="I9" s="137"/>
      <c r="J9" s="137"/>
      <c r="K9" s="137"/>
      <c r="L9" s="137"/>
      <c r="M9" s="151">
        <f>SUM(C9:L9)</f>
        <v>0</v>
      </c>
    </row>
    <row r="10" spans="2:13" ht="15" customHeight="1">
      <c r="B10" s="154" t="s">
        <v>328</v>
      </c>
      <c r="C10" s="151"/>
      <c r="D10" s="151">
        <f>D7*'(ne pas modifier) BDD_REF'!$B$207+(D8+D9)*'(ne pas modifier) BDD_REF'!$B$208</f>
        <v>0</v>
      </c>
      <c r="E10" s="151">
        <f>E7*'(ne pas modifier) BDD_REF'!$B$207+(E8+E9)*'(ne pas modifier) BDD_REF'!$B$208</f>
        <v>0</v>
      </c>
      <c r="F10" s="151">
        <f>F7*'(ne pas modifier) BDD_REF'!$B$207+(F8+F9)*'(ne pas modifier) BDD_REF'!$B$208</f>
        <v>0</v>
      </c>
      <c r="G10" s="151">
        <f>G7*'(ne pas modifier) BDD_REF'!$B$207+(G8+G9)*'(ne pas modifier) BDD_REF'!$B$208</f>
        <v>0</v>
      </c>
      <c r="H10" s="151">
        <f>H7*'(ne pas modifier) BDD_REF'!$B$207+(H8+H9)*'(ne pas modifier) BDD_REF'!$B$208</f>
        <v>0</v>
      </c>
      <c r="I10" s="151">
        <f>I7*'(ne pas modifier) BDD_REF'!$B$207+(I8+I9)*'(ne pas modifier) BDD_REF'!$B$208</f>
        <v>0</v>
      </c>
      <c r="J10" s="151">
        <f>J7*'(ne pas modifier) BDD_REF'!$B$207+(J8+J9)*'(ne pas modifier) BDD_REF'!$B$208</f>
        <v>0</v>
      </c>
      <c r="K10" s="151">
        <f>K7*'(ne pas modifier) BDD_REF'!$B$207+(K8+K9)*'(ne pas modifier) BDD_REF'!$B$208</f>
        <v>0</v>
      </c>
      <c r="L10" s="151">
        <f>L7*'(ne pas modifier) BDD_REF'!$B$207+(L8+L9)*'(ne pas modifier) BDD_REF'!$B$208</f>
        <v>0</v>
      </c>
      <c r="M10" s="151">
        <f>SUM(C10:L10)</f>
        <v>0</v>
      </c>
    </row>
    <row r="11" spans="2:13" ht="15" customHeight="1">
      <c r="B11" s="154" t="s">
        <v>329</v>
      </c>
      <c r="C11" s="151"/>
      <c r="D11" s="151">
        <f>((D7*'(ne pas modifier) BDD_REF'!$B$220)+('RECeff + REIamont (2)'!D8+'RECeff + REIamont (2)'!D9)*'(ne pas modifier) BDD_REF'!$B$221)*'(ne pas modifier) BDD_REF'!$B$209</f>
        <v>0</v>
      </c>
      <c r="E11" s="151">
        <f>((E7*'(ne pas modifier) BDD_REF'!$B$220)+('RECeff + REIamont (2)'!E8+'RECeff + REIamont (2)'!E9)*'(ne pas modifier) BDD_REF'!$B$221)*'(ne pas modifier) BDD_REF'!$B$209</f>
        <v>0</v>
      </c>
      <c r="F11" s="151">
        <f>((F7*'(ne pas modifier) BDD_REF'!$B$220)+('RECeff + REIamont (2)'!F8+'RECeff + REIamont (2)'!F9)*'(ne pas modifier) BDD_REF'!$B$221)*'(ne pas modifier) BDD_REF'!$B$209</f>
        <v>0</v>
      </c>
      <c r="G11" s="151">
        <f>((G7*'(ne pas modifier) BDD_REF'!$B$220)+('RECeff + REIamont (2)'!G8+'RECeff + REIamont (2)'!G9)*'(ne pas modifier) BDD_REF'!$B$221)*'(ne pas modifier) BDD_REF'!$B$209</f>
        <v>0</v>
      </c>
      <c r="H11" s="151">
        <f>((H7*'(ne pas modifier) BDD_REF'!$B$220)+('RECeff + REIamont (2)'!H8+'RECeff + REIamont (2)'!H9)*'(ne pas modifier) BDD_REF'!$B$221)*'(ne pas modifier) BDD_REF'!$B$209</f>
        <v>0</v>
      </c>
      <c r="I11" s="151">
        <f>((I7*'(ne pas modifier) BDD_REF'!$B$220)+('RECeff + REIamont (2)'!I8+'RECeff + REIamont (2)'!I9)*'(ne pas modifier) BDD_REF'!$B$221)*'(ne pas modifier) BDD_REF'!$B$209</f>
        <v>0</v>
      </c>
      <c r="J11" s="151">
        <f>((J7*'(ne pas modifier) BDD_REF'!$B$220)+('RECeff + REIamont (2)'!J8+'RECeff + REIamont (2)'!J9)*'(ne pas modifier) BDD_REF'!$B$221)*'(ne pas modifier) BDD_REF'!$B$209</f>
        <v>0</v>
      </c>
      <c r="K11" s="151">
        <f>((K7*'(ne pas modifier) BDD_REF'!$B$220)+('RECeff + REIamont (2)'!K8+'RECeff + REIamont (2)'!K9)*'(ne pas modifier) BDD_REF'!$B$221)*'(ne pas modifier) BDD_REF'!$B$209</f>
        <v>0</v>
      </c>
      <c r="L11" s="151">
        <f>((L7*'(ne pas modifier) BDD_REF'!$B$220)+('RECeff + REIamont (2)'!L8+'RECeff + REIamont (2)'!L9)*'(ne pas modifier) BDD_REF'!$B$221)*'(ne pas modifier) BDD_REF'!$B$209</f>
        <v>0</v>
      </c>
      <c r="M11" s="151">
        <f>SUM(C11:L11)</f>
        <v>0</v>
      </c>
    </row>
    <row r="12" spans="2:13" ht="15" customHeight="1">
      <c r="B12" s="154" t="s">
        <v>330</v>
      </c>
      <c r="C12" s="151"/>
      <c r="D12" s="151">
        <f>(D7+D8+D9)*'(ne pas modifier) BDD_REF'!$B$222*'(ne pas modifier) BDD_REF'!$B$210</f>
        <v>0</v>
      </c>
      <c r="E12" s="151">
        <f>(E7+E8+E9)*'(ne pas modifier) BDD_REF'!$B$222*'(ne pas modifier) BDD_REF'!$B$210</f>
        <v>0</v>
      </c>
      <c r="F12" s="151">
        <f>(F7+F8+F9)*'(ne pas modifier) BDD_REF'!$B$222*'(ne pas modifier) BDD_REF'!$B$210</f>
        <v>0</v>
      </c>
      <c r="G12" s="151">
        <f>(G7+G8+G9)*'(ne pas modifier) BDD_REF'!$B$222*'(ne pas modifier) BDD_REF'!$B$210</f>
        <v>0</v>
      </c>
      <c r="H12" s="151">
        <f>(H7+H8+H9)*'(ne pas modifier) BDD_REF'!$B$222*'(ne pas modifier) BDD_REF'!$B$210</f>
        <v>0</v>
      </c>
      <c r="I12" s="151">
        <f>(I7+I8+I9)*'(ne pas modifier) BDD_REF'!$B$222*'(ne pas modifier) BDD_REF'!$B$210</f>
        <v>0</v>
      </c>
      <c r="J12" s="151">
        <f>(J7+J8+J9)*'(ne pas modifier) BDD_REF'!$B$222*'(ne pas modifier) BDD_REF'!$B$210</f>
        <v>0</v>
      </c>
      <c r="K12" s="151">
        <f>(K7+K8+K9)*'(ne pas modifier) BDD_REF'!$B$222*'(ne pas modifier) BDD_REF'!$B$210</f>
        <v>0</v>
      </c>
      <c r="L12" s="151">
        <f>(L7+L8+L9)*'(ne pas modifier) BDD_REF'!$B$222*'(ne pas modifier) BDD_REF'!$B$210</f>
        <v>0</v>
      </c>
      <c r="M12" s="151">
        <f>SUM(C12:L12)</f>
        <v>0</v>
      </c>
    </row>
    <row r="13" spans="2:13" ht="15" customHeight="1">
      <c r="B13" s="153" t="s">
        <v>315</v>
      </c>
      <c r="C13" s="143"/>
      <c r="D13" s="143">
        <v>0</v>
      </c>
      <c r="E13" s="137"/>
      <c r="F13" s="137"/>
      <c r="G13" s="137"/>
      <c r="H13" s="137"/>
      <c r="I13" s="137"/>
      <c r="J13" s="137"/>
      <c r="K13" s="137"/>
      <c r="L13" s="137"/>
      <c r="M13" s="151">
        <f>SUM(C13:L13)</f>
        <v>0</v>
      </c>
    </row>
    <row r="14" spans="2:13" ht="15" customHeight="1">
      <c r="B14" s="153" t="s">
        <v>316</v>
      </c>
      <c r="C14" s="143"/>
      <c r="D14" s="143">
        <v>50</v>
      </c>
      <c r="E14" s="137"/>
      <c r="F14" s="137"/>
      <c r="G14" s="137"/>
      <c r="H14" s="137"/>
      <c r="I14" s="137"/>
      <c r="J14" s="137"/>
      <c r="K14" s="137"/>
      <c r="L14" s="137"/>
      <c r="M14" s="151">
        <f>SUM(C14:L14)</f>
        <v>50</v>
      </c>
    </row>
    <row r="15" spans="2:13" ht="15" customHeight="1">
      <c r="B15" s="153" t="s">
        <v>317</v>
      </c>
      <c r="C15" s="143"/>
      <c r="D15" s="143">
        <v>0</v>
      </c>
      <c r="E15" s="137"/>
      <c r="F15" s="137"/>
      <c r="G15" s="137"/>
      <c r="H15" s="137"/>
      <c r="I15" s="137"/>
      <c r="J15" s="137"/>
      <c r="K15" s="137"/>
      <c r="L15" s="137"/>
      <c r="M15" s="151">
        <f>SUM(C15:L15)</f>
        <v>0</v>
      </c>
    </row>
    <row r="16" spans="2:13" ht="15" customHeight="1">
      <c r="B16" s="153" t="s">
        <v>318</v>
      </c>
      <c r="C16" s="143"/>
      <c r="D16" s="143">
        <v>0</v>
      </c>
      <c r="E16" s="137"/>
      <c r="F16" s="137"/>
      <c r="G16" s="137"/>
      <c r="H16" s="137"/>
      <c r="I16" s="137"/>
      <c r="J16" s="137"/>
      <c r="K16" s="137"/>
      <c r="L16" s="137"/>
      <c r="M16" s="151">
        <f>SUM(C16:L16)</f>
        <v>0</v>
      </c>
    </row>
    <row r="17" spans="2:13" ht="15" customHeight="1">
      <c r="B17" s="153" t="s">
        <v>319</v>
      </c>
      <c r="C17" s="143"/>
      <c r="D17" s="143">
        <v>0</v>
      </c>
      <c r="E17" s="137"/>
      <c r="F17" s="137"/>
      <c r="G17" s="137"/>
      <c r="H17" s="137"/>
      <c r="I17" s="137"/>
      <c r="J17" s="137"/>
      <c r="K17" s="137"/>
      <c r="L17" s="137"/>
      <c r="M17" s="151">
        <f>SUM(C17:L17)</f>
        <v>0</v>
      </c>
    </row>
    <row r="18" spans="2:13" ht="15" customHeight="1">
      <c r="B18" s="153" t="s">
        <v>320</v>
      </c>
      <c r="C18" s="143"/>
      <c r="D18" s="143">
        <v>0</v>
      </c>
      <c r="E18" s="137"/>
      <c r="F18" s="137"/>
      <c r="G18" s="137"/>
      <c r="H18" s="137"/>
      <c r="I18" s="137"/>
      <c r="J18" s="137"/>
      <c r="K18" s="137"/>
      <c r="L18" s="137"/>
      <c r="M18" s="151">
        <f>SUM(C18:L18)</f>
        <v>0</v>
      </c>
    </row>
    <row r="19" spans="2:13" ht="15" customHeight="1">
      <c r="B19" s="136" t="s">
        <v>173</v>
      </c>
      <c r="C19" s="151"/>
      <c r="D19" s="151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0.15354999999999999</v>
      </c>
      <c r="E19" s="151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151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151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151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151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151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151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151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151">
        <f>SUM(C19:L19)</f>
        <v>0.15354999999999999</v>
      </c>
    </row>
    <row r="20" spans="2:13" ht="15" customHeight="1">
      <c r="B20" s="153" t="s">
        <v>321</v>
      </c>
      <c r="C20" s="143"/>
      <c r="D20" s="143">
        <v>0</v>
      </c>
      <c r="E20" s="137"/>
      <c r="F20" s="137"/>
      <c r="G20" s="137"/>
      <c r="H20" s="137"/>
      <c r="I20" s="137"/>
      <c r="J20" s="137"/>
      <c r="K20" s="137"/>
      <c r="L20" s="137"/>
      <c r="M20" s="151">
        <f>SUM(C20:L20)</f>
        <v>0</v>
      </c>
    </row>
    <row r="21" spans="2:13" ht="15" customHeight="1">
      <c r="B21" s="136" t="s">
        <v>184</v>
      </c>
      <c r="C21" s="151"/>
      <c r="D21" s="151">
        <f>(D20*'(ne pas modifier) BDD_REF'!$B$211)/1000</f>
        <v>0</v>
      </c>
      <c r="E21" s="151">
        <f>(E20*'(ne pas modifier) BDD_REF'!$B$211)/1000</f>
        <v>0</v>
      </c>
      <c r="F21" s="151">
        <f>(F20*'(ne pas modifier) BDD_REF'!$B$211)/1000</f>
        <v>0</v>
      </c>
      <c r="G21" s="151">
        <f>(G20*'(ne pas modifier) BDD_REF'!$B$211)/1000</f>
        <v>0</v>
      </c>
      <c r="H21" s="151">
        <f>(H20*'(ne pas modifier) BDD_REF'!$B$211)/1000</f>
        <v>0</v>
      </c>
      <c r="I21" s="151">
        <f>(I20*'(ne pas modifier) BDD_REF'!$B$211)/1000</f>
        <v>0</v>
      </c>
      <c r="J21" s="151">
        <f>(J20*'(ne pas modifier) BDD_REF'!$B$211)/1000</f>
        <v>0</v>
      </c>
      <c r="K21" s="151">
        <f>(K20*'(ne pas modifier) BDD_REF'!$B$211)/1000</f>
        <v>0</v>
      </c>
      <c r="L21" s="151">
        <f>(L20*'(ne pas modifier) BDD_REF'!$B$211)/1000</f>
        <v>0</v>
      </c>
      <c r="M21" s="151">
        <f>SUM(C21:L21)</f>
        <v>0</v>
      </c>
    </row>
    <row r="22" spans="1:108" s="33" customFormat="1" ht="15" customHeight="1">
      <c r="A22" s="155"/>
      <c r="B22" s="154" t="s">
        <v>185</v>
      </c>
      <c r="C22" s="156"/>
      <c r="D22" s="156">
        <f>D19+D21</f>
        <v>0.15354999999999999</v>
      </c>
      <c r="E22" s="156">
        <f>E19+E21</f>
        <v>0</v>
      </c>
      <c r="F22" s="156">
        <f>F19+F21</f>
        <v>0</v>
      </c>
      <c r="G22" s="156">
        <f>G19+G21</f>
        <v>0</v>
      </c>
      <c r="H22" s="156">
        <f>H19+H21</f>
        <v>0</v>
      </c>
      <c r="I22" s="156">
        <f>I19+I21</f>
        <v>0</v>
      </c>
      <c r="J22" s="156">
        <f>J19+J21</f>
        <v>0</v>
      </c>
      <c r="K22" s="156">
        <f>K19+K21</f>
        <v>0</v>
      </c>
      <c r="L22" s="156">
        <f>L19+L21</f>
        <v>0</v>
      </c>
      <c r="M22" s="151">
        <f>SUM(C22:L22)</f>
        <v>0.15354999999999999</v>
      </c>
      <c r="P22" s="157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</row>
    <row r="23" spans="2:13" ht="15" customHeight="1">
      <c r="B23" s="153" t="s">
        <v>322</v>
      </c>
      <c r="C23" s="143"/>
      <c r="D23" s="143">
        <v>0</v>
      </c>
      <c r="E23" s="137"/>
      <c r="F23" s="137"/>
      <c r="G23" s="137"/>
      <c r="H23" s="137"/>
      <c r="I23" s="137"/>
      <c r="J23" s="137"/>
      <c r="K23" s="137"/>
      <c r="L23" s="137"/>
      <c r="M23" s="151">
        <f>SUM(C23:L23)</f>
        <v>0</v>
      </c>
    </row>
    <row r="24" spans="2:13" ht="15">
      <c r="B24" s="23" t="s">
        <v>323</v>
      </c>
      <c r="C24" s="109">
        <v>0</v>
      </c>
      <c r="D24" s="109">
        <v>0</v>
      </c>
      <c r="E24" s="109"/>
      <c r="F24" s="109"/>
      <c r="G24" s="109"/>
      <c r="H24" s="109"/>
      <c r="I24" s="109"/>
      <c r="J24" s="109"/>
      <c r="K24" s="109"/>
      <c r="L24" s="109"/>
      <c r="M24" s="58">
        <f>SUM(C24:L24)</f>
        <v>0</v>
      </c>
    </row>
    <row r="25" spans="2:13" ht="15">
      <c r="B25" s="19" t="s">
        <v>292</v>
      </c>
      <c r="C25" s="58">
        <f>(C7*'(ne pas modifier) BDD_REF'!$B$212+'RECeff + REIamont (2)'!C23*'(ne pas modifier) BDD_REF'!$B$213+'RECeff + REIamont (2)'!C24*'(ne pas modifier) BDD_REF'!$B$214)/1000</f>
        <v>0</v>
      </c>
      <c r="D25" s="58">
        <f>(D7*'(ne pas modifier) BDD_REF'!$B$212+'RECeff + REIamont (2)'!D23*'(ne pas modifier) BDD_REF'!$B$213+'RECeff + REIamont (2)'!D24*'(ne pas modifier) BDD_REF'!$B$214)/1000</f>
        <v>0</v>
      </c>
      <c r="E25" s="58">
        <f>(E7*'(ne pas modifier) BDD_REF'!$B$212+'RECeff + REIamont (2)'!E23*'(ne pas modifier) BDD_REF'!$B$213+'RECeff + REIamont (2)'!E24*'(ne pas modifier) BDD_REF'!$B$214)/1000</f>
        <v>0</v>
      </c>
      <c r="F25" s="58">
        <f>(F7*'(ne pas modifier) BDD_REF'!$B$212+'RECeff + REIamont (2)'!F23*'(ne pas modifier) BDD_REF'!$B$213+'RECeff + REIamont (2)'!F24*'(ne pas modifier) BDD_REF'!$B$214)/1000</f>
        <v>0</v>
      </c>
      <c r="G25" s="58">
        <f>(G7*'(ne pas modifier) BDD_REF'!$B$212+'RECeff + REIamont (2)'!G23*'(ne pas modifier) BDD_REF'!$B$213+'RECeff + REIamont (2)'!G24*'(ne pas modifier) BDD_REF'!$B$214)/1000</f>
        <v>0</v>
      </c>
      <c r="H25" s="58">
        <f>(H7*'(ne pas modifier) BDD_REF'!$B$212+'RECeff + REIamont (2)'!H23*'(ne pas modifier) BDD_REF'!$B$213+'RECeff + REIamont (2)'!H24*'(ne pas modifier) BDD_REF'!$B$214)/1000</f>
        <v>0</v>
      </c>
      <c r="I25" s="58">
        <f>(I7*'(ne pas modifier) BDD_REF'!$B$212+'RECeff + REIamont (2)'!I23*'(ne pas modifier) BDD_REF'!$B$213+'RECeff + REIamont (2)'!I24*'(ne pas modifier) BDD_REF'!$B$214)/1000</f>
        <v>0</v>
      </c>
      <c r="J25" s="58">
        <f>(J7*'(ne pas modifier) BDD_REF'!$B$212+'RECeff + REIamont (2)'!J23*'(ne pas modifier) BDD_REF'!$B$213+'RECeff + REIamont (2)'!J24*'(ne pas modifier) BDD_REF'!$B$214)/1000</f>
        <v>0</v>
      </c>
      <c r="K25" s="58">
        <f>(K7*'(ne pas modifier) BDD_REF'!$B$212+'RECeff + REIamont (2)'!K23*'(ne pas modifier) BDD_REF'!$B$213+'RECeff + REIamont (2)'!K24*'(ne pas modifier) BDD_REF'!$B$214)/1000</f>
        <v>0</v>
      </c>
      <c r="L25" s="58">
        <f>(L7*'(ne pas modifier) BDD_REF'!$B$212+'RECeff + REIamont (2)'!L23*'(ne pas modifier) BDD_REF'!$B$213+'RECeff + REIamont (2)'!L24*'(ne pas modifier) BDD_REF'!$B$214)/1000</f>
        <v>0</v>
      </c>
      <c r="M25" s="58">
        <f>SUM(C25:L25)</f>
        <v>0</v>
      </c>
    </row>
    <row r="26" spans="2:13" ht="15" hidden="1">
      <c r="B26" s="19" t="s">
        <v>175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58">
        <f>SUM(C26:L26)</f>
        <v>0</v>
      </c>
    </row>
    <row r="27" spans="1:13" ht="45">
      <c r="A27" s="94" t="s">
        <v>293</v>
      </c>
      <c r="B27" s="23" t="s">
        <v>324</v>
      </c>
      <c r="C27" s="109">
        <v>0</v>
      </c>
      <c r="D27" s="109">
        <v>0</v>
      </c>
      <c r="E27" s="109"/>
      <c r="F27" s="109"/>
      <c r="G27" s="109"/>
      <c r="H27" s="109"/>
      <c r="I27" s="109"/>
      <c r="J27" s="109"/>
      <c r="K27" s="109"/>
      <c r="L27" s="109"/>
      <c r="M27" s="58">
        <f>SUM(C27:L27)</f>
        <v>0</v>
      </c>
    </row>
    <row r="28" spans="2:13" ht="15">
      <c r="B28" s="23" t="s">
        <v>325</v>
      </c>
      <c r="C28" s="109">
        <v>0</v>
      </c>
      <c r="D28" s="109">
        <v>0</v>
      </c>
      <c r="E28" s="109"/>
      <c r="F28" s="109"/>
      <c r="G28" s="109"/>
      <c r="H28" s="109"/>
      <c r="I28" s="109"/>
      <c r="J28" s="109"/>
      <c r="K28" s="109"/>
      <c r="L28" s="109"/>
      <c r="M28" s="58">
        <f>SUM(C28:L28)</f>
        <v>0</v>
      </c>
    </row>
    <row r="29" spans="2:13" ht="15">
      <c r="B29" s="23" t="s">
        <v>326</v>
      </c>
      <c r="C29" s="109">
        <v>0</v>
      </c>
      <c r="D29" s="109">
        <v>0</v>
      </c>
      <c r="E29" s="109"/>
      <c r="F29" s="109"/>
      <c r="G29" s="109"/>
      <c r="H29" s="109"/>
      <c r="I29" s="109"/>
      <c r="J29" s="109"/>
      <c r="K29" s="109"/>
      <c r="L29" s="109"/>
      <c r="M29" s="58">
        <f>SUM(C29:L29)</f>
        <v>0</v>
      </c>
    </row>
    <row r="30" spans="2:13" ht="15">
      <c r="B30" s="23" t="s">
        <v>327</v>
      </c>
      <c r="C30" s="109">
        <v>0</v>
      </c>
      <c r="D30" s="109">
        <v>0</v>
      </c>
      <c r="E30" s="109"/>
      <c r="F30" s="109"/>
      <c r="G30" s="109"/>
      <c r="H30" s="109"/>
      <c r="I30" s="109"/>
      <c r="J30" s="109"/>
      <c r="K30" s="109"/>
      <c r="L30" s="109"/>
      <c r="M30" s="58">
        <f>SUM(C30:L30)</f>
        <v>0</v>
      </c>
    </row>
    <row r="31" spans="2:13" ht="15">
      <c r="B31" s="19" t="s">
        <v>294</v>
      </c>
      <c r="C31" s="58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58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58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58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58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58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58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58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58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58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58">
        <f>SUM(C31:L31)</f>
        <v>0</v>
      </c>
    </row>
    <row r="32" spans="1:108" s="33" customFormat="1" ht="15">
      <c r="A32" s="35"/>
      <c r="B32" s="36" t="s">
        <v>186</v>
      </c>
      <c r="C32" s="110">
        <f>C25+C26+C31</f>
        <v>0</v>
      </c>
      <c r="D32" s="110">
        <f t="shared" si="0" ref="D32:L32">D25+D26+D31</f>
        <v>0</v>
      </c>
      <c r="E32" s="110">
        <f t="shared" si="0"/>
        <v>0</v>
      </c>
      <c r="F32" s="110">
        <f t="shared" si="0"/>
        <v>0</v>
      </c>
      <c r="G32" s="110">
        <f t="shared" si="0"/>
        <v>0</v>
      </c>
      <c r="H32" s="110">
        <f t="shared" si="0"/>
        <v>0</v>
      </c>
      <c r="I32" s="110">
        <f t="shared" si="0"/>
        <v>0</v>
      </c>
      <c r="J32" s="110">
        <f t="shared" si="0"/>
        <v>0</v>
      </c>
      <c r="K32" s="110">
        <f t="shared" si="0"/>
        <v>0</v>
      </c>
      <c r="L32" s="110">
        <f t="shared" si="0"/>
        <v>0</v>
      </c>
      <c r="M32" s="58">
        <f>SUM(C32:L32)</f>
        <v>0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</row>
    <row r="33" spans="1:108" s="33" customFormat="1" ht="15">
      <c r="A33" s="35"/>
      <c r="B33" s="37" t="s">
        <v>144</v>
      </c>
      <c r="C33" s="112">
        <f>((C10+C11+C12)/1000*44/28*'(ne pas modifier) BDD_REF'!$B$232)+'RECeff + REIamont (2)'!C22+'RECeff + REIamont (2)'!C32</f>
        <v>0</v>
      </c>
      <c r="D33" s="112">
        <f>((D10+D11+D12)/1000*44/28*'(ne pas modifier) BDD_REF'!$B$232)+'RECeff + REIamont (2)'!D22+'RECeff + REIamont (2)'!D32</f>
        <v>0.15354999999999999</v>
      </c>
      <c r="E33" s="112">
        <f>((E10+E11+E12)/1000*44/28*'(ne pas modifier) BDD_REF'!$B$232)+'RECeff + REIamont (2)'!E22+'RECeff + REIamont (2)'!E32</f>
        <v>0</v>
      </c>
      <c r="F33" s="112">
        <f>((F10+F11+F12)/1000*44/28*'(ne pas modifier) BDD_REF'!$B$232)+'RECeff + REIamont (2)'!F22+'RECeff + REIamont (2)'!F32</f>
        <v>0</v>
      </c>
      <c r="G33" s="112">
        <f>((G10+G11+G12)/1000*44/28*'(ne pas modifier) BDD_REF'!$B$232)+'RECeff + REIamont (2)'!G22+'RECeff + REIamont (2)'!G32</f>
        <v>0</v>
      </c>
      <c r="H33" s="112">
        <f>((H10+H11+H12)/1000*44/28*'(ne pas modifier) BDD_REF'!$B$232)+'RECeff + REIamont (2)'!H22+'RECeff + REIamont (2)'!H32</f>
        <v>0</v>
      </c>
      <c r="I33" s="112">
        <f>((I10+I11+I12)/1000*44/28*'(ne pas modifier) BDD_REF'!$B$232)+'RECeff + REIamont (2)'!I22+'RECeff + REIamont (2)'!I32</f>
        <v>0</v>
      </c>
      <c r="J33" s="112">
        <f>((J10+J11+J12)/1000*44/28*'(ne pas modifier) BDD_REF'!$B$232)+'RECeff + REIamont (2)'!J22+'RECeff + REIamont (2)'!J32</f>
        <v>0</v>
      </c>
      <c r="K33" s="112">
        <f>((K10+K11+K12)/1000*44/28*'(ne pas modifier) BDD_REF'!$B$232)+'RECeff + REIamont (2)'!K22+'RECeff + REIamont (2)'!K32</f>
        <v>0</v>
      </c>
      <c r="L33" s="112">
        <f>((L10+L11+L12)/1000*44/28*'(ne pas modifier) BDD_REF'!$B$232)+'RECeff + REIamont (2)'!L22+'RECeff + REIamont (2)'!L32</f>
        <v>0</v>
      </c>
      <c r="M33" s="112">
        <f>SUM(C33:L33)</f>
        <v>0.15354999999999999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</row>
    <row r="34" spans="1:13" ht="15">
      <c r="A34" s="30" t="s">
        <v>147</v>
      </c>
      <c r="B34" s="23" t="s">
        <v>312</v>
      </c>
      <c r="C34" s="109">
        <v>0</v>
      </c>
      <c r="D34" s="109">
        <v>0</v>
      </c>
      <c r="E34" s="109"/>
      <c r="F34" s="109"/>
      <c r="G34" s="109"/>
      <c r="H34" s="109"/>
      <c r="I34" s="109"/>
      <c r="J34" s="109"/>
      <c r="K34" s="109"/>
      <c r="L34" s="109"/>
      <c r="M34" s="58">
        <f>SUM(C34:L34)</f>
        <v>0</v>
      </c>
    </row>
    <row r="35" spans="2:13" ht="15" customHeight="1">
      <c r="B35" s="153" t="s">
        <v>313</v>
      </c>
      <c r="C35" s="143"/>
      <c r="D35" s="143">
        <v>20</v>
      </c>
      <c r="E35" s="137"/>
      <c r="F35" s="137"/>
      <c r="G35" s="137"/>
      <c r="H35" s="137"/>
      <c r="I35" s="137"/>
      <c r="J35" s="137"/>
      <c r="K35" s="137"/>
      <c r="L35" s="137"/>
      <c r="M35" s="151">
        <f>SUM(C35:L35)</f>
        <v>20</v>
      </c>
    </row>
    <row r="36" spans="2:13" ht="15" customHeight="1">
      <c r="B36" s="153" t="s">
        <v>314</v>
      </c>
      <c r="C36" s="143"/>
      <c r="D36" s="143">
        <v>30</v>
      </c>
      <c r="E36" s="137"/>
      <c r="F36" s="137"/>
      <c r="G36" s="137"/>
      <c r="H36" s="137"/>
      <c r="I36" s="137"/>
      <c r="J36" s="137"/>
      <c r="K36" s="137"/>
      <c r="L36" s="137"/>
      <c r="M36" s="151">
        <f>SUM(C36:L36)</f>
        <v>30</v>
      </c>
    </row>
    <row r="37" spans="2:13" ht="15.75" customHeight="1">
      <c r="B37" s="36" t="s">
        <v>328</v>
      </c>
      <c r="C37" s="58">
        <f>C34*'(ne pas modifier) BDD_REF'!$B$207+(C35+C36)*'(ne pas modifier) BDD_REF'!$B$208</f>
        <v>0</v>
      </c>
      <c r="D37" s="58">
        <f>D34*'(ne pas modifier) BDD_REF'!$B$207+(D35+D36)*'(ne pas modifier) BDD_REF'!$B$208</f>
        <v>0.30</v>
      </c>
      <c r="E37" s="58">
        <f>E34*'(ne pas modifier) BDD_REF'!$B$207+(E35+E36)*'(ne pas modifier) BDD_REF'!$B$208</f>
        <v>0</v>
      </c>
      <c r="F37" s="58">
        <f>F34*'(ne pas modifier) BDD_REF'!$B$207+(F35+F36)*'(ne pas modifier) BDD_REF'!$B$208</f>
        <v>0</v>
      </c>
      <c r="G37" s="58">
        <f>G34*'(ne pas modifier) BDD_REF'!$B$207+(G35+G36)*'(ne pas modifier) BDD_REF'!$B$208</f>
        <v>0</v>
      </c>
      <c r="H37" s="58">
        <f>H34*'(ne pas modifier) BDD_REF'!$B$207+(H35+H36)*'(ne pas modifier) BDD_REF'!$B$208</f>
        <v>0</v>
      </c>
      <c r="I37" s="58">
        <f>I34*'(ne pas modifier) BDD_REF'!$B$207+(I35+I36)*'(ne pas modifier) BDD_REF'!$B$208</f>
        <v>0</v>
      </c>
      <c r="J37" s="58">
        <f>J34*'(ne pas modifier) BDD_REF'!$B$207+(J35+J36)*'(ne pas modifier) BDD_REF'!$B$208</f>
        <v>0</v>
      </c>
      <c r="K37" s="58">
        <f>K34*'(ne pas modifier) BDD_REF'!$B$207+(K35+K36)*'(ne pas modifier) BDD_REF'!$B$208</f>
        <v>0</v>
      </c>
      <c r="L37" s="58">
        <f>L34*'(ne pas modifier) BDD_REF'!$B$207+(L35+L36)*'(ne pas modifier) BDD_REF'!$B$208</f>
        <v>0</v>
      </c>
      <c r="M37" s="58">
        <f>SUM(C37:L37)</f>
        <v>0.30</v>
      </c>
    </row>
    <row r="38" spans="2:13" ht="15">
      <c r="B38" s="36" t="s">
        <v>329</v>
      </c>
      <c r="C38" s="58">
        <f>((C34*'(ne pas modifier) BDD_REF'!$B$220)+('RECeff + REIamont (2)'!C35+'RECeff + REIamont (2)'!C36)*'(ne pas modifier) BDD_REF'!$B$221)*'(ne pas modifier) BDD_REF'!$B$209</f>
        <v>0</v>
      </c>
      <c r="D38" s="58">
        <f>((D34*'(ne pas modifier) BDD_REF'!$B$220)+('RECeff + REIamont (2)'!D35+'RECeff + REIamont (2)'!D36)*'(ne pas modifier) BDD_REF'!$B$221)*'(ne pas modifier) BDD_REF'!$B$209</f>
        <v>0.105</v>
      </c>
      <c r="E38" s="58">
        <f>((E34*'(ne pas modifier) BDD_REF'!$B$220)+('RECeff + REIamont (2)'!E35+'RECeff + REIamont (2)'!E36)*'(ne pas modifier) BDD_REF'!$B$221)*'(ne pas modifier) BDD_REF'!$B$209</f>
        <v>0</v>
      </c>
      <c r="F38" s="58">
        <f>((F34*'(ne pas modifier) BDD_REF'!$B$220)+('RECeff + REIamont (2)'!F35+'RECeff + REIamont (2)'!F36)*'(ne pas modifier) BDD_REF'!$B$221)*'(ne pas modifier) BDD_REF'!$B$209</f>
        <v>0</v>
      </c>
      <c r="G38" s="58">
        <f>((G34*'(ne pas modifier) BDD_REF'!$B$220)+('RECeff + REIamont (2)'!G35+'RECeff + REIamont (2)'!G36)*'(ne pas modifier) BDD_REF'!$B$221)*'(ne pas modifier) BDD_REF'!$B$209</f>
        <v>0</v>
      </c>
      <c r="H38" s="58">
        <f>((H34*'(ne pas modifier) BDD_REF'!$B$220)+('RECeff + REIamont (2)'!H35+'RECeff + REIamont (2)'!H36)*'(ne pas modifier) BDD_REF'!$B$221)*'(ne pas modifier) BDD_REF'!$B$209</f>
        <v>0</v>
      </c>
      <c r="I38" s="58">
        <f>((I34*'(ne pas modifier) BDD_REF'!$B$220)+('RECeff + REIamont (2)'!I35+'RECeff + REIamont (2)'!I36)*'(ne pas modifier) BDD_REF'!$B$221)*'(ne pas modifier) BDD_REF'!$B$209</f>
        <v>0</v>
      </c>
      <c r="J38" s="58">
        <f>((J34*'(ne pas modifier) BDD_REF'!$B$220)+('RECeff + REIamont (2)'!J35+'RECeff + REIamont (2)'!J36)*'(ne pas modifier) BDD_REF'!$B$221)*'(ne pas modifier) BDD_REF'!$B$209</f>
        <v>0</v>
      </c>
      <c r="K38" s="58">
        <f>((K34*'(ne pas modifier) BDD_REF'!$B$220)+('RECeff + REIamont (2)'!K35+'RECeff + REIamont (2)'!K36)*'(ne pas modifier) BDD_REF'!$B$221)*'(ne pas modifier) BDD_REF'!$B$209</f>
        <v>0</v>
      </c>
      <c r="L38" s="58">
        <f>((L34*'(ne pas modifier) BDD_REF'!$B$220)+('RECeff + REIamont (2)'!L35+'RECeff + REIamont (2)'!L36)*'(ne pas modifier) BDD_REF'!$B$221)*'(ne pas modifier) BDD_REF'!$B$209</f>
        <v>0</v>
      </c>
      <c r="M38" s="58">
        <f>SUM(C38:L38)</f>
        <v>0.105</v>
      </c>
    </row>
    <row r="39" spans="2:13" ht="15">
      <c r="B39" s="36" t="s">
        <v>330</v>
      </c>
      <c r="C39" s="58">
        <f>(C34+C35+C36)*'(ne pas modifier) BDD_REF'!$B$222*'(ne pas modifier) BDD_REF'!$B$210</f>
        <v>0</v>
      </c>
      <c r="D39" s="58">
        <f>(D34+D35+D36)*'(ne pas modifier) BDD_REF'!$B$222*'(ne pas modifier) BDD_REF'!$B$210</f>
        <v>0.13200000000000001</v>
      </c>
      <c r="E39" s="58">
        <f>(E34+E35+E36)*'(ne pas modifier) BDD_REF'!$B$222*'(ne pas modifier) BDD_REF'!$B$210</f>
        <v>0</v>
      </c>
      <c r="F39" s="58">
        <f>(F34+F35+F36)*'(ne pas modifier) BDD_REF'!$B$222*'(ne pas modifier) BDD_REF'!$B$210</f>
        <v>0</v>
      </c>
      <c r="G39" s="58">
        <f>(G34+G35+G36)*'(ne pas modifier) BDD_REF'!$B$222*'(ne pas modifier) BDD_REF'!$B$210</f>
        <v>0</v>
      </c>
      <c r="H39" s="58">
        <f>(H34+H35+H36)*'(ne pas modifier) BDD_REF'!$B$222*'(ne pas modifier) BDD_REF'!$B$210</f>
        <v>0</v>
      </c>
      <c r="I39" s="58">
        <f>(I34+I35+I36)*'(ne pas modifier) BDD_REF'!$B$222*'(ne pas modifier) BDD_REF'!$B$210</f>
        <v>0</v>
      </c>
      <c r="J39" s="58">
        <f>(J34+J35+J36)*'(ne pas modifier) BDD_REF'!$B$222*'(ne pas modifier) BDD_REF'!$B$210</f>
        <v>0</v>
      </c>
      <c r="K39" s="58">
        <f>(K34+K35+K36)*'(ne pas modifier) BDD_REF'!$B$222*'(ne pas modifier) BDD_REF'!$B$210</f>
        <v>0</v>
      </c>
      <c r="L39" s="58">
        <f>(L34+L35+L36)*'(ne pas modifier) BDD_REF'!$B$222*'(ne pas modifier) BDD_REF'!$B$210</f>
        <v>0</v>
      </c>
      <c r="M39" s="58">
        <f t="shared" si="1" ref="M39:M70">SUM(C39:L39)</f>
        <v>0.13200000000000001</v>
      </c>
    </row>
    <row r="40" spans="2:13" ht="15">
      <c r="B40" s="23" t="s">
        <v>315</v>
      </c>
      <c r="C40" s="109">
        <v>0</v>
      </c>
      <c r="D40" s="109">
        <v>0</v>
      </c>
      <c r="E40" s="109"/>
      <c r="F40" s="109"/>
      <c r="G40" s="109"/>
      <c r="H40" s="109"/>
      <c r="I40" s="109"/>
      <c r="J40" s="109"/>
      <c r="K40" s="109"/>
      <c r="L40" s="109"/>
      <c r="M40" s="58">
        <f t="shared" si="1"/>
        <v>0</v>
      </c>
    </row>
    <row r="41" spans="2:13" ht="15" customHeight="1">
      <c r="B41" s="153" t="s">
        <v>316</v>
      </c>
      <c r="C41" s="143"/>
      <c r="D41" s="143">
        <v>100</v>
      </c>
      <c r="E41" s="137"/>
      <c r="F41" s="137"/>
      <c r="G41" s="137"/>
      <c r="H41" s="137"/>
      <c r="I41" s="137"/>
      <c r="J41" s="137"/>
      <c r="K41" s="137"/>
      <c r="L41" s="137"/>
      <c r="M41" s="151">
        <f t="shared" si="1"/>
        <v>100</v>
      </c>
    </row>
    <row r="42" spans="2:13" ht="15">
      <c r="B42" s="23" t="s">
        <v>317</v>
      </c>
      <c r="C42" s="109">
        <v>0</v>
      </c>
      <c r="D42" s="109">
        <v>0</v>
      </c>
      <c r="E42" s="109"/>
      <c r="F42" s="109"/>
      <c r="G42" s="109"/>
      <c r="H42" s="109"/>
      <c r="I42" s="109"/>
      <c r="J42" s="109"/>
      <c r="K42" s="109"/>
      <c r="L42" s="109"/>
      <c r="M42" s="58">
        <f t="shared" si="1"/>
        <v>0</v>
      </c>
    </row>
    <row r="43" spans="2:13" ht="15">
      <c r="B43" s="23" t="s">
        <v>318</v>
      </c>
      <c r="C43" s="109">
        <v>0</v>
      </c>
      <c r="D43" s="109">
        <v>0</v>
      </c>
      <c r="E43" s="109"/>
      <c r="F43" s="109"/>
      <c r="G43" s="109"/>
      <c r="H43" s="109"/>
      <c r="I43" s="109"/>
      <c r="J43" s="109"/>
      <c r="K43" s="109"/>
      <c r="L43" s="109"/>
      <c r="M43" s="58">
        <f t="shared" si="1"/>
        <v>0</v>
      </c>
    </row>
    <row r="44" spans="2:13" ht="15">
      <c r="B44" s="23" t="s">
        <v>319</v>
      </c>
      <c r="C44" s="109">
        <v>0</v>
      </c>
      <c r="D44" s="109">
        <v>0</v>
      </c>
      <c r="E44" s="109"/>
      <c r="F44" s="109"/>
      <c r="G44" s="109"/>
      <c r="H44" s="109"/>
      <c r="I44" s="109"/>
      <c r="J44" s="109"/>
      <c r="K44" s="109"/>
      <c r="L44" s="109"/>
      <c r="M44" s="58">
        <f t="shared" si="1"/>
        <v>0</v>
      </c>
    </row>
    <row r="45" spans="2:13" ht="15">
      <c r="B45" s="23" t="s">
        <v>320</v>
      </c>
      <c r="C45" s="109">
        <v>0</v>
      </c>
      <c r="D45" s="109">
        <v>0</v>
      </c>
      <c r="E45" s="109"/>
      <c r="F45" s="109"/>
      <c r="G45" s="109"/>
      <c r="H45" s="109"/>
      <c r="I45" s="109"/>
      <c r="J45" s="109"/>
      <c r="K45" s="109"/>
      <c r="L45" s="109"/>
      <c r="M45" s="58">
        <f t="shared" si="1"/>
        <v>0</v>
      </c>
    </row>
    <row r="46" spans="2:13" ht="15" customHeight="1">
      <c r="B46" s="136" t="s">
        <v>173</v>
      </c>
      <c r="C46" s="151"/>
      <c r="D46" s="151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0.30709999999999998</v>
      </c>
      <c r="E46" s="151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151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151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151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151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151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151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151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151">
        <f t="shared" si="1"/>
        <v>0.30709999999999998</v>
      </c>
    </row>
    <row r="47" spans="2:13" ht="15">
      <c r="B47" s="23" t="s">
        <v>321</v>
      </c>
      <c r="C47" s="109">
        <v>0</v>
      </c>
      <c r="D47" s="109">
        <v>0</v>
      </c>
      <c r="E47" s="109"/>
      <c r="F47" s="109"/>
      <c r="G47" s="109"/>
      <c r="H47" s="109"/>
      <c r="I47" s="109"/>
      <c r="J47" s="109"/>
      <c r="K47" s="109"/>
      <c r="L47" s="109"/>
      <c r="M47" s="58">
        <f t="shared" si="1"/>
        <v>0</v>
      </c>
    </row>
    <row r="48" spans="2:13" ht="15">
      <c r="B48" s="19" t="s">
        <v>184</v>
      </c>
      <c r="C48" s="58">
        <f>(C47*'(ne pas modifier) BDD_REF'!$B$211)/1000</f>
        <v>0</v>
      </c>
      <c r="D48" s="58">
        <f>(D47*'(ne pas modifier) BDD_REF'!$B$211)/1000</f>
        <v>0</v>
      </c>
      <c r="E48" s="58">
        <f>(E47*'(ne pas modifier) BDD_REF'!$B$211)/1000</f>
        <v>0</v>
      </c>
      <c r="F48" s="58">
        <f>(F47*'(ne pas modifier) BDD_REF'!$B$211)/1000</f>
        <v>0</v>
      </c>
      <c r="G48" s="58">
        <f>(G47*'(ne pas modifier) BDD_REF'!$B$211)/1000</f>
        <v>0</v>
      </c>
      <c r="H48" s="58">
        <f>(H47*'(ne pas modifier) BDD_REF'!$B$211)/1000</f>
        <v>0</v>
      </c>
      <c r="I48" s="58">
        <f>(I47*'(ne pas modifier) BDD_REF'!$B$211)/1000</f>
        <v>0</v>
      </c>
      <c r="J48" s="58">
        <f>(J47*'(ne pas modifier) BDD_REF'!$B$211)/1000</f>
        <v>0</v>
      </c>
      <c r="K48" s="58">
        <f>(K47*'(ne pas modifier) BDD_REF'!$B$211)/1000</f>
        <v>0</v>
      </c>
      <c r="L48" s="58">
        <f>(L47*'(ne pas modifier) BDD_REF'!$B$211)/1000</f>
        <v>0</v>
      </c>
      <c r="M48" s="58">
        <f t="shared" si="1"/>
        <v>0</v>
      </c>
    </row>
    <row r="49" spans="1:108" s="33" customFormat="1" ht="15">
      <c r="A49" s="35"/>
      <c r="B49" s="36" t="s">
        <v>185</v>
      </c>
      <c r="C49" s="110">
        <f>C46+C48</f>
        <v>0</v>
      </c>
      <c r="D49" s="110">
        <f t="shared" si="2" ref="D49:L49">D46+D48</f>
        <v>0.30709999999999998</v>
      </c>
      <c r="E49" s="110">
        <f t="shared" si="2"/>
        <v>0</v>
      </c>
      <c r="F49" s="110">
        <f t="shared" si="2"/>
        <v>0</v>
      </c>
      <c r="G49" s="110">
        <f t="shared" si="2"/>
        <v>0</v>
      </c>
      <c r="H49" s="110">
        <f t="shared" si="2"/>
        <v>0</v>
      </c>
      <c r="I49" s="110">
        <f t="shared" si="2"/>
        <v>0</v>
      </c>
      <c r="J49" s="110">
        <f t="shared" si="2"/>
        <v>0</v>
      </c>
      <c r="K49" s="110">
        <f t="shared" si="2"/>
        <v>0</v>
      </c>
      <c r="L49" s="110">
        <f t="shared" si="2"/>
        <v>0</v>
      </c>
      <c r="M49" s="58">
        <f t="shared" si="1"/>
        <v>0.30709999999999998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</row>
    <row r="50" spans="2:13" ht="15" customHeight="1">
      <c r="B50" s="153" t="s">
        <v>322</v>
      </c>
      <c r="C50" s="143"/>
      <c r="D50" s="143">
        <v>30</v>
      </c>
      <c r="E50" s="137"/>
      <c r="F50" s="137"/>
      <c r="G50" s="137"/>
      <c r="H50" s="137"/>
      <c r="I50" s="137"/>
      <c r="J50" s="137"/>
      <c r="K50" s="137"/>
      <c r="L50" s="137"/>
      <c r="M50" s="151">
        <f t="shared" si="1"/>
        <v>30</v>
      </c>
    </row>
    <row r="51" spans="2:13" ht="15">
      <c r="B51" s="23" t="s">
        <v>323</v>
      </c>
      <c r="C51" s="109">
        <v>0</v>
      </c>
      <c r="D51" s="109">
        <v>0</v>
      </c>
      <c r="E51" s="109"/>
      <c r="F51" s="109"/>
      <c r="G51" s="109"/>
      <c r="H51" s="109"/>
      <c r="I51" s="109"/>
      <c r="J51" s="109"/>
      <c r="K51" s="109"/>
      <c r="L51" s="109"/>
      <c r="M51" s="58">
        <f t="shared" si="1"/>
        <v>0</v>
      </c>
    </row>
    <row r="52" spans="2:13" ht="15">
      <c r="B52" s="19" t="s">
        <v>292</v>
      </c>
      <c r="C52" s="58">
        <f>(C34*'(ne pas modifier) BDD_REF'!$B$212+'RECeff + REIamont (2)'!C50*'(ne pas modifier) BDD_REF'!$B$213+'RECeff + REIamont (2)'!C51*'(ne pas modifier) BDD_REF'!$B$214)/1000</f>
        <v>0</v>
      </c>
      <c r="D52" s="58">
        <f>(D34*'(ne pas modifier) BDD_REF'!$B$212+'RECeff + REIamont (2)'!D50*'(ne pas modifier) BDD_REF'!$B$213+'RECeff + REIamont (2)'!D51*'(ne pas modifier) BDD_REF'!$B$214)/1000</f>
        <v>0.043499999999999997</v>
      </c>
      <c r="E52" s="58">
        <f>(E34*'(ne pas modifier) BDD_REF'!$B$212+'RECeff + REIamont (2)'!E50*'(ne pas modifier) BDD_REF'!$B$213+'RECeff + REIamont (2)'!E51*'(ne pas modifier) BDD_REF'!$B$214)/1000</f>
        <v>0</v>
      </c>
      <c r="F52" s="58">
        <f>(F34*'(ne pas modifier) BDD_REF'!$B$212+'RECeff + REIamont (2)'!F50*'(ne pas modifier) BDD_REF'!$B$213+'RECeff + REIamont (2)'!F51*'(ne pas modifier) BDD_REF'!$B$214)/1000</f>
        <v>0</v>
      </c>
      <c r="G52" s="58">
        <f>(G34*'(ne pas modifier) BDD_REF'!$B$212+'RECeff + REIamont (2)'!G50*'(ne pas modifier) BDD_REF'!$B$213+'RECeff + REIamont (2)'!G51*'(ne pas modifier) BDD_REF'!$B$214)/1000</f>
        <v>0</v>
      </c>
      <c r="H52" s="58">
        <f>(H34*'(ne pas modifier) BDD_REF'!$B$212+'RECeff + REIamont (2)'!H50*'(ne pas modifier) BDD_REF'!$B$213+'RECeff + REIamont (2)'!H51*'(ne pas modifier) BDD_REF'!$B$214)/1000</f>
        <v>0</v>
      </c>
      <c r="I52" s="58">
        <f>(I34*'(ne pas modifier) BDD_REF'!$B$212+'RECeff + REIamont (2)'!I50*'(ne pas modifier) BDD_REF'!$B$213+'RECeff + REIamont (2)'!I51*'(ne pas modifier) BDD_REF'!$B$214)/1000</f>
        <v>0</v>
      </c>
      <c r="J52" s="58">
        <f>(J34*'(ne pas modifier) BDD_REF'!$B$212+'RECeff + REIamont (2)'!J50*'(ne pas modifier) BDD_REF'!$B$213+'RECeff + REIamont (2)'!J51*'(ne pas modifier) BDD_REF'!$B$214)/1000</f>
        <v>0</v>
      </c>
      <c r="K52" s="58">
        <f>(K34*'(ne pas modifier) BDD_REF'!$B$212+'RECeff + REIamont (2)'!K50*'(ne pas modifier) BDD_REF'!$B$213+'RECeff + REIamont (2)'!K51*'(ne pas modifier) BDD_REF'!$B$214)/1000</f>
        <v>0</v>
      </c>
      <c r="L52" s="58">
        <f>(L34*'(ne pas modifier) BDD_REF'!$B$212+'RECeff + REIamont (2)'!L50*'(ne pas modifier) BDD_REF'!$B$213+'RECeff + REIamont (2)'!L51*'(ne pas modifier) BDD_REF'!$B$214)/1000</f>
        <v>0</v>
      </c>
      <c r="M52" s="58">
        <f t="shared" si="1"/>
        <v>0.043499999999999997</v>
      </c>
    </row>
    <row r="53" spans="1:13" ht="15" hidden="1">
      <c r="A53" s="34" t="s">
        <v>179</v>
      </c>
      <c r="B53" s="19" t="s">
        <v>175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58">
        <f t="shared" si="1"/>
        <v>0</v>
      </c>
    </row>
    <row r="54" spans="2:13" ht="15">
      <c r="B54" s="23" t="s">
        <v>324</v>
      </c>
      <c r="C54" s="109">
        <v>0</v>
      </c>
      <c r="D54" s="109">
        <v>0</v>
      </c>
      <c r="E54" s="109"/>
      <c r="F54" s="109"/>
      <c r="G54" s="109"/>
      <c r="H54" s="109"/>
      <c r="I54" s="109"/>
      <c r="J54" s="109"/>
      <c r="K54" s="109"/>
      <c r="L54" s="109"/>
      <c r="M54" s="58">
        <f t="shared" si="1"/>
        <v>0</v>
      </c>
    </row>
    <row r="55" spans="2:13" ht="15">
      <c r="B55" s="23" t="s">
        <v>325</v>
      </c>
      <c r="C55" s="109">
        <v>0</v>
      </c>
      <c r="D55" s="109">
        <v>0</v>
      </c>
      <c r="E55" s="109"/>
      <c r="F55" s="109"/>
      <c r="G55" s="109"/>
      <c r="H55" s="109"/>
      <c r="I55" s="109"/>
      <c r="J55" s="109"/>
      <c r="K55" s="109"/>
      <c r="L55" s="109"/>
      <c r="M55" s="58">
        <f t="shared" si="1"/>
        <v>0</v>
      </c>
    </row>
    <row r="56" spans="2:13" ht="15">
      <c r="B56" s="23" t="s">
        <v>326</v>
      </c>
      <c r="C56" s="109">
        <v>0</v>
      </c>
      <c r="D56" s="109">
        <v>0</v>
      </c>
      <c r="E56" s="109"/>
      <c r="F56" s="109"/>
      <c r="G56" s="109"/>
      <c r="H56" s="109"/>
      <c r="I56" s="109"/>
      <c r="J56" s="109"/>
      <c r="K56" s="109"/>
      <c r="L56" s="109"/>
      <c r="M56" s="58">
        <f t="shared" si="1"/>
        <v>0</v>
      </c>
    </row>
    <row r="57" spans="2:13" ht="15">
      <c r="B57" s="23" t="s">
        <v>327</v>
      </c>
      <c r="C57" s="109">
        <v>0</v>
      </c>
      <c r="D57" s="109">
        <v>0</v>
      </c>
      <c r="E57" s="109"/>
      <c r="F57" s="109"/>
      <c r="G57" s="109"/>
      <c r="H57" s="109"/>
      <c r="I57" s="109"/>
      <c r="J57" s="109"/>
      <c r="K57" s="109"/>
      <c r="L57" s="109"/>
      <c r="M57" s="58">
        <f t="shared" si="1"/>
        <v>0</v>
      </c>
    </row>
    <row r="58" spans="2:13" ht="15">
      <c r="B58" s="19" t="s">
        <v>294</v>
      </c>
      <c r="C58" s="58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58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58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58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58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58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58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58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58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58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58">
        <f t="shared" si="1"/>
        <v>0</v>
      </c>
    </row>
    <row r="59" spans="1:108" s="33" customFormat="1" ht="15">
      <c r="A59" s="35"/>
      <c r="B59" s="36" t="s">
        <v>186</v>
      </c>
      <c r="C59" s="110">
        <f>C52+C53+C58</f>
        <v>0</v>
      </c>
      <c r="D59" s="110">
        <f t="shared" si="3" ref="D59:L59">D52+D53+D58</f>
        <v>0.043499999999999997</v>
      </c>
      <c r="E59" s="110">
        <f t="shared" si="3"/>
        <v>0</v>
      </c>
      <c r="F59" s="110">
        <f t="shared" si="3"/>
        <v>0</v>
      </c>
      <c r="G59" s="110">
        <f t="shared" si="3"/>
        <v>0</v>
      </c>
      <c r="H59" s="110">
        <f t="shared" si="3"/>
        <v>0</v>
      </c>
      <c r="I59" s="110">
        <f t="shared" si="3"/>
        <v>0</v>
      </c>
      <c r="J59" s="110">
        <f t="shared" si="3"/>
        <v>0</v>
      </c>
      <c r="K59" s="110">
        <f t="shared" si="3"/>
        <v>0</v>
      </c>
      <c r="L59" s="110">
        <f t="shared" si="3"/>
        <v>0</v>
      </c>
      <c r="M59" s="58">
        <f t="shared" si="1"/>
        <v>0.043499999999999997</v>
      </c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</row>
    <row r="60" spans="1:108" s="33" customFormat="1" ht="15">
      <c r="A60" s="35"/>
      <c r="B60" s="37" t="s">
        <v>144</v>
      </c>
      <c r="C60" s="112">
        <f>((C37+C38+C39)/1000*44/28*'(ne pas modifier) BDD_REF'!$B$232)+'RECeff + REIamont (2)'!C49+'RECeff + REIamont (2)'!C59</f>
        <v>0</v>
      </c>
      <c r="D60" s="112">
        <f>((D37+D38+D39)/1000*44/28*'(ne pas modifier) BDD_REF'!$B$232)+'RECeff + REIamont (2)'!D49+'RECeff + REIamont (2)'!D59</f>
        <v>0.57422214285714279</v>
      </c>
      <c r="E60" s="112">
        <f>((E37+E38+E39)/1000*44/28*'(ne pas modifier) BDD_REF'!$B$232)+'RECeff + REIamont (2)'!E49+'RECeff + REIamont (2)'!E59</f>
        <v>0</v>
      </c>
      <c r="F60" s="112">
        <f>((F37+F38+F39)/1000*44/28*'(ne pas modifier) BDD_REF'!$B$232)+'RECeff + REIamont (2)'!F49+'RECeff + REIamont (2)'!F59</f>
        <v>0</v>
      </c>
      <c r="G60" s="112">
        <f>((G37+G38+G39)/1000*44/28*'(ne pas modifier) BDD_REF'!$B$232)+'RECeff + REIamont (2)'!G49+'RECeff + REIamont (2)'!G59</f>
        <v>0</v>
      </c>
      <c r="H60" s="112">
        <f>((H37+H38+H39)/1000*44/28*'(ne pas modifier) BDD_REF'!$B$232)+'RECeff + REIamont (2)'!H49+'RECeff + REIamont (2)'!H59</f>
        <v>0</v>
      </c>
      <c r="I60" s="112">
        <f>((I37+I38+I39)/1000*44/28*'(ne pas modifier) BDD_REF'!$B$232)+'RECeff + REIamont (2)'!I49+'RECeff + REIamont (2)'!I59</f>
        <v>0</v>
      </c>
      <c r="J60" s="112">
        <f>((J37+J38+J39)/1000*44/28*'(ne pas modifier) BDD_REF'!$B$232)+'RECeff + REIamont (2)'!J49+'RECeff + REIamont (2)'!J59</f>
        <v>0</v>
      </c>
      <c r="K60" s="112">
        <f>((K37+K38+K39)/1000*44/28*'(ne pas modifier) BDD_REF'!$B$232)+'RECeff + REIamont (2)'!K49+'RECeff + REIamont (2)'!K59</f>
        <v>0</v>
      </c>
      <c r="L60" s="112">
        <f>((L37+L38+L39)/1000*44/28*'(ne pas modifier) BDD_REF'!$B$232)+'RECeff + REIamont (2)'!L49+'RECeff + REIamont (2)'!L59</f>
        <v>0</v>
      </c>
      <c r="M60" s="112">
        <f t="shared" si="1"/>
        <v>0.57422214285714279</v>
      </c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</row>
    <row r="61" spans="1:13" ht="15">
      <c r="A61" s="30" t="s">
        <v>148</v>
      </c>
      <c r="B61" s="23" t="s">
        <v>312</v>
      </c>
      <c r="C61" s="109">
        <v>0</v>
      </c>
      <c r="D61" s="109">
        <v>0</v>
      </c>
      <c r="E61" s="109"/>
      <c r="F61" s="109"/>
      <c r="G61" s="109"/>
      <c r="H61" s="109"/>
      <c r="I61" s="109"/>
      <c r="J61" s="109"/>
      <c r="K61" s="109"/>
      <c r="L61" s="109"/>
      <c r="M61" s="58">
        <f t="shared" si="1"/>
        <v>0</v>
      </c>
    </row>
    <row r="62" spans="2:13" ht="15" customHeight="1">
      <c r="B62" s="153" t="s">
        <v>313</v>
      </c>
      <c r="C62" s="143"/>
      <c r="D62" s="143">
        <v>20</v>
      </c>
      <c r="E62" s="137"/>
      <c r="F62" s="137"/>
      <c r="G62" s="137"/>
      <c r="H62" s="137"/>
      <c r="I62" s="137"/>
      <c r="J62" s="137"/>
      <c r="K62" s="137"/>
      <c r="L62" s="137"/>
      <c r="M62" s="151">
        <f t="shared" si="1"/>
        <v>20</v>
      </c>
    </row>
    <row r="63" spans="2:13" ht="15" customHeight="1">
      <c r="B63" s="153" t="s">
        <v>314</v>
      </c>
      <c r="C63" s="143"/>
      <c r="D63" s="143">
        <v>30</v>
      </c>
      <c r="E63" s="137"/>
      <c r="F63" s="137"/>
      <c r="G63" s="137"/>
      <c r="H63" s="137"/>
      <c r="I63" s="137"/>
      <c r="J63" s="137"/>
      <c r="K63" s="137"/>
      <c r="L63" s="137"/>
      <c r="M63" s="151">
        <f t="shared" si="1"/>
        <v>30</v>
      </c>
    </row>
    <row r="64" spans="2:13" ht="15">
      <c r="B64" s="36" t="s">
        <v>328</v>
      </c>
      <c r="C64" s="58">
        <f>C61*'(ne pas modifier) BDD_REF'!$B$207+(C62+C63)*'(ne pas modifier) BDD_REF'!$B$208</f>
        <v>0</v>
      </c>
      <c r="D64" s="58">
        <f>D61*'(ne pas modifier) BDD_REF'!$B$207+(D62+D63)*'(ne pas modifier) BDD_REF'!$B$208</f>
        <v>0.30</v>
      </c>
      <c r="E64" s="58">
        <f>E61*'(ne pas modifier) BDD_REF'!$B$207+(E62+E63)*'(ne pas modifier) BDD_REF'!$B$208</f>
        <v>0</v>
      </c>
      <c r="F64" s="58">
        <f>F61*'(ne pas modifier) BDD_REF'!$B$207+(F62+F63)*'(ne pas modifier) BDD_REF'!$B$208</f>
        <v>0</v>
      </c>
      <c r="G64" s="58">
        <f>G61*'(ne pas modifier) BDD_REF'!$B$207+(G62+G63)*'(ne pas modifier) BDD_REF'!$B$208</f>
        <v>0</v>
      </c>
      <c r="H64" s="58">
        <f>H61*'(ne pas modifier) BDD_REF'!$B$207+(H62+H63)*'(ne pas modifier) BDD_REF'!$B$208</f>
        <v>0</v>
      </c>
      <c r="I64" s="58">
        <f>I61*'(ne pas modifier) BDD_REF'!$B$207+(I62+I63)*'(ne pas modifier) BDD_REF'!$B$208</f>
        <v>0</v>
      </c>
      <c r="J64" s="58">
        <f>J61*'(ne pas modifier) BDD_REF'!$B$207+(J62+J63)*'(ne pas modifier) BDD_REF'!$B$208</f>
        <v>0</v>
      </c>
      <c r="K64" s="58">
        <f>K61*'(ne pas modifier) BDD_REF'!$B$207+(K62+K63)*'(ne pas modifier) BDD_REF'!$B$208</f>
        <v>0</v>
      </c>
      <c r="L64" s="58">
        <f>L61*'(ne pas modifier) BDD_REF'!$B$207+(L62+L63)*'(ne pas modifier) BDD_REF'!$B$208</f>
        <v>0</v>
      </c>
      <c r="M64" s="58">
        <f t="shared" si="1"/>
        <v>0.30</v>
      </c>
    </row>
    <row r="65" spans="2:13" ht="15">
      <c r="B65" s="36" t="s">
        <v>329</v>
      </c>
      <c r="C65" s="58">
        <f>((C61*'(ne pas modifier) BDD_REF'!$B$220)+('RECeff + REIamont (2)'!C62+'RECeff + REIamont (2)'!C63)*'(ne pas modifier) BDD_REF'!$B$221)*'(ne pas modifier) BDD_REF'!$B$209</f>
        <v>0</v>
      </c>
      <c r="D65" s="58">
        <f>((D61*'(ne pas modifier) BDD_REF'!$B$220)+('RECeff + REIamont (2)'!D62+'RECeff + REIamont (2)'!D63)*'(ne pas modifier) BDD_REF'!$B$221)*'(ne pas modifier) BDD_REF'!$B$209</f>
        <v>0.105</v>
      </c>
      <c r="E65" s="58">
        <f>((E61*'(ne pas modifier) BDD_REF'!$B$220)+('RECeff + REIamont (2)'!E62+'RECeff + REIamont (2)'!E63)*'(ne pas modifier) BDD_REF'!$B$221)*'(ne pas modifier) BDD_REF'!$B$209</f>
        <v>0</v>
      </c>
      <c r="F65" s="58">
        <f>((F61*'(ne pas modifier) BDD_REF'!$B$220)+('RECeff + REIamont (2)'!F62+'RECeff + REIamont (2)'!F63)*'(ne pas modifier) BDD_REF'!$B$221)*'(ne pas modifier) BDD_REF'!$B$209</f>
        <v>0</v>
      </c>
      <c r="G65" s="58">
        <f>((G61*'(ne pas modifier) BDD_REF'!$B$220)+('RECeff + REIamont (2)'!G62+'RECeff + REIamont (2)'!G63)*'(ne pas modifier) BDD_REF'!$B$221)*'(ne pas modifier) BDD_REF'!$B$209</f>
        <v>0</v>
      </c>
      <c r="H65" s="58">
        <f>((H61*'(ne pas modifier) BDD_REF'!$B$220)+('RECeff + REIamont (2)'!H62+'RECeff + REIamont (2)'!H63)*'(ne pas modifier) BDD_REF'!$B$221)*'(ne pas modifier) BDD_REF'!$B$209</f>
        <v>0</v>
      </c>
      <c r="I65" s="58">
        <f>((I61*'(ne pas modifier) BDD_REF'!$B$220)+('RECeff + REIamont (2)'!I62+'RECeff + REIamont (2)'!I63)*'(ne pas modifier) BDD_REF'!$B$221)*'(ne pas modifier) BDD_REF'!$B$209</f>
        <v>0</v>
      </c>
      <c r="J65" s="58">
        <f>((J61*'(ne pas modifier) BDD_REF'!$B$220)+('RECeff + REIamont (2)'!J62+'RECeff + REIamont (2)'!J63)*'(ne pas modifier) BDD_REF'!$B$221)*'(ne pas modifier) BDD_REF'!$B$209</f>
        <v>0</v>
      </c>
      <c r="K65" s="58">
        <f>((K61*'(ne pas modifier) BDD_REF'!$B$220)+('RECeff + REIamont (2)'!K62+'RECeff + REIamont (2)'!K63)*'(ne pas modifier) BDD_REF'!$B$221)*'(ne pas modifier) BDD_REF'!$B$209</f>
        <v>0</v>
      </c>
      <c r="L65" s="58">
        <f>((L61*'(ne pas modifier) BDD_REF'!$B$220)+('RECeff + REIamont (2)'!L62+'RECeff + REIamont (2)'!L63)*'(ne pas modifier) BDD_REF'!$B$221)*'(ne pas modifier) BDD_REF'!$B$209</f>
        <v>0</v>
      </c>
      <c r="M65" s="58">
        <f t="shared" si="1"/>
        <v>0.105</v>
      </c>
    </row>
    <row r="66" spans="2:13" ht="15">
      <c r="B66" s="36" t="s">
        <v>330</v>
      </c>
      <c r="C66" s="58">
        <f>(C61+C62+C63)*'(ne pas modifier) BDD_REF'!$B$222*'(ne pas modifier) BDD_REF'!$B$210</f>
        <v>0</v>
      </c>
      <c r="D66" s="58">
        <f>(D61+D62+D63)*'(ne pas modifier) BDD_REF'!$B$222*'(ne pas modifier) BDD_REF'!$B$210</f>
        <v>0.13200000000000001</v>
      </c>
      <c r="E66" s="58">
        <f>(E61+E62+E63)*'(ne pas modifier) BDD_REF'!$B$222*'(ne pas modifier) BDD_REF'!$B$210</f>
        <v>0</v>
      </c>
      <c r="F66" s="58">
        <f>(F61+F62+F63)*'(ne pas modifier) BDD_REF'!$B$222*'(ne pas modifier) BDD_REF'!$B$210</f>
        <v>0</v>
      </c>
      <c r="G66" s="58">
        <f>(G61+G62+G63)*'(ne pas modifier) BDD_REF'!$B$222*'(ne pas modifier) BDD_REF'!$B$210</f>
        <v>0</v>
      </c>
      <c r="H66" s="58">
        <f>(H61+H62+H63)*'(ne pas modifier) BDD_REF'!$B$222*'(ne pas modifier) BDD_REF'!$B$210</f>
        <v>0</v>
      </c>
      <c r="I66" s="58">
        <f>(I61+I62+I63)*'(ne pas modifier) BDD_REF'!$B$222*'(ne pas modifier) BDD_REF'!$B$210</f>
        <v>0</v>
      </c>
      <c r="J66" s="58">
        <f>(J61+J62+J63)*'(ne pas modifier) BDD_REF'!$B$222*'(ne pas modifier) BDD_REF'!$B$210</f>
        <v>0</v>
      </c>
      <c r="K66" s="58">
        <f>(K61+K62+K63)*'(ne pas modifier) BDD_REF'!$B$222*'(ne pas modifier) BDD_REF'!$B$210</f>
        <v>0</v>
      </c>
      <c r="L66" s="58">
        <f>(L61+L62+L63)*'(ne pas modifier) BDD_REF'!$B$222*'(ne pas modifier) BDD_REF'!$B$210</f>
        <v>0</v>
      </c>
      <c r="M66" s="58">
        <f t="shared" si="1"/>
        <v>0.13200000000000001</v>
      </c>
    </row>
    <row r="67" spans="2:13" ht="15">
      <c r="B67" s="23" t="s">
        <v>315</v>
      </c>
      <c r="C67" s="109">
        <v>0</v>
      </c>
      <c r="D67" s="109">
        <v>0</v>
      </c>
      <c r="E67" s="109"/>
      <c r="F67" s="109"/>
      <c r="G67" s="109"/>
      <c r="H67" s="109"/>
      <c r="I67" s="109"/>
      <c r="J67" s="109"/>
      <c r="K67" s="109"/>
      <c r="L67" s="109"/>
      <c r="M67" s="58">
        <f t="shared" si="1"/>
        <v>0</v>
      </c>
    </row>
    <row r="68" spans="2:13" ht="15" customHeight="1">
      <c r="B68" s="153" t="s">
        <v>316</v>
      </c>
      <c r="C68" s="143"/>
      <c r="D68" s="143">
        <v>100</v>
      </c>
      <c r="E68" s="137"/>
      <c r="F68" s="137"/>
      <c r="G68" s="137"/>
      <c r="H68" s="137"/>
      <c r="I68" s="137"/>
      <c r="J68" s="137"/>
      <c r="K68" s="137"/>
      <c r="L68" s="137"/>
      <c r="M68" s="151">
        <f t="shared" si="1"/>
        <v>100</v>
      </c>
    </row>
    <row r="69" spans="2:13" ht="15">
      <c r="B69" s="23" t="s">
        <v>317</v>
      </c>
      <c r="C69" s="109">
        <v>0</v>
      </c>
      <c r="D69" s="109">
        <v>0</v>
      </c>
      <c r="E69" s="109"/>
      <c r="F69" s="109"/>
      <c r="G69" s="109"/>
      <c r="H69" s="109"/>
      <c r="I69" s="109"/>
      <c r="J69" s="109"/>
      <c r="K69" s="109"/>
      <c r="L69" s="109"/>
      <c r="M69" s="58">
        <f t="shared" si="1"/>
        <v>0</v>
      </c>
    </row>
    <row r="70" spans="2:13" ht="15">
      <c r="B70" s="23" t="s">
        <v>318</v>
      </c>
      <c r="C70" s="109">
        <v>0</v>
      </c>
      <c r="D70" s="109">
        <v>0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58">
        <f t="shared" si="1"/>
        <v>0</v>
      </c>
    </row>
    <row r="71" spans="2:13" ht="15">
      <c r="B71" s="23" t="s">
        <v>319</v>
      </c>
      <c r="C71" s="109">
        <v>0</v>
      </c>
      <c r="D71" s="109">
        <v>0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58">
        <f t="shared" si="4" ref="M71:M102">SUM(C71:L71)</f>
        <v>0</v>
      </c>
    </row>
    <row r="72" spans="2:13" ht="15">
      <c r="B72" s="23" t="s">
        <v>320</v>
      </c>
      <c r="C72" s="109">
        <v>0</v>
      </c>
      <c r="D72" s="109">
        <v>0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58">
        <f t="shared" si="4"/>
        <v>0</v>
      </c>
    </row>
    <row r="73" spans="2:13" ht="15">
      <c r="B73" s="19" t="s">
        <v>173</v>
      </c>
      <c r="C73" s="58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58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0.30709999999999998</v>
      </c>
      <c r="E73" s="58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58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58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58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58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58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58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58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58">
        <f t="shared" si="4"/>
        <v>0.30709999999999998</v>
      </c>
    </row>
    <row r="74" spans="2:13" ht="15">
      <c r="B74" s="23" t="s">
        <v>321</v>
      </c>
      <c r="C74" s="109">
        <v>0</v>
      </c>
      <c r="D74" s="109">
        <v>0</v>
      </c>
      <c r="E74" s="109"/>
      <c r="F74" s="109"/>
      <c r="G74" s="109"/>
      <c r="H74" s="109"/>
      <c r="I74" s="109"/>
      <c r="J74" s="109"/>
      <c r="K74" s="109"/>
      <c r="L74" s="109"/>
      <c r="M74" s="58">
        <f t="shared" si="4"/>
        <v>0</v>
      </c>
    </row>
    <row r="75" spans="2:13" ht="15">
      <c r="B75" s="19" t="s">
        <v>184</v>
      </c>
      <c r="C75" s="58">
        <f>(C74*'(ne pas modifier) BDD_REF'!$B$211)/1000</f>
        <v>0</v>
      </c>
      <c r="D75" s="58">
        <f>(D74*'(ne pas modifier) BDD_REF'!$B$211)/1000</f>
        <v>0</v>
      </c>
      <c r="E75" s="58">
        <f>(E74*'(ne pas modifier) BDD_REF'!$B$211)/1000</f>
        <v>0</v>
      </c>
      <c r="F75" s="58">
        <f>(F74*'(ne pas modifier) BDD_REF'!$B$211)/1000</f>
        <v>0</v>
      </c>
      <c r="G75" s="58">
        <f>(G74*'(ne pas modifier) BDD_REF'!$B$211)/1000</f>
        <v>0</v>
      </c>
      <c r="H75" s="58">
        <f>(H74*'(ne pas modifier) BDD_REF'!$B$211)/1000</f>
        <v>0</v>
      </c>
      <c r="I75" s="58">
        <f>(I74*'(ne pas modifier) BDD_REF'!$B$211)/1000</f>
        <v>0</v>
      </c>
      <c r="J75" s="58">
        <f>(J74*'(ne pas modifier) BDD_REF'!$B$211)/1000</f>
        <v>0</v>
      </c>
      <c r="K75" s="58">
        <f>(K74*'(ne pas modifier) BDD_REF'!$B$211)/1000</f>
        <v>0</v>
      </c>
      <c r="L75" s="58">
        <f>(L74*'(ne pas modifier) BDD_REF'!$B$211)/1000</f>
        <v>0</v>
      </c>
      <c r="M75" s="58">
        <f t="shared" si="4"/>
        <v>0</v>
      </c>
    </row>
    <row r="76" spans="1:108" s="33" customFormat="1" ht="15">
      <c r="A76" s="35"/>
      <c r="B76" s="36" t="s">
        <v>185</v>
      </c>
      <c r="C76" s="110">
        <f>C73+C75</f>
        <v>0</v>
      </c>
      <c r="D76" s="110">
        <f t="shared" si="5" ref="D76:L76">D73+D75</f>
        <v>0.30709999999999998</v>
      </c>
      <c r="E76" s="110">
        <f t="shared" si="5"/>
        <v>0</v>
      </c>
      <c r="F76" s="110">
        <f t="shared" si="5"/>
        <v>0</v>
      </c>
      <c r="G76" s="110">
        <f t="shared" si="5"/>
        <v>0</v>
      </c>
      <c r="H76" s="110">
        <f t="shared" si="5"/>
        <v>0</v>
      </c>
      <c r="I76" s="110">
        <f t="shared" si="5"/>
        <v>0</v>
      </c>
      <c r="J76" s="110">
        <f t="shared" si="5"/>
        <v>0</v>
      </c>
      <c r="K76" s="110">
        <f t="shared" si="5"/>
        <v>0</v>
      </c>
      <c r="L76" s="110">
        <f t="shared" si="5"/>
        <v>0</v>
      </c>
      <c r="M76" s="58">
        <f t="shared" si="4"/>
        <v>0.30709999999999998</v>
      </c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</row>
    <row r="77" spans="2:13" ht="15" customHeight="1">
      <c r="B77" s="153" t="s">
        <v>322</v>
      </c>
      <c r="C77" s="143"/>
      <c r="D77" s="143">
        <v>30</v>
      </c>
      <c r="E77" s="137"/>
      <c r="F77" s="137"/>
      <c r="G77" s="137"/>
      <c r="H77" s="137"/>
      <c r="I77" s="137"/>
      <c r="J77" s="137"/>
      <c r="K77" s="137"/>
      <c r="L77" s="137"/>
      <c r="M77" s="151">
        <f t="shared" si="4"/>
        <v>30</v>
      </c>
    </row>
    <row r="78" spans="2:13" ht="15">
      <c r="B78" s="23" t="s">
        <v>323</v>
      </c>
      <c r="C78" s="109">
        <v>0</v>
      </c>
      <c r="D78" s="109">
        <v>0</v>
      </c>
      <c r="E78" s="109"/>
      <c r="F78" s="109"/>
      <c r="G78" s="109"/>
      <c r="H78" s="109"/>
      <c r="I78" s="109"/>
      <c r="J78" s="109"/>
      <c r="K78" s="109"/>
      <c r="L78" s="109"/>
      <c r="M78" s="58">
        <f t="shared" si="4"/>
        <v>0</v>
      </c>
    </row>
    <row r="79" spans="2:13" ht="15">
      <c r="B79" s="19" t="s">
        <v>292</v>
      </c>
      <c r="C79" s="58">
        <f>(C61*'(ne pas modifier) BDD_REF'!$B$212+'RECeff + REIamont (2)'!C77*'(ne pas modifier) BDD_REF'!$B$213+'RECeff + REIamont (2)'!C78*'(ne pas modifier) BDD_REF'!$B$214)/1000</f>
        <v>0</v>
      </c>
      <c r="D79" s="58">
        <f>(D61*'(ne pas modifier) BDD_REF'!$B$212+'RECeff + REIamont (2)'!D77*'(ne pas modifier) BDD_REF'!$B$213+'RECeff + REIamont (2)'!D78*'(ne pas modifier) BDD_REF'!$B$214)/1000</f>
        <v>0.043499999999999997</v>
      </c>
      <c r="E79" s="58">
        <f>(E61*'(ne pas modifier) BDD_REF'!$B$212+'RECeff + REIamont (2)'!E77*'(ne pas modifier) BDD_REF'!$B$213+'RECeff + REIamont (2)'!E78*'(ne pas modifier) BDD_REF'!$B$214)/1000</f>
        <v>0</v>
      </c>
      <c r="F79" s="58">
        <f>(F61*'(ne pas modifier) BDD_REF'!$B$212+'RECeff + REIamont (2)'!F77*'(ne pas modifier) BDD_REF'!$B$213+'RECeff + REIamont (2)'!F78*'(ne pas modifier) BDD_REF'!$B$214)/1000</f>
        <v>0</v>
      </c>
      <c r="G79" s="58">
        <f>(G61*'(ne pas modifier) BDD_REF'!$B$212+'RECeff + REIamont (2)'!G77*'(ne pas modifier) BDD_REF'!$B$213+'RECeff + REIamont (2)'!G78*'(ne pas modifier) BDD_REF'!$B$214)/1000</f>
        <v>0</v>
      </c>
      <c r="H79" s="58">
        <f>(H61*'(ne pas modifier) BDD_REF'!$B$212+'RECeff + REIamont (2)'!H77*'(ne pas modifier) BDD_REF'!$B$213+'RECeff + REIamont (2)'!H78*'(ne pas modifier) BDD_REF'!$B$214)/1000</f>
        <v>0</v>
      </c>
      <c r="I79" s="58">
        <f>(I61*'(ne pas modifier) BDD_REF'!$B$212+'RECeff + REIamont (2)'!I77*'(ne pas modifier) BDD_REF'!$B$213+'RECeff + REIamont (2)'!I78*'(ne pas modifier) BDD_REF'!$B$214)/1000</f>
        <v>0</v>
      </c>
      <c r="J79" s="58">
        <f>(J61*'(ne pas modifier) BDD_REF'!$B$212+'RECeff + REIamont (2)'!J77*'(ne pas modifier) BDD_REF'!$B$213+'RECeff + REIamont (2)'!J78*'(ne pas modifier) BDD_REF'!$B$214)/1000</f>
        <v>0</v>
      </c>
      <c r="K79" s="58">
        <f>(K61*'(ne pas modifier) BDD_REF'!$B$212+'RECeff + REIamont (2)'!K77*'(ne pas modifier) BDD_REF'!$B$213+'RECeff + REIamont (2)'!K78*'(ne pas modifier) BDD_REF'!$B$214)/1000</f>
        <v>0</v>
      </c>
      <c r="L79" s="58">
        <f>(L61*'(ne pas modifier) BDD_REF'!$B$212+'RECeff + REIamont (2)'!L77*'(ne pas modifier) BDD_REF'!$B$213+'RECeff + REIamont (2)'!L78*'(ne pas modifier) BDD_REF'!$B$214)/1000</f>
        <v>0</v>
      </c>
      <c r="M79" s="58">
        <f t="shared" si="4"/>
        <v>0.043499999999999997</v>
      </c>
    </row>
    <row r="80" spans="1:13" ht="15" hidden="1">
      <c r="A80" s="34" t="s">
        <v>179</v>
      </c>
      <c r="B80" s="19" t="s">
        <v>175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58">
        <f t="shared" si="4"/>
        <v>0</v>
      </c>
    </row>
    <row r="81" spans="2:13" ht="15">
      <c r="B81" s="23" t="s">
        <v>324</v>
      </c>
      <c r="C81" s="109">
        <v>0</v>
      </c>
      <c r="D81" s="109">
        <v>0</v>
      </c>
      <c r="E81" s="109"/>
      <c r="F81" s="109"/>
      <c r="G81" s="109"/>
      <c r="H81" s="109"/>
      <c r="I81" s="109"/>
      <c r="J81" s="109"/>
      <c r="K81" s="109"/>
      <c r="L81" s="109"/>
      <c r="M81" s="58">
        <f t="shared" si="4"/>
        <v>0</v>
      </c>
    </row>
    <row r="82" spans="2:13" ht="15">
      <c r="B82" s="23" t="s">
        <v>325</v>
      </c>
      <c r="C82" s="109">
        <v>0</v>
      </c>
      <c r="D82" s="109">
        <v>0</v>
      </c>
      <c r="E82" s="109"/>
      <c r="F82" s="109"/>
      <c r="G82" s="109"/>
      <c r="H82" s="109"/>
      <c r="I82" s="109"/>
      <c r="J82" s="109"/>
      <c r="K82" s="109"/>
      <c r="L82" s="109"/>
      <c r="M82" s="58">
        <f t="shared" si="4"/>
        <v>0</v>
      </c>
    </row>
    <row r="83" spans="2:13" ht="15">
      <c r="B83" s="23" t="s">
        <v>326</v>
      </c>
      <c r="C83" s="109">
        <v>0</v>
      </c>
      <c r="D83" s="109">
        <v>0</v>
      </c>
      <c r="E83" s="109"/>
      <c r="F83" s="109"/>
      <c r="G83" s="109"/>
      <c r="H83" s="109"/>
      <c r="I83" s="109"/>
      <c r="J83" s="109"/>
      <c r="K83" s="109"/>
      <c r="L83" s="109"/>
      <c r="M83" s="58">
        <f t="shared" si="4"/>
        <v>0</v>
      </c>
    </row>
    <row r="84" spans="2:13" ht="15">
      <c r="B84" s="23" t="s">
        <v>327</v>
      </c>
      <c r="C84" s="109">
        <v>0</v>
      </c>
      <c r="D84" s="109">
        <v>0</v>
      </c>
      <c r="E84" s="109"/>
      <c r="F84" s="109"/>
      <c r="G84" s="109"/>
      <c r="H84" s="109"/>
      <c r="I84" s="109"/>
      <c r="J84" s="109"/>
      <c r="K84" s="109"/>
      <c r="L84" s="109"/>
      <c r="M84" s="58">
        <f t="shared" si="4"/>
        <v>0</v>
      </c>
    </row>
    <row r="85" spans="2:13" ht="15">
      <c r="B85" s="19" t="s">
        <v>294</v>
      </c>
      <c r="C85" s="58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58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58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58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58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58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58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58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58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58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58">
        <f t="shared" si="4"/>
        <v>0</v>
      </c>
    </row>
    <row r="86" spans="1:108" s="33" customFormat="1" ht="15">
      <c r="A86" s="35"/>
      <c r="B86" s="36" t="s">
        <v>186</v>
      </c>
      <c r="C86" s="110">
        <f>C79+C80+C85</f>
        <v>0</v>
      </c>
      <c r="D86" s="110">
        <f t="shared" si="6" ref="D86:L86">D79+D80+D85</f>
        <v>0.043499999999999997</v>
      </c>
      <c r="E86" s="110">
        <f t="shared" si="6"/>
        <v>0</v>
      </c>
      <c r="F86" s="110">
        <f t="shared" si="6"/>
        <v>0</v>
      </c>
      <c r="G86" s="110">
        <f t="shared" si="6"/>
        <v>0</v>
      </c>
      <c r="H86" s="110">
        <f t="shared" si="6"/>
        <v>0</v>
      </c>
      <c r="I86" s="110">
        <f t="shared" si="6"/>
        <v>0</v>
      </c>
      <c r="J86" s="110">
        <f t="shared" si="6"/>
        <v>0</v>
      </c>
      <c r="K86" s="110">
        <f t="shared" si="6"/>
        <v>0</v>
      </c>
      <c r="L86" s="110">
        <f t="shared" si="6"/>
        <v>0</v>
      </c>
      <c r="M86" s="58">
        <f t="shared" si="4"/>
        <v>0.043499999999999997</v>
      </c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</row>
    <row r="87" spans="1:108" s="33" customFormat="1" ht="15">
      <c r="A87" s="35"/>
      <c r="B87" s="37" t="s">
        <v>144</v>
      </c>
      <c r="C87" s="112">
        <f>((C64+C65+C66)/1000*44/28*'(ne pas modifier) BDD_REF'!$B$232)+'RECeff + REIamont (2)'!C76+'RECeff + REIamont (2)'!C86</f>
        <v>0</v>
      </c>
      <c r="D87" s="112">
        <f>((D64+D65+D66)/1000*44/28*'(ne pas modifier) BDD_REF'!$B$232)+'RECeff + REIamont (2)'!D76+'RECeff + REIamont (2)'!D86</f>
        <v>0.57422214285714279</v>
      </c>
      <c r="E87" s="112">
        <f>((E64+E65+E66)/1000*44/28*'(ne pas modifier) BDD_REF'!$B$232)+'RECeff + REIamont (2)'!E76+'RECeff + REIamont (2)'!E86</f>
        <v>0</v>
      </c>
      <c r="F87" s="112">
        <f>((F64+F65+F66)/1000*44/28*'(ne pas modifier) BDD_REF'!$B$232)+'RECeff + REIamont (2)'!F76+'RECeff + REIamont (2)'!F86</f>
        <v>0</v>
      </c>
      <c r="G87" s="112">
        <f>((G64+G65+G66)/1000*44/28*'(ne pas modifier) BDD_REF'!$B$232)+'RECeff + REIamont (2)'!G76+'RECeff + REIamont (2)'!G86</f>
        <v>0</v>
      </c>
      <c r="H87" s="112">
        <f>((H64+H65+H66)/1000*44/28*'(ne pas modifier) BDD_REF'!$B$232)+'RECeff + REIamont (2)'!H76+'RECeff + REIamont (2)'!H86</f>
        <v>0</v>
      </c>
      <c r="I87" s="112">
        <f>((I64+I65+I66)/1000*44/28*'(ne pas modifier) BDD_REF'!$B$232)+'RECeff + REIamont (2)'!I76+'RECeff + REIamont (2)'!I86</f>
        <v>0</v>
      </c>
      <c r="J87" s="112">
        <f>((J64+J65+J66)/1000*44/28*'(ne pas modifier) BDD_REF'!$B$232)+'RECeff + REIamont (2)'!J76+'RECeff + REIamont (2)'!J86</f>
        <v>0</v>
      </c>
      <c r="K87" s="112">
        <f>((K64+K65+K66)/1000*44/28*'(ne pas modifier) BDD_REF'!$B$232)+'RECeff + REIamont (2)'!K76+'RECeff + REIamont (2)'!K86</f>
        <v>0</v>
      </c>
      <c r="L87" s="112">
        <f>((L64+L65+L66)/1000*44/28*'(ne pas modifier) BDD_REF'!$B$232)+'RECeff + REIamont (2)'!L76+'RECeff + REIamont (2)'!L86</f>
        <v>0</v>
      </c>
      <c r="M87" s="112">
        <f t="shared" si="4"/>
        <v>0.57422214285714279</v>
      </c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40"/>
      <c r="CF87" s="40"/>
      <c r="CG87" s="40"/>
      <c r="CH87" s="40"/>
      <c r="CI87" s="40"/>
      <c r="CJ87" s="40"/>
      <c r="CK87" s="40"/>
      <c r="CL87" s="40"/>
      <c r="CM87" s="40"/>
      <c r="CN87" s="40"/>
      <c r="CO87" s="40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</row>
    <row r="88" spans="1:13" ht="15">
      <c r="A88" s="30" t="s">
        <v>149</v>
      </c>
      <c r="B88" s="23" t="s">
        <v>312</v>
      </c>
      <c r="C88" s="109">
        <v>0</v>
      </c>
      <c r="D88" s="109">
        <v>0</v>
      </c>
      <c r="E88" s="109"/>
      <c r="F88" s="109"/>
      <c r="G88" s="109"/>
      <c r="H88" s="109"/>
      <c r="I88" s="109"/>
      <c r="J88" s="109"/>
      <c r="K88" s="109"/>
      <c r="L88" s="109"/>
      <c r="M88" s="58">
        <f t="shared" si="4"/>
        <v>0</v>
      </c>
    </row>
    <row r="89" spans="2:13" ht="15" customHeight="1">
      <c r="B89" s="153" t="s">
        <v>313</v>
      </c>
      <c r="C89" s="143"/>
      <c r="D89" s="143">
        <v>20</v>
      </c>
      <c r="E89" s="137"/>
      <c r="F89" s="137"/>
      <c r="G89" s="137"/>
      <c r="H89" s="137"/>
      <c r="I89" s="137"/>
      <c r="J89" s="137"/>
      <c r="K89" s="137"/>
      <c r="L89" s="137"/>
      <c r="M89" s="151">
        <f t="shared" si="4"/>
        <v>20</v>
      </c>
    </row>
    <row r="90" spans="2:13" ht="15" customHeight="1">
      <c r="B90" s="153" t="s">
        <v>314</v>
      </c>
      <c r="C90" s="143"/>
      <c r="D90" s="143">
        <v>30</v>
      </c>
      <c r="E90" s="137"/>
      <c r="F90" s="137"/>
      <c r="G90" s="137"/>
      <c r="H90" s="137"/>
      <c r="I90" s="137"/>
      <c r="J90" s="137"/>
      <c r="K90" s="137"/>
      <c r="L90" s="137"/>
      <c r="M90" s="151">
        <f t="shared" si="4"/>
        <v>30</v>
      </c>
    </row>
    <row r="91" spans="2:13" ht="15">
      <c r="B91" s="36" t="s">
        <v>328</v>
      </c>
      <c r="C91" s="58">
        <f>C88*'(ne pas modifier) BDD_REF'!$B$207+(C89+C90)*'(ne pas modifier) BDD_REF'!$B$208</f>
        <v>0</v>
      </c>
      <c r="D91" s="58">
        <f>D88*'(ne pas modifier) BDD_REF'!$B$207+(D89+D90)*'(ne pas modifier) BDD_REF'!$B$208</f>
        <v>0.30</v>
      </c>
      <c r="E91" s="58">
        <f>E88*'(ne pas modifier) BDD_REF'!$B$207+(E89+E90)*'(ne pas modifier) BDD_REF'!$B$208</f>
        <v>0</v>
      </c>
      <c r="F91" s="58">
        <f>F88*'(ne pas modifier) BDD_REF'!$B$207+(F89+F90)*'(ne pas modifier) BDD_REF'!$B$208</f>
        <v>0</v>
      </c>
      <c r="G91" s="58">
        <f>G88*'(ne pas modifier) BDD_REF'!$B$207+(G89+G90)*'(ne pas modifier) BDD_REF'!$B$208</f>
        <v>0</v>
      </c>
      <c r="H91" s="58">
        <f>H88*'(ne pas modifier) BDD_REF'!$B$207+(H89+H90)*'(ne pas modifier) BDD_REF'!$B$208</f>
        <v>0</v>
      </c>
      <c r="I91" s="58">
        <f>I88*'(ne pas modifier) BDD_REF'!$B$207+(I89+I90)*'(ne pas modifier) BDD_REF'!$B$208</f>
        <v>0</v>
      </c>
      <c r="J91" s="58">
        <f>J88*'(ne pas modifier) BDD_REF'!$B$207+(J89+J90)*'(ne pas modifier) BDD_REF'!$B$208</f>
        <v>0</v>
      </c>
      <c r="K91" s="58">
        <f>K88*'(ne pas modifier) BDD_REF'!$B$207+(K89+K90)*'(ne pas modifier) BDD_REF'!$B$208</f>
        <v>0</v>
      </c>
      <c r="L91" s="58">
        <f>L88*'(ne pas modifier) BDD_REF'!$B$207+(L89+L90)*'(ne pas modifier) BDD_REF'!$B$208</f>
        <v>0</v>
      </c>
      <c r="M91" s="58">
        <f t="shared" si="4"/>
        <v>0.30</v>
      </c>
    </row>
    <row r="92" spans="2:13" ht="15">
      <c r="B92" s="36" t="s">
        <v>329</v>
      </c>
      <c r="C92" s="58">
        <f>((C88*'(ne pas modifier) BDD_REF'!$B$220)+('RECeff + REIamont (2)'!C89+'RECeff + REIamont (2)'!C90)*'(ne pas modifier) BDD_REF'!$B$221)*'(ne pas modifier) BDD_REF'!$B$209</f>
        <v>0</v>
      </c>
      <c r="D92" s="58">
        <f>((D88*'(ne pas modifier) BDD_REF'!$B$220)+('RECeff + REIamont (2)'!D89+'RECeff + REIamont (2)'!D90)*'(ne pas modifier) BDD_REF'!$B$221)*'(ne pas modifier) BDD_REF'!$B$209</f>
        <v>0.105</v>
      </c>
      <c r="E92" s="58">
        <f>((E88*'(ne pas modifier) BDD_REF'!$B$220)+('RECeff + REIamont (2)'!E89+'RECeff + REIamont (2)'!E90)*'(ne pas modifier) BDD_REF'!$B$221)*'(ne pas modifier) BDD_REF'!$B$209</f>
        <v>0</v>
      </c>
      <c r="F92" s="58">
        <f>((F88*'(ne pas modifier) BDD_REF'!$B$220)+('RECeff + REIamont (2)'!F89+'RECeff + REIamont (2)'!F90)*'(ne pas modifier) BDD_REF'!$B$221)*'(ne pas modifier) BDD_REF'!$B$209</f>
        <v>0</v>
      </c>
      <c r="G92" s="58">
        <f>((G88*'(ne pas modifier) BDD_REF'!$B$220)+('RECeff + REIamont (2)'!G89+'RECeff + REIamont (2)'!G90)*'(ne pas modifier) BDD_REF'!$B$221)*'(ne pas modifier) BDD_REF'!$B$209</f>
        <v>0</v>
      </c>
      <c r="H92" s="58">
        <f>((H88*'(ne pas modifier) BDD_REF'!$B$220)+('RECeff + REIamont (2)'!H89+'RECeff + REIamont (2)'!H90)*'(ne pas modifier) BDD_REF'!$B$221)*'(ne pas modifier) BDD_REF'!$B$209</f>
        <v>0</v>
      </c>
      <c r="I92" s="58">
        <f>((I88*'(ne pas modifier) BDD_REF'!$B$220)+('RECeff + REIamont (2)'!I89+'RECeff + REIamont (2)'!I90)*'(ne pas modifier) BDD_REF'!$B$221)*'(ne pas modifier) BDD_REF'!$B$209</f>
        <v>0</v>
      </c>
      <c r="J92" s="58">
        <f>((J88*'(ne pas modifier) BDD_REF'!$B$220)+('RECeff + REIamont (2)'!J89+'RECeff + REIamont (2)'!J90)*'(ne pas modifier) BDD_REF'!$B$221)*'(ne pas modifier) BDD_REF'!$B$209</f>
        <v>0</v>
      </c>
      <c r="K92" s="58">
        <f>((K88*'(ne pas modifier) BDD_REF'!$B$220)+('RECeff + REIamont (2)'!K89+'RECeff + REIamont (2)'!K90)*'(ne pas modifier) BDD_REF'!$B$221)*'(ne pas modifier) BDD_REF'!$B$209</f>
        <v>0</v>
      </c>
      <c r="L92" s="58">
        <f>((L88*'(ne pas modifier) BDD_REF'!$B$220)+('RECeff + REIamont (2)'!L89+'RECeff + REIamont (2)'!L90)*'(ne pas modifier) BDD_REF'!$B$221)*'(ne pas modifier) BDD_REF'!$B$209</f>
        <v>0</v>
      </c>
      <c r="M92" s="58">
        <f t="shared" si="4"/>
        <v>0.105</v>
      </c>
    </row>
    <row r="93" spans="2:13" ht="15">
      <c r="B93" s="36" t="s">
        <v>330</v>
      </c>
      <c r="C93" s="58">
        <f>(C88+C89+C90)*'(ne pas modifier) BDD_REF'!$B$222*'(ne pas modifier) BDD_REF'!$B$210</f>
        <v>0</v>
      </c>
      <c r="D93" s="58">
        <f>(D88+D89+D90)*'(ne pas modifier) BDD_REF'!$B$222*'(ne pas modifier) BDD_REF'!$B$210</f>
        <v>0.13200000000000001</v>
      </c>
      <c r="E93" s="58">
        <f>(E88+E89+E90)*'(ne pas modifier) BDD_REF'!$B$222*'(ne pas modifier) BDD_REF'!$B$210</f>
        <v>0</v>
      </c>
      <c r="F93" s="58">
        <f>(F88+F89+F90)*'(ne pas modifier) BDD_REF'!$B$222*'(ne pas modifier) BDD_REF'!$B$210</f>
        <v>0</v>
      </c>
      <c r="G93" s="58">
        <f>(G88+G89+G90)*'(ne pas modifier) BDD_REF'!$B$222*'(ne pas modifier) BDD_REF'!$B$210</f>
        <v>0</v>
      </c>
      <c r="H93" s="58">
        <f>(H88+H89+H90)*'(ne pas modifier) BDD_REF'!$B$222*'(ne pas modifier) BDD_REF'!$B$210</f>
        <v>0</v>
      </c>
      <c r="I93" s="58">
        <f>(I88+I89+I90)*'(ne pas modifier) BDD_REF'!$B$222*'(ne pas modifier) BDD_REF'!$B$210</f>
        <v>0</v>
      </c>
      <c r="J93" s="58">
        <f>(J88+J89+J90)*'(ne pas modifier) BDD_REF'!$B$222*'(ne pas modifier) BDD_REF'!$B$210</f>
        <v>0</v>
      </c>
      <c r="K93" s="58">
        <f>(K88+K89+K90)*'(ne pas modifier) BDD_REF'!$B$222*'(ne pas modifier) BDD_REF'!$B$210</f>
        <v>0</v>
      </c>
      <c r="L93" s="58">
        <f>(L88+L89+L90)*'(ne pas modifier) BDD_REF'!$B$222*'(ne pas modifier) BDD_REF'!$B$210</f>
        <v>0</v>
      </c>
      <c r="M93" s="58">
        <f t="shared" si="4"/>
        <v>0.13200000000000001</v>
      </c>
    </row>
    <row r="94" spans="2:13" ht="15">
      <c r="B94" s="23" t="s">
        <v>315</v>
      </c>
      <c r="C94" s="109">
        <v>0</v>
      </c>
      <c r="D94" s="109">
        <v>0</v>
      </c>
      <c r="E94" s="109"/>
      <c r="F94" s="109"/>
      <c r="G94" s="109"/>
      <c r="H94" s="109"/>
      <c r="I94" s="109"/>
      <c r="J94" s="109"/>
      <c r="K94" s="109"/>
      <c r="L94" s="109"/>
      <c r="M94" s="58">
        <f t="shared" si="4"/>
        <v>0</v>
      </c>
    </row>
    <row r="95" spans="2:13" ht="15" customHeight="1">
      <c r="B95" s="153" t="s">
        <v>316</v>
      </c>
      <c r="C95" s="143"/>
      <c r="D95" s="143">
        <v>100</v>
      </c>
      <c r="E95" s="137"/>
      <c r="F95" s="137"/>
      <c r="G95" s="137"/>
      <c r="H95" s="137"/>
      <c r="I95" s="137"/>
      <c r="J95" s="137"/>
      <c r="K95" s="137"/>
      <c r="L95" s="137"/>
      <c r="M95" s="151">
        <f t="shared" si="4"/>
        <v>100</v>
      </c>
    </row>
    <row r="96" spans="2:13" ht="15">
      <c r="B96" s="23" t="s">
        <v>317</v>
      </c>
      <c r="C96" s="109">
        <v>0</v>
      </c>
      <c r="D96" s="109">
        <v>0</v>
      </c>
      <c r="E96" s="109"/>
      <c r="F96" s="109"/>
      <c r="G96" s="109"/>
      <c r="H96" s="109"/>
      <c r="I96" s="109"/>
      <c r="J96" s="109"/>
      <c r="K96" s="109"/>
      <c r="L96" s="109"/>
      <c r="M96" s="58">
        <f t="shared" si="4"/>
        <v>0</v>
      </c>
    </row>
    <row r="97" spans="2:13" ht="15">
      <c r="B97" s="23" t="s">
        <v>318</v>
      </c>
      <c r="C97" s="109">
        <v>0</v>
      </c>
      <c r="D97" s="109">
        <v>0</v>
      </c>
      <c r="E97" s="109">
        <v>0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58">
        <f t="shared" si="4"/>
        <v>0</v>
      </c>
    </row>
    <row r="98" spans="2:13" ht="15">
      <c r="B98" s="23" t="s">
        <v>319</v>
      </c>
      <c r="C98" s="109">
        <v>0</v>
      </c>
      <c r="D98" s="109">
        <v>0</v>
      </c>
      <c r="E98" s="109">
        <v>0</v>
      </c>
      <c r="F98" s="109">
        <v>0</v>
      </c>
      <c r="G98" s="109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58">
        <f t="shared" si="4"/>
        <v>0</v>
      </c>
    </row>
    <row r="99" spans="2:13" ht="15">
      <c r="B99" s="23" t="s">
        <v>320</v>
      </c>
      <c r="C99" s="109">
        <v>0</v>
      </c>
      <c r="D99" s="109">
        <v>0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  <c r="J99" s="109">
        <v>0</v>
      </c>
      <c r="K99" s="109">
        <v>0</v>
      </c>
      <c r="L99" s="109">
        <v>0</v>
      </c>
      <c r="M99" s="58">
        <f t="shared" si="4"/>
        <v>0</v>
      </c>
    </row>
    <row r="100" spans="2:13" ht="15">
      <c r="B100" s="19" t="s">
        <v>173</v>
      </c>
      <c r="C100" s="58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58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0.30709999999999998</v>
      </c>
      <c r="E100" s="58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58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58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58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58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58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58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58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58">
        <f t="shared" si="4"/>
        <v>0.30709999999999998</v>
      </c>
    </row>
    <row r="101" spans="2:13" ht="15">
      <c r="B101" s="23" t="s">
        <v>321</v>
      </c>
      <c r="C101" s="109">
        <v>0</v>
      </c>
      <c r="D101" s="109">
        <v>0</v>
      </c>
      <c r="E101" s="109"/>
      <c r="F101" s="109"/>
      <c r="G101" s="109"/>
      <c r="H101" s="109"/>
      <c r="I101" s="109"/>
      <c r="J101" s="109"/>
      <c r="K101" s="109"/>
      <c r="L101" s="109"/>
      <c r="M101" s="58">
        <f t="shared" si="4"/>
        <v>0</v>
      </c>
    </row>
    <row r="102" spans="2:13" ht="15">
      <c r="B102" s="19" t="s">
        <v>184</v>
      </c>
      <c r="C102" s="58">
        <f>(C101*'(ne pas modifier) BDD_REF'!$B$211)/1000</f>
        <v>0</v>
      </c>
      <c r="D102" s="58">
        <f>(D101*'(ne pas modifier) BDD_REF'!$B$211)/1000</f>
        <v>0</v>
      </c>
      <c r="E102" s="58">
        <f>(E101*'(ne pas modifier) BDD_REF'!$B$211)/1000</f>
        <v>0</v>
      </c>
      <c r="F102" s="58">
        <f>(F101*'(ne pas modifier) BDD_REF'!$B$211)/1000</f>
        <v>0</v>
      </c>
      <c r="G102" s="58">
        <f>(G101*'(ne pas modifier) BDD_REF'!$B$211)/1000</f>
        <v>0</v>
      </c>
      <c r="H102" s="58">
        <f>(H101*'(ne pas modifier) BDD_REF'!$B$211)/1000</f>
        <v>0</v>
      </c>
      <c r="I102" s="58">
        <f>(I101*'(ne pas modifier) BDD_REF'!$B$211)/1000</f>
        <v>0</v>
      </c>
      <c r="J102" s="58">
        <f>(J101*'(ne pas modifier) BDD_REF'!$B$211)/1000</f>
        <v>0</v>
      </c>
      <c r="K102" s="58">
        <f>(K101*'(ne pas modifier) BDD_REF'!$B$211)/1000</f>
        <v>0</v>
      </c>
      <c r="L102" s="58">
        <f>(L101*'(ne pas modifier) BDD_REF'!$B$211)/1000</f>
        <v>0</v>
      </c>
      <c r="M102" s="58">
        <f t="shared" si="4"/>
        <v>0</v>
      </c>
    </row>
    <row r="103" spans="1:108" s="33" customFormat="1" ht="15">
      <c r="A103" s="35"/>
      <c r="B103" s="36" t="s">
        <v>185</v>
      </c>
      <c r="C103" s="110">
        <f>C100+C102</f>
        <v>0</v>
      </c>
      <c r="D103" s="110">
        <f t="shared" si="7" ref="D103:L103">D100+D102</f>
        <v>0.30709999999999998</v>
      </c>
      <c r="E103" s="110">
        <f t="shared" si="7"/>
        <v>0</v>
      </c>
      <c r="F103" s="110">
        <f t="shared" si="7"/>
        <v>0</v>
      </c>
      <c r="G103" s="110">
        <f t="shared" si="7"/>
        <v>0</v>
      </c>
      <c r="H103" s="110">
        <f t="shared" si="7"/>
        <v>0</v>
      </c>
      <c r="I103" s="110">
        <f t="shared" si="7"/>
        <v>0</v>
      </c>
      <c r="J103" s="110">
        <f t="shared" si="7"/>
        <v>0</v>
      </c>
      <c r="K103" s="110">
        <f t="shared" si="7"/>
        <v>0</v>
      </c>
      <c r="L103" s="110">
        <f t="shared" si="7"/>
        <v>0</v>
      </c>
      <c r="M103" s="58">
        <f t="shared" si="8" ref="M103:M134">SUM(C103:L103)</f>
        <v>0.30709999999999998</v>
      </c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</row>
    <row r="104" spans="2:13" ht="15" customHeight="1">
      <c r="B104" s="153" t="s">
        <v>322</v>
      </c>
      <c r="C104" s="143"/>
      <c r="D104" s="143">
        <v>40</v>
      </c>
      <c r="E104" s="137"/>
      <c r="F104" s="137"/>
      <c r="G104" s="137"/>
      <c r="H104" s="137"/>
      <c r="I104" s="137"/>
      <c r="J104" s="137"/>
      <c r="K104" s="137"/>
      <c r="L104" s="137"/>
      <c r="M104" s="151">
        <f t="shared" si="8"/>
        <v>40</v>
      </c>
    </row>
    <row r="105" spans="2:13" ht="15" customHeight="1">
      <c r="B105" s="153" t="s">
        <v>323</v>
      </c>
      <c r="C105" s="143"/>
      <c r="D105" s="143">
        <v>50</v>
      </c>
      <c r="E105" s="137"/>
      <c r="F105" s="137"/>
      <c r="G105" s="137"/>
      <c r="H105" s="137"/>
      <c r="I105" s="137"/>
      <c r="J105" s="137"/>
      <c r="K105" s="137"/>
      <c r="L105" s="137"/>
      <c r="M105" s="151">
        <f t="shared" si="8"/>
        <v>50</v>
      </c>
    </row>
    <row r="106" spans="2:13" ht="15">
      <c r="B106" s="19" t="s">
        <v>292</v>
      </c>
      <c r="C106" s="58">
        <f>(C88*'(ne pas modifier) BDD_REF'!$B$212+'RECeff + REIamont (2)'!C104*'(ne pas modifier) BDD_REF'!$B$213+'RECeff + REIamont (2)'!C105*'(ne pas modifier) BDD_REF'!$B$214)/1000</f>
        <v>0</v>
      </c>
      <c r="D106" s="58">
        <f>(D88*'(ne pas modifier) BDD_REF'!$B$212+'RECeff + REIamont (2)'!D104*'(ne pas modifier) BDD_REF'!$B$213+'RECeff + REIamont (2)'!D105*'(ne pas modifier) BDD_REF'!$B$214)/1000</f>
        <v>0.0935</v>
      </c>
      <c r="E106" s="58">
        <f>(E88*'(ne pas modifier) BDD_REF'!$B$212+'RECeff + REIamont (2)'!E104*'(ne pas modifier) BDD_REF'!$B$213+'RECeff + REIamont (2)'!E105*'(ne pas modifier) BDD_REF'!$B$214)/1000</f>
        <v>0</v>
      </c>
      <c r="F106" s="58">
        <f>(F88*'(ne pas modifier) BDD_REF'!$B$212+'RECeff + REIamont (2)'!F104*'(ne pas modifier) BDD_REF'!$B$213+'RECeff + REIamont (2)'!F105*'(ne pas modifier) BDD_REF'!$B$214)/1000</f>
        <v>0</v>
      </c>
      <c r="G106" s="58">
        <f>(G88*'(ne pas modifier) BDD_REF'!$B$212+'RECeff + REIamont (2)'!G104*'(ne pas modifier) BDD_REF'!$B$213+'RECeff + REIamont (2)'!G105*'(ne pas modifier) BDD_REF'!$B$214)/1000</f>
        <v>0</v>
      </c>
      <c r="H106" s="58">
        <f>(H88*'(ne pas modifier) BDD_REF'!$B$212+'RECeff + REIamont (2)'!H104*'(ne pas modifier) BDD_REF'!$B$213+'RECeff + REIamont (2)'!H105*'(ne pas modifier) BDD_REF'!$B$214)/1000</f>
        <v>0</v>
      </c>
      <c r="I106" s="58">
        <f>(I88*'(ne pas modifier) BDD_REF'!$B$212+'RECeff + REIamont (2)'!I104*'(ne pas modifier) BDD_REF'!$B$213+'RECeff + REIamont (2)'!I105*'(ne pas modifier) BDD_REF'!$B$214)/1000</f>
        <v>0</v>
      </c>
      <c r="J106" s="58">
        <f>(J88*'(ne pas modifier) BDD_REF'!$B$212+'RECeff + REIamont (2)'!J104*'(ne pas modifier) BDD_REF'!$B$213+'RECeff + REIamont (2)'!J105*'(ne pas modifier) BDD_REF'!$B$214)/1000</f>
        <v>0</v>
      </c>
      <c r="K106" s="58">
        <f>(K88*'(ne pas modifier) BDD_REF'!$B$212+'RECeff + REIamont (2)'!K104*'(ne pas modifier) BDD_REF'!$B$213+'RECeff + REIamont (2)'!K105*'(ne pas modifier) BDD_REF'!$B$214)/1000</f>
        <v>0</v>
      </c>
      <c r="L106" s="58">
        <f>(L88*'(ne pas modifier) BDD_REF'!$B$212+'RECeff + REIamont (2)'!L104*'(ne pas modifier) BDD_REF'!$B$213+'RECeff + REIamont (2)'!L105*'(ne pas modifier) BDD_REF'!$B$214)/1000</f>
        <v>0</v>
      </c>
      <c r="M106" s="58">
        <f t="shared" si="8"/>
        <v>0.0935</v>
      </c>
    </row>
    <row r="107" spans="1:13" ht="15" hidden="1">
      <c r="A107" s="34" t="s">
        <v>179</v>
      </c>
      <c r="B107" s="19" t="s">
        <v>175</v>
      </c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58">
        <f t="shared" si="8"/>
        <v>0</v>
      </c>
    </row>
    <row r="108" spans="2:13" ht="15">
      <c r="B108" s="23" t="s">
        <v>324</v>
      </c>
      <c r="C108" s="109">
        <v>0</v>
      </c>
      <c r="D108" s="109">
        <v>0</v>
      </c>
      <c r="E108" s="109"/>
      <c r="F108" s="109"/>
      <c r="G108" s="109"/>
      <c r="H108" s="109"/>
      <c r="I108" s="109"/>
      <c r="J108" s="109"/>
      <c r="K108" s="109"/>
      <c r="L108" s="109"/>
      <c r="M108" s="58">
        <f t="shared" si="8"/>
        <v>0</v>
      </c>
    </row>
    <row r="109" spans="2:13" ht="15">
      <c r="B109" s="23" t="s">
        <v>325</v>
      </c>
      <c r="C109" s="109">
        <v>0</v>
      </c>
      <c r="D109" s="109">
        <v>0</v>
      </c>
      <c r="E109" s="109"/>
      <c r="F109" s="109"/>
      <c r="G109" s="109"/>
      <c r="H109" s="109"/>
      <c r="I109" s="109"/>
      <c r="J109" s="109"/>
      <c r="K109" s="109"/>
      <c r="L109" s="109"/>
      <c r="M109" s="58">
        <f t="shared" si="8"/>
        <v>0</v>
      </c>
    </row>
    <row r="110" spans="2:13" ht="15">
      <c r="B110" s="23" t="s">
        <v>326</v>
      </c>
      <c r="C110" s="109">
        <v>0</v>
      </c>
      <c r="D110" s="109">
        <v>0</v>
      </c>
      <c r="E110" s="109"/>
      <c r="F110" s="109"/>
      <c r="G110" s="109"/>
      <c r="H110" s="109"/>
      <c r="I110" s="109"/>
      <c r="J110" s="109"/>
      <c r="K110" s="109"/>
      <c r="L110" s="109"/>
      <c r="M110" s="58">
        <f t="shared" si="8"/>
        <v>0</v>
      </c>
    </row>
    <row r="111" spans="2:13" ht="15">
      <c r="B111" s="23" t="s">
        <v>327</v>
      </c>
      <c r="C111" s="109">
        <v>0</v>
      </c>
      <c r="D111" s="109">
        <v>0</v>
      </c>
      <c r="E111" s="109"/>
      <c r="F111" s="109"/>
      <c r="G111" s="109"/>
      <c r="H111" s="109"/>
      <c r="I111" s="109"/>
      <c r="J111" s="109"/>
      <c r="K111" s="109"/>
      <c r="L111" s="109"/>
      <c r="M111" s="58">
        <f t="shared" si="8"/>
        <v>0</v>
      </c>
    </row>
    <row r="112" spans="2:13" ht="15">
      <c r="B112" s="19" t="s">
        <v>294</v>
      </c>
      <c r="C112" s="58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58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58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58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58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58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58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58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58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58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58">
        <f t="shared" si="8"/>
        <v>0</v>
      </c>
    </row>
    <row r="113" spans="1:108" s="33" customFormat="1" ht="15">
      <c r="A113" s="35"/>
      <c r="B113" s="36" t="s">
        <v>186</v>
      </c>
      <c r="C113" s="110">
        <f>C106+C107+C112</f>
        <v>0</v>
      </c>
      <c r="D113" s="110">
        <f t="shared" si="9" ref="D113:L113">D106+D107+D112</f>
        <v>0.0935</v>
      </c>
      <c r="E113" s="110">
        <f t="shared" si="9"/>
        <v>0</v>
      </c>
      <c r="F113" s="110">
        <f t="shared" si="9"/>
        <v>0</v>
      </c>
      <c r="G113" s="110">
        <f t="shared" si="9"/>
        <v>0</v>
      </c>
      <c r="H113" s="110">
        <f t="shared" si="9"/>
        <v>0</v>
      </c>
      <c r="I113" s="110">
        <f t="shared" si="9"/>
        <v>0</v>
      </c>
      <c r="J113" s="110">
        <f t="shared" si="9"/>
        <v>0</v>
      </c>
      <c r="K113" s="110">
        <f t="shared" si="9"/>
        <v>0</v>
      </c>
      <c r="L113" s="110">
        <f t="shared" si="9"/>
        <v>0</v>
      </c>
      <c r="M113" s="58">
        <f t="shared" si="8"/>
        <v>0.0935</v>
      </c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</row>
    <row r="114" spans="1:108" s="33" customFormat="1" ht="15">
      <c r="A114" s="35"/>
      <c r="B114" s="37" t="s">
        <v>144</v>
      </c>
      <c r="C114" s="112">
        <f>((C91+C92+C93)/1000*44/28*'(ne pas modifier) BDD_REF'!$B$232)+'RECeff + REIamont (2)'!C103+'RECeff + REIamont (2)'!C113</f>
        <v>0</v>
      </c>
      <c r="D114" s="112">
        <f>((D91+D92+D93)/1000*44/28*'(ne pas modifier) BDD_REF'!$B$232)+'RECeff + REIamont (2)'!D103+'RECeff + REIamont (2)'!D113</f>
        <v>0.62422214285714284</v>
      </c>
      <c r="E114" s="112">
        <f>((E91+E92+E93)/1000*44/28*'(ne pas modifier) BDD_REF'!$B$232)+'RECeff + REIamont (2)'!E103+'RECeff + REIamont (2)'!E113</f>
        <v>0</v>
      </c>
      <c r="F114" s="112">
        <f>((F91+F92+F93)/1000*44/28*'(ne pas modifier) BDD_REF'!$B$232)+'RECeff + REIamont (2)'!F103+'RECeff + REIamont (2)'!F113</f>
        <v>0</v>
      </c>
      <c r="G114" s="112">
        <f>((G91+G92+G93)/1000*44/28*'(ne pas modifier) BDD_REF'!$B$232)+'RECeff + REIamont (2)'!G103+'RECeff + REIamont (2)'!G113</f>
        <v>0</v>
      </c>
      <c r="H114" s="112">
        <f>((H91+H92+H93)/1000*44/28*'(ne pas modifier) BDD_REF'!$B$232)+'RECeff + REIamont (2)'!H103+'RECeff + REIamont (2)'!H113</f>
        <v>0</v>
      </c>
      <c r="I114" s="112">
        <f>((I91+I92+I93)/1000*44/28*'(ne pas modifier) BDD_REF'!$B$232)+'RECeff + REIamont (2)'!I103+'RECeff + REIamont (2)'!I113</f>
        <v>0</v>
      </c>
      <c r="J114" s="112">
        <f>((J91+J92+J93)/1000*44/28*'(ne pas modifier) BDD_REF'!$B$232)+'RECeff + REIamont (2)'!J103+'RECeff + REIamont (2)'!J113</f>
        <v>0</v>
      </c>
      <c r="K114" s="112">
        <f>((K91+K92+K93)/1000*44/28*'(ne pas modifier) BDD_REF'!$B$232)+'RECeff + REIamont (2)'!K103+'RECeff + REIamont (2)'!K113</f>
        <v>0</v>
      </c>
      <c r="L114" s="112">
        <f>((L91+L92+L93)/1000*44/28*'(ne pas modifier) BDD_REF'!$B$232)+'RECeff + REIamont (2)'!L103+'RECeff + REIamont (2)'!L113</f>
        <v>0</v>
      </c>
      <c r="M114" s="112">
        <f t="shared" si="8"/>
        <v>0.62422214285714284</v>
      </c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</row>
    <row r="115" spans="1:13" ht="15">
      <c r="A115" s="30" t="s">
        <v>150</v>
      </c>
      <c r="B115" s="23" t="s">
        <v>312</v>
      </c>
      <c r="C115" s="109">
        <v>0</v>
      </c>
      <c r="D115" s="109">
        <v>0</v>
      </c>
      <c r="E115" s="109"/>
      <c r="F115" s="109"/>
      <c r="G115" s="109"/>
      <c r="H115" s="109"/>
      <c r="I115" s="109"/>
      <c r="J115" s="109"/>
      <c r="K115" s="109"/>
      <c r="L115" s="109"/>
      <c r="M115" s="58">
        <f t="shared" si="8"/>
        <v>0</v>
      </c>
    </row>
    <row r="116" spans="2:13" ht="15" customHeight="1">
      <c r="B116" s="153" t="s">
        <v>313</v>
      </c>
      <c r="C116" s="143"/>
      <c r="D116" s="143">
        <v>30</v>
      </c>
      <c r="E116" s="137"/>
      <c r="F116" s="137"/>
      <c r="G116" s="137"/>
      <c r="H116" s="137"/>
      <c r="I116" s="137"/>
      <c r="J116" s="137"/>
      <c r="K116" s="137"/>
      <c r="L116" s="137"/>
      <c r="M116" s="151">
        <f t="shared" si="8"/>
        <v>30</v>
      </c>
    </row>
    <row r="117" spans="2:13" ht="15" customHeight="1">
      <c r="B117" s="153" t="s">
        <v>314</v>
      </c>
      <c r="C117" s="143"/>
      <c r="D117" s="143">
        <v>40</v>
      </c>
      <c r="E117" s="137"/>
      <c r="F117" s="137"/>
      <c r="G117" s="137"/>
      <c r="H117" s="137"/>
      <c r="I117" s="137"/>
      <c r="J117" s="137"/>
      <c r="K117" s="137"/>
      <c r="L117" s="137"/>
      <c r="M117" s="151">
        <f t="shared" si="8"/>
        <v>40</v>
      </c>
    </row>
    <row r="118" spans="2:13" ht="15">
      <c r="B118" s="36" t="s">
        <v>328</v>
      </c>
      <c r="C118" s="58">
        <f>C115*'(ne pas modifier) BDD_REF'!$B$207+(C116+C117)*'(ne pas modifier) BDD_REF'!$B$208</f>
        <v>0</v>
      </c>
      <c r="D118" s="58">
        <f>D115*'(ne pas modifier) BDD_REF'!$B$207+(D116+D117)*'(ne pas modifier) BDD_REF'!$B$208</f>
        <v>0.42</v>
      </c>
      <c r="E118" s="58">
        <f>E115*'(ne pas modifier) BDD_REF'!$B$207+(E116+E117)*'(ne pas modifier) BDD_REF'!$B$208</f>
        <v>0</v>
      </c>
      <c r="F118" s="58">
        <f>F115*'(ne pas modifier) BDD_REF'!$B$207+(F116+F117)*'(ne pas modifier) BDD_REF'!$B$208</f>
        <v>0</v>
      </c>
      <c r="G118" s="58">
        <f>G115*'(ne pas modifier) BDD_REF'!$B$207+(G116+G117)*'(ne pas modifier) BDD_REF'!$B$208</f>
        <v>0</v>
      </c>
      <c r="H118" s="58">
        <f>H115*'(ne pas modifier) BDD_REF'!$B$207+(H116+H117)*'(ne pas modifier) BDD_REF'!$B$208</f>
        <v>0</v>
      </c>
      <c r="I118" s="58">
        <f>I115*'(ne pas modifier) BDD_REF'!$B$207+(I116+I117)*'(ne pas modifier) BDD_REF'!$B$208</f>
        <v>0</v>
      </c>
      <c r="J118" s="58">
        <f>J115*'(ne pas modifier) BDD_REF'!$B$207+(J116+J117)*'(ne pas modifier) BDD_REF'!$B$208</f>
        <v>0</v>
      </c>
      <c r="K118" s="58">
        <f>K115*'(ne pas modifier) BDD_REF'!$B$207+(K116+K117)*'(ne pas modifier) BDD_REF'!$B$208</f>
        <v>0</v>
      </c>
      <c r="L118" s="58">
        <f>L115*'(ne pas modifier) BDD_REF'!$B$207+(L116+L117)*'(ne pas modifier) BDD_REF'!$B$208</f>
        <v>0</v>
      </c>
      <c r="M118" s="58">
        <f t="shared" si="8"/>
        <v>0.42</v>
      </c>
    </row>
    <row r="119" spans="2:13" ht="15">
      <c r="B119" s="36" t="s">
        <v>329</v>
      </c>
      <c r="C119" s="58">
        <f>((C115*'(ne pas modifier) BDD_REF'!$B$220)+('RECeff + REIamont (2)'!C116+'RECeff + REIamont (2)'!C117)*'(ne pas modifier) BDD_REF'!$B$221)*'(ne pas modifier) BDD_REF'!$B$209</f>
        <v>0</v>
      </c>
      <c r="D119" s="58">
        <f>((D115*'(ne pas modifier) BDD_REF'!$B$220)+('RECeff + REIamont (2)'!D116+'RECeff + REIamont (2)'!D117)*'(ne pas modifier) BDD_REF'!$B$221)*'(ne pas modifier) BDD_REF'!$B$209</f>
        <v>0.14699999999999999</v>
      </c>
      <c r="E119" s="58">
        <f>((E115*'(ne pas modifier) BDD_REF'!$B$220)+('RECeff + REIamont (2)'!E116+'RECeff + REIamont (2)'!E117)*'(ne pas modifier) BDD_REF'!$B$221)*'(ne pas modifier) BDD_REF'!$B$209</f>
        <v>0</v>
      </c>
      <c r="F119" s="58">
        <f>((F115*'(ne pas modifier) BDD_REF'!$B$220)+('RECeff + REIamont (2)'!F116+'RECeff + REIamont (2)'!F117)*'(ne pas modifier) BDD_REF'!$B$221)*'(ne pas modifier) BDD_REF'!$B$209</f>
        <v>0</v>
      </c>
      <c r="G119" s="58">
        <f>((G115*'(ne pas modifier) BDD_REF'!$B$220)+('RECeff + REIamont (2)'!G116+'RECeff + REIamont (2)'!G117)*'(ne pas modifier) BDD_REF'!$B$221)*'(ne pas modifier) BDD_REF'!$B$209</f>
        <v>0</v>
      </c>
      <c r="H119" s="58">
        <f>((H115*'(ne pas modifier) BDD_REF'!$B$220)+('RECeff + REIamont (2)'!H116+'RECeff + REIamont (2)'!H117)*'(ne pas modifier) BDD_REF'!$B$221)*'(ne pas modifier) BDD_REF'!$B$209</f>
        <v>0</v>
      </c>
      <c r="I119" s="58">
        <f>((I115*'(ne pas modifier) BDD_REF'!$B$220)+('RECeff + REIamont (2)'!I116+'RECeff + REIamont (2)'!I117)*'(ne pas modifier) BDD_REF'!$B$221)*'(ne pas modifier) BDD_REF'!$B$209</f>
        <v>0</v>
      </c>
      <c r="J119" s="58">
        <f>((J115*'(ne pas modifier) BDD_REF'!$B$220)+('RECeff + REIamont (2)'!J116+'RECeff + REIamont (2)'!J117)*'(ne pas modifier) BDD_REF'!$B$221)*'(ne pas modifier) BDD_REF'!$B$209</f>
        <v>0</v>
      </c>
      <c r="K119" s="58">
        <f>((K115*'(ne pas modifier) BDD_REF'!$B$220)+('RECeff + REIamont (2)'!K116+'RECeff + REIamont (2)'!K117)*'(ne pas modifier) BDD_REF'!$B$221)*'(ne pas modifier) BDD_REF'!$B$209</f>
        <v>0</v>
      </c>
      <c r="L119" s="58">
        <f>((L115*'(ne pas modifier) BDD_REF'!$B$220)+('RECeff + REIamont (2)'!L116+'RECeff + REIamont (2)'!L117)*'(ne pas modifier) BDD_REF'!$B$221)*'(ne pas modifier) BDD_REF'!$B$209</f>
        <v>0</v>
      </c>
      <c r="M119" s="58">
        <f t="shared" si="8"/>
        <v>0.14699999999999999</v>
      </c>
    </row>
    <row r="120" spans="2:13" ht="15">
      <c r="B120" s="36" t="s">
        <v>330</v>
      </c>
      <c r="C120" s="58">
        <f>(C115+C116+C117)*'(ne pas modifier) BDD_REF'!$B$222*'(ne pas modifier) BDD_REF'!$B$210</f>
        <v>0</v>
      </c>
      <c r="D120" s="58">
        <f>(D115+D116+D117)*'(ne pas modifier) BDD_REF'!$B$222*'(ne pas modifier) BDD_REF'!$B$210</f>
        <v>0.18479999999999999</v>
      </c>
      <c r="E120" s="58">
        <f>(E115+E116+E117)*'(ne pas modifier) BDD_REF'!$B$222*'(ne pas modifier) BDD_REF'!$B$210</f>
        <v>0</v>
      </c>
      <c r="F120" s="58">
        <f>(F115+F116+F117)*'(ne pas modifier) BDD_REF'!$B$222*'(ne pas modifier) BDD_REF'!$B$210</f>
        <v>0</v>
      </c>
      <c r="G120" s="58">
        <f>(G115+G116+G117)*'(ne pas modifier) BDD_REF'!$B$222*'(ne pas modifier) BDD_REF'!$B$210</f>
        <v>0</v>
      </c>
      <c r="H120" s="58">
        <f>(H115+H116+H117)*'(ne pas modifier) BDD_REF'!$B$222*'(ne pas modifier) BDD_REF'!$B$210</f>
        <v>0</v>
      </c>
      <c r="I120" s="58">
        <f>(I115+I116+I117)*'(ne pas modifier) BDD_REF'!$B$222*'(ne pas modifier) BDD_REF'!$B$210</f>
        <v>0</v>
      </c>
      <c r="J120" s="58">
        <f>(J115+J116+J117)*'(ne pas modifier) BDD_REF'!$B$222*'(ne pas modifier) BDD_REF'!$B$210</f>
        <v>0</v>
      </c>
      <c r="K120" s="58">
        <f>(K115+K116+K117)*'(ne pas modifier) BDD_REF'!$B$222*'(ne pas modifier) BDD_REF'!$B$210</f>
        <v>0</v>
      </c>
      <c r="L120" s="58">
        <f>(L115+L116+L117)*'(ne pas modifier) BDD_REF'!$B$222*'(ne pas modifier) BDD_REF'!$B$210</f>
        <v>0</v>
      </c>
      <c r="M120" s="58">
        <f t="shared" si="8"/>
        <v>0.18479999999999999</v>
      </c>
    </row>
    <row r="121" spans="2:13" ht="15">
      <c r="B121" s="23" t="s">
        <v>315</v>
      </c>
      <c r="C121" s="109">
        <v>0</v>
      </c>
      <c r="D121" s="109">
        <v>0</v>
      </c>
      <c r="E121" s="109"/>
      <c r="F121" s="109"/>
      <c r="G121" s="109"/>
      <c r="H121" s="109"/>
      <c r="I121" s="109"/>
      <c r="J121" s="109"/>
      <c r="K121" s="109"/>
      <c r="L121" s="109"/>
      <c r="M121" s="58">
        <f t="shared" si="8"/>
        <v>0</v>
      </c>
    </row>
    <row r="122" spans="2:13" ht="15" customHeight="1">
      <c r="B122" s="153" t="s">
        <v>316</v>
      </c>
      <c r="C122" s="143"/>
      <c r="D122" s="143">
        <v>150</v>
      </c>
      <c r="E122" s="137"/>
      <c r="F122" s="137"/>
      <c r="G122" s="137"/>
      <c r="H122" s="137"/>
      <c r="I122" s="137"/>
      <c r="J122" s="137"/>
      <c r="K122" s="137"/>
      <c r="L122" s="137"/>
      <c r="M122" s="151">
        <f t="shared" si="8"/>
        <v>150</v>
      </c>
    </row>
    <row r="123" spans="2:13" ht="15">
      <c r="B123" s="23" t="s">
        <v>317</v>
      </c>
      <c r="C123" s="109">
        <v>0</v>
      </c>
      <c r="D123" s="109">
        <v>0</v>
      </c>
      <c r="E123" s="109"/>
      <c r="F123" s="109"/>
      <c r="G123" s="109"/>
      <c r="H123" s="109"/>
      <c r="I123" s="109"/>
      <c r="J123" s="109"/>
      <c r="K123" s="109"/>
      <c r="L123" s="109"/>
      <c r="M123" s="58">
        <f t="shared" si="8"/>
        <v>0</v>
      </c>
    </row>
    <row r="124" spans="2:13" ht="15">
      <c r="B124" s="23" t="s">
        <v>318</v>
      </c>
      <c r="C124" s="109">
        <v>0</v>
      </c>
      <c r="D124" s="109">
        <v>0</v>
      </c>
      <c r="E124" s="109">
        <v>0</v>
      </c>
      <c r="F124" s="109">
        <v>0</v>
      </c>
      <c r="G124" s="109">
        <v>0</v>
      </c>
      <c r="H124" s="109">
        <v>0</v>
      </c>
      <c r="I124" s="109">
        <v>0</v>
      </c>
      <c r="J124" s="109">
        <v>0</v>
      </c>
      <c r="K124" s="109">
        <v>0</v>
      </c>
      <c r="L124" s="109">
        <v>0</v>
      </c>
      <c r="M124" s="58">
        <f t="shared" si="8"/>
        <v>0</v>
      </c>
    </row>
    <row r="125" spans="2:13" ht="15">
      <c r="B125" s="23" t="s">
        <v>319</v>
      </c>
      <c r="C125" s="109">
        <v>0</v>
      </c>
      <c r="D125" s="109">
        <v>0</v>
      </c>
      <c r="E125" s="109">
        <v>0</v>
      </c>
      <c r="F125" s="109">
        <v>0</v>
      </c>
      <c r="G125" s="109">
        <v>0</v>
      </c>
      <c r="H125" s="109">
        <v>0</v>
      </c>
      <c r="I125" s="109">
        <v>0</v>
      </c>
      <c r="J125" s="109">
        <v>0</v>
      </c>
      <c r="K125" s="109">
        <v>0</v>
      </c>
      <c r="L125" s="109">
        <v>0</v>
      </c>
      <c r="M125" s="58">
        <f t="shared" si="8"/>
        <v>0</v>
      </c>
    </row>
    <row r="126" spans="2:13" ht="15">
      <c r="B126" s="23" t="s">
        <v>320</v>
      </c>
      <c r="C126" s="109">
        <v>0</v>
      </c>
      <c r="D126" s="109">
        <v>0</v>
      </c>
      <c r="E126" s="109">
        <v>0</v>
      </c>
      <c r="F126" s="109">
        <v>0</v>
      </c>
      <c r="G126" s="109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58">
        <f t="shared" si="8"/>
        <v>0</v>
      </c>
    </row>
    <row r="127" spans="2:13" ht="15">
      <c r="B127" s="19" t="s">
        <v>173</v>
      </c>
      <c r="C127" s="58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58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0.46065</v>
      </c>
      <c r="E127" s="58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58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58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58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58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58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58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58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58">
        <f t="shared" si="8"/>
        <v>0.46065</v>
      </c>
    </row>
    <row r="128" spans="2:13" ht="15">
      <c r="B128" s="23" t="s">
        <v>321</v>
      </c>
      <c r="C128" s="109">
        <v>0</v>
      </c>
      <c r="D128" s="109">
        <v>0</v>
      </c>
      <c r="E128" s="109"/>
      <c r="F128" s="109"/>
      <c r="G128" s="109"/>
      <c r="H128" s="109"/>
      <c r="I128" s="109"/>
      <c r="J128" s="109"/>
      <c r="K128" s="109"/>
      <c r="L128" s="109"/>
      <c r="M128" s="58">
        <f t="shared" si="8"/>
        <v>0</v>
      </c>
    </row>
    <row r="129" spans="2:13" ht="15">
      <c r="B129" s="19" t="s">
        <v>184</v>
      </c>
      <c r="C129" s="58">
        <f>(C128*'(ne pas modifier) BDD_REF'!$B$211)/1000</f>
        <v>0</v>
      </c>
      <c r="D129" s="58">
        <f>(D128*'(ne pas modifier) BDD_REF'!$B$211)/1000</f>
        <v>0</v>
      </c>
      <c r="E129" s="58">
        <f>(E128*'(ne pas modifier) BDD_REF'!$B$211)/1000</f>
        <v>0</v>
      </c>
      <c r="F129" s="58">
        <f>(F128*'(ne pas modifier) BDD_REF'!$B$211)/1000</f>
        <v>0</v>
      </c>
      <c r="G129" s="58">
        <f>(G128*'(ne pas modifier) BDD_REF'!$B$211)/1000</f>
        <v>0</v>
      </c>
      <c r="H129" s="58">
        <f>(H128*'(ne pas modifier) BDD_REF'!$B$211)/1000</f>
        <v>0</v>
      </c>
      <c r="I129" s="58">
        <f>(I128*'(ne pas modifier) BDD_REF'!$B$211)/1000</f>
        <v>0</v>
      </c>
      <c r="J129" s="58">
        <f>(J128*'(ne pas modifier) BDD_REF'!$B$211)/1000</f>
        <v>0</v>
      </c>
      <c r="K129" s="58">
        <f>(K128*'(ne pas modifier) BDD_REF'!$B$211)/1000</f>
        <v>0</v>
      </c>
      <c r="L129" s="58">
        <f>(L128*'(ne pas modifier) BDD_REF'!$B$211)/1000</f>
        <v>0</v>
      </c>
      <c r="M129" s="58">
        <f t="shared" si="8"/>
        <v>0</v>
      </c>
    </row>
    <row r="130" spans="1:108" s="33" customFormat="1" ht="15">
      <c r="A130" s="35"/>
      <c r="B130" s="36" t="s">
        <v>185</v>
      </c>
      <c r="C130" s="110">
        <f>C127+C129</f>
        <v>0</v>
      </c>
      <c r="D130" s="110">
        <f t="shared" si="10" ref="D130:L130">D127+D129</f>
        <v>0.46065</v>
      </c>
      <c r="E130" s="110">
        <f t="shared" si="10"/>
        <v>0</v>
      </c>
      <c r="F130" s="110">
        <f t="shared" si="10"/>
        <v>0</v>
      </c>
      <c r="G130" s="110">
        <f t="shared" si="10"/>
        <v>0</v>
      </c>
      <c r="H130" s="110">
        <f t="shared" si="10"/>
        <v>0</v>
      </c>
      <c r="I130" s="110">
        <f t="shared" si="10"/>
        <v>0</v>
      </c>
      <c r="J130" s="110">
        <f t="shared" si="10"/>
        <v>0</v>
      </c>
      <c r="K130" s="110">
        <f t="shared" si="10"/>
        <v>0</v>
      </c>
      <c r="L130" s="110">
        <f t="shared" si="10"/>
        <v>0</v>
      </c>
      <c r="M130" s="58">
        <f t="shared" si="8"/>
        <v>0.46065</v>
      </c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0"/>
      <c r="CL130" s="40"/>
      <c r="CM130" s="40"/>
      <c r="CN130" s="40"/>
      <c r="CO130" s="40"/>
      <c r="CP130" s="40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</row>
    <row r="131" spans="2:13" ht="15" customHeight="1">
      <c r="B131" s="153" t="s">
        <v>322</v>
      </c>
      <c r="C131" s="143"/>
      <c r="D131" s="143">
        <v>60</v>
      </c>
      <c r="E131" s="137"/>
      <c r="F131" s="137"/>
      <c r="G131" s="137"/>
      <c r="H131" s="137"/>
      <c r="I131" s="137"/>
      <c r="J131" s="137"/>
      <c r="K131" s="137"/>
      <c r="L131" s="137"/>
      <c r="M131" s="151">
        <f t="shared" si="8"/>
        <v>60</v>
      </c>
    </row>
    <row r="132" spans="2:13" ht="15" customHeight="1">
      <c r="B132" s="153" t="s">
        <v>323</v>
      </c>
      <c r="C132" s="143"/>
      <c r="D132" s="143">
        <v>80</v>
      </c>
      <c r="E132" s="137"/>
      <c r="F132" s="137"/>
      <c r="G132" s="137"/>
      <c r="H132" s="137"/>
      <c r="I132" s="137"/>
      <c r="J132" s="137"/>
      <c r="K132" s="137"/>
      <c r="L132" s="137"/>
      <c r="M132" s="151">
        <f t="shared" si="8"/>
        <v>80</v>
      </c>
    </row>
    <row r="133" spans="2:13" ht="15">
      <c r="B133" s="19" t="s">
        <v>292</v>
      </c>
      <c r="C133" s="58">
        <f>(C115*'(ne pas modifier) BDD_REF'!$B$212+'RECeff + REIamont (2)'!C131*'(ne pas modifier) BDD_REF'!$B$213+'RECeff + REIamont (2)'!C132*'(ne pas modifier) BDD_REF'!$B$214)/1000</f>
        <v>0</v>
      </c>
      <c r="D133" s="58">
        <f>(D115*'(ne pas modifier) BDD_REF'!$B$212+'RECeff + REIamont (2)'!D131*'(ne pas modifier) BDD_REF'!$B$213+'RECeff + REIamont (2)'!D132*'(ne pas modifier) BDD_REF'!$B$214)/1000</f>
        <v>0.14380000000000001</v>
      </c>
      <c r="E133" s="58">
        <f>(E115*'(ne pas modifier) BDD_REF'!$B$212+'RECeff + REIamont (2)'!E131*'(ne pas modifier) BDD_REF'!$B$213+'RECeff + REIamont (2)'!E132*'(ne pas modifier) BDD_REF'!$B$214)/1000</f>
        <v>0</v>
      </c>
      <c r="F133" s="58">
        <f>(F115*'(ne pas modifier) BDD_REF'!$B$212+'RECeff + REIamont (2)'!F131*'(ne pas modifier) BDD_REF'!$B$213+'RECeff + REIamont (2)'!F132*'(ne pas modifier) BDD_REF'!$B$214)/1000</f>
        <v>0</v>
      </c>
      <c r="G133" s="58">
        <f>(G115*'(ne pas modifier) BDD_REF'!$B$212+'RECeff + REIamont (2)'!G131*'(ne pas modifier) BDD_REF'!$B$213+'RECeff + REIamont (2)'!G132*'(ne pas modifier) BDD_REF'!$B$214)/1000</f>
        <v>0</v>
      </c>
      <c r="H133" s="58">
        <f>(H115*'(ne pas modifier) BDD_REF'!$B$212+'RECeff + REIamont (2)'!H131*'(ne pas modifier) BDD_REF'!$B$213+'RECeff + REIamont (2)'!H132*'(ne pas modifier) BDD_REF'!$B$214)/1000</f>
        <v>0</v>
      </c>
      <c r="I133" s="58">
        <f>(I115*'(ne pas modifier) BDD_REF'!$B$212+'RECeff + REIamont (2)'!I131*'(ne pas modifier) BDD_REF'!$B$213+'RECeff + REIamont (2)'!I132*'(ne pas modifier) BDD_REF'!$B$214)/1000</f>
        <v>0</v>
      </c>
      <c r="J133" s="58">
        <f>(J115*'(ne pas modifier) BDD_REF'!$B$212+'RECeff + REIamont (2)'!J131*'(ne pas modifier) BDD_REF'!$B$213+'RECeff + REIamont (2)'!J132*'(ne pas modifier) BDD_REF'!$B$214)/1000</f>
        <v>0</v>
      </c>
      <c r="K133" s="58">
        <f>(K115*'(ne pas modifier) BDD_REF'!$B$212+'RECeff + REIamont (2)'!K131*'(ne pas modifier) BDD_REF'!$B$213+'RECeff + REIamont (2)'!K132*'(ne pas modifier) BDD_REF'!$B$214)/1000</f>
        <v>0</v>
      </c>
      <c r="L133" s="58">
        <f>(L115*'(ne pas modifier) BDD_REF'!$B$212+'RECeff + REIamont (2)'!L131*'(ne pas modifier) BDD_REF'!$B$213+'RECeff + REIamont (2)'!L132*'(ne pas modifier) BDD_REF'!$B$214)/1000</f>
        <v>0</v>
      </c>
      <c r="M133" s="58">
        <f t="shared" si="8"/>
        <v>0.14380000000000001</v>
      </c>
    </row>
    <row r="134" spans="1:13" ht="15" hidden="1">
      <c r="A134" s="34" t="s">
        <v>179</v>
      </c>
      <c r="B134" s="19" t="s">
        <v>175</v>
      </c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58">
        <f t="shared" si="8"/>
        <v>0</v>
      </c>
    </row>
    <row r="135" spans="2:13" ht="15">
      <c r="B135" s="23" t="s">
        <v>324</v>
      </c>
      <c r="C135" s="109">
        <v>0</v>
      </c>
      <c r="D135" s="109">
        <v>0</v>
      </c>
      <c r="E135" s="109"/>
      <c r="F135" s="109"/>
      <c r="G135" s="109"/>
      <c r="H135" s="109"/>
      <c r="I135" s="109"/>
      <c r="J135" s="109"/>
      <c r="K135" s="109"/>
      <c r="L135" s="109"/>
      <c r="M135" s="58">
        <f t="shared" si="11" ref="M135:M142">SUM(C135:L135)</f>
        <v>0</v>
      </c>
    </row>
    <row r="136" spans="2:13" ht="15">
      <c r="B136" s="23" t="s">
        <v>325</v>
      </c>
      <c r="C136" s="109">
        <v>0</v>
      </c>
      <c r="D136" s="109">
        <v>0</v>
      </c>
      <c r="E136" s="109"/>
      <c r="F136" s="109"/>
      <c r="G136" s="109"/>
      <c r="H136" s="109"/>
      <c r="I136" s="109"/>
      <c r="J136" s="109"/>
      <c r="K136" s="109"/>
      <c r="L136" s="109"/>
      <c r="M136" s="58">
        <f t="shared" si="11"/>
        <v>0</v>
      </c>
    </row>
    <row r="137" spans="2:13" ht="15">
      <c r="B137" s="23" t="s">
        <v>326</v>
      </c>
      <c r="C137" s="109">
        <v>0</v>
      </c>
      <c r="D137" s="109">
        <v>0</v>
      </c>
      <c r="E137" s="109"/>
      <c r="F137" s="109"/>
      <c r="G137" s="109"/>
      <c r="H137" s="109"/>
      <c r="I137" s="109"/>
      <c r="J137" s="109"/>
      <c r="K137" s="109"/>
      <c r="L137" s="109"/>
      <c r="M137" s="58">
        <f t="shared" si="11"/>
        <v>0</v>
      </c>
    </row>
    <row r="138" spans="2:13" ht="15" customHeight="1">
      <c r="B138" s="153" t="s">
        <v>327</v>
      </c>
      <c r="C138" s="143"/>
      <c r="D138" s="143">
        <v>0</v>
      </c>
      <c r="E138" s="137"/>
      <c r="F138" s="137"/>
      <c r="G138" s="137"/>
      <c r="H138" s="137"/>
      <c r="I138" s="137"/>
      <c r="J138" s="137"/>
      <c r="K138" s="137"/>
      <c r="L138" s="137"/>
      <c r="M138" s="151">
        <f t="shared" si="11"/>
        <v>0</v>
      </c>
    </row>
    <row r="139" spans="2:13" ht="15" customHeight="1">
      <c r="B139" s="136" t="s">
        <v>294</v>
      </c>
      <c r="C139" s="151"/>
      <c r="D139" s="151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151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151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151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151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151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151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151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151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151">
        <f t="shared" si="11"/>
        <v>0</v>
      </c>
    </row>
    <row r="140" spans="1:108" s="33" customFormat="1" ht="15">
      <c r="A140" s="35"/>
      <c r="B140" s="36" t="s">
        <v>186</v>
      </c>
      <c r="C140" s="110">
        <f>C133+C134+C139</f>
        <v>0</v>
      </c>
      <c r="D140" s="110">
        <f t="shared" si="12" ref="D140:L140">D133+D134+D139</f>
        <v>0.14380000000000001</v>
      </c>
      <c r="E140" s="110">
        <f t="shared" si="12"/>
        <v>0</v>
      </c>
      <c r="F140" s="110">
        <f t="shared" si="12"/>
        <v>0</v>
      </c>
      <c r="G140" s="110">
        <f t="shared" si="12"/>
        <v>0</v>
      </c>
      <c r="H140" s="110">
        <f t="shared" si="12"/>
        <v>0</v>
      </c>
      <c r="I140" s="110">
        <f t="shared" si="12"/>
        <v>0</v>
      </c>
      <c r="J140" s="110">
        <f t="shared" si="12"/>
        <v>0</v>
      </c>
      <c r="K140" s="110">
        <f t="shared" si="12"/>
        <v>0</v>
      </c>
      <c r="L140" s="110">
        <f t="shared" si="12"/>
        <v>0</v>
      </c>
      <c r="M140" s="58">
        <f t="shared" si="11"/>
        <v>0.14380000000000001</v>
      </c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</row>
    <row r="141" spans="1:108" s="33" customFormat="1" ht="15">
      <c r="A141" s="35"/>
      <c r="B141" s="37" t="s">
        <v>144</v>
      </c>
      <c r="C141" s="112">
        <f>((C118+C119+C120)/1000*44/28*'(ne pas modifier) BDD_REF'!$B$232)+'RECeff + REIamont (2)'!C130+'RECeff + REIamont (2)'!C140</f>
        <v>0</v>
      </c>
      <c r="D141" s="112">
        <f>((D118+D119+D120)/1000*44/28*'(ne pas modifier) BDD_REF'!$B$232)+'RECeff + REIamont (2)'!D130+'RECeff + REIamont (2)'!D140</f>
        <v>0.91752099999999992</v>
      </c>
      <c r="E141" s="112">
        <f>((E118+E119+E120)/1000*44/28*'(ne pas modifier) BDD_REF'!$B$232)+'RECeff + REIamont (2)'!E130+'RECeff + REIamont (2)'!E140</f>
        <v>0</v>
      </c>
      <c r="F141" s="112">
        <f>((F118+F119+F120)/1000*44/28*'(ne pas modifier) BDD_REF'!$B$232)+'RECeff + REIamont (2)'!F130+'RECeff + REIamont (2)'!F140</f>
        <v>0</v>
      </c>
      <c r="G141" s="112">
        <f>((G118+G119+G120)/1000*44/28*'(ne pas modifier) BDD_REF'!$B$232)+'RECeff + REIamont (2)'!G130+'RECeff + REIamont (2)'!G140</f>
        <v>0</v>
      </c>
      <c r="H141" s="112">
        <f>((H118+H119+H120)/1000*44/28*'(ne pas modifier) BDD_REF'!$B$232)+'RECeff + REIamont (2)'!H130+'RECeff + REIamont (2)'!H140</f>
        <v>0</v>
      </c>
      <c r="I141" s="112">
        <f>((I118+I119+I120)/1000*44/28*'(ne pas modifier) BDD_REF'!$B$232)+'RECeff + REIamont (2)'!I130+'RECeff + REIamont (2)'!I140</f>
        <v>0</v>
      </c>
      <c r="J141" s="112">
        <f>((J118+J119+J120)/1000*44/28*'(ne pas modifier) BDD_REF'!$B$232)+'RECeff + REIamont (2)'!J130+'RECeff + REIamont (2)'!J140</f>
        <v>0</v>
      </c>
      <c r="K141" s="112">
        <f>((K118+K119+K120)/1000*44/28*'(ne pas modifier) BDD_REF'!$B$232)+'RECeff + REIamont (2)'!K130+'RECeff + REIamont (2)'!K140</f>
        <v>0</v>
      </c>
      <c r="L141" s="112">
        <f>((L118+L119+L120)/1000*44/28*'(ne pas modifier) BDD_REF'!$B$232)+'RECeff + REIamont (2)'!L130+'RECeff + REIamont (2)'!L140</f>
        <v>0</v>
      </c>
      <c r="M141" s="112">
        <f t="shared" si="11"/>
        <v>0.91752099999999992</v>
      </c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0"/>
      <c r="DC141" s="40"/>
      <c r="DD141" s="40"/>
    </row>
    <row r="142" spans="2:13" ht="15">
      <c r="B142" s="95" t="s">
        <v>189</v>
      </c>
      <c r="C142" s="113">
        <f>C33+C60+C87+C114+C141</f>
        <v>0</v>
      </c>
      <c r="D142" s="113">
        <f t="shared" si="13" ref="D142:L142">D33+D60+D87+D114+D141</f>
        <v>2.8437374285714285</v>
      </c>
      <c r="E142" s="113">
        <f t="shared" si="13"/>
        <v>0</v>
      </c>
      <c r="F142" s="113">
        <f t="shared" si="13"/>
        <v>0</v>
      </c>
      <c r="G142" s="113">
        <f t="shared" si="13"/>
        <v>0</v>
      </c>
      <c r="H142" s="113">
        <f t="shared" si="13"/>
        <v>0</v>
      </c>
      <c r="I142" s="113">
        <f t="shared" si="13"/>
        <v>0</v>
      </c>
      <c r="J142" s="113">
        <f t="shared" si="13"/>
        <v>0</v>
      </c>
      <c r="K142" s="113">
        <f t="shared" si="13"/>
        <v>0</v>
      </c>
      <c r="L142" s="113">
        <f t="shared" si="13"/>
        <v>0</v>
      </c>
      <c r="M142" s="113">
        <f t="shared" si="11"/>
        <v>2.8437374285714285</v>
      </c>
    </row>
    <row r="143" spans="2:13" ht="15">
      <c r="B143" s="95" t="s">
        <v>222</v>
      </c>
      <c r="C143" s="113">
        <f>(C142-C5*5)</f>
        <v>0</v>
      </c>
      <c r="D143" s="113">
        <f t="shared" si="14" ref="D143:L143">(D142-D5*5)</f>
        <v>-14.467925363904572</v>
      </c>
      <c r="E143" s="113">
        <f t="shared" si="14"/>
        <v>0</v>
      </c>
      <c r="F143" s="113">
        <f t="shared" si="14"/>
        <v>0</v>
      </c>
      <c r="G143" s="113">
        <f t="shared" si="14"/>
        <v>0</v>
      </c>
      <c r="H143" s="113">
        <f t="shared" si="14"/>
        <v>0</v>
      </c>
      <c r="I143" s="113">
        <f t="shared" si="14"/>
        <v>0</v>
      </c>
      <c r="J143" s="113">
        <f t="shared" si="14"/>
        <v>0</v>
      </c>
      <c r="K143" s="113">
        <f t="shared" si="14"/>
        <v>0</v>
      </c>
      <c r="L143" s="113">
        <f t="shared" si="14"/>
        <v>0</v>
      </c>
      <c r="M143" s="113"/>
    </row>
    <row r="144" spans="2:13" ht="15">
      <c r="B144" s="38" t="s">
        <v>188</v>
      </c>
      <c r="C144" s="107">
        <f>C143*Eligibilité_projet!B8</f>
        <v>0</v>
      </c>
      <c r="D144" s="107">
        <f>D143*Eligibilité_projet!C8</f>
        <v>-4.1956983555323255</v>
      </c>
      <c r="E144" s="107">
        <f>E143*Eligibilité_projet!D8</f>
        <v>0</v>
      </c>
      <c r="F144" s="107">
        <f>F143*Eligibilité_projet!E8</f>
        <v>0</v>
      </c>
      <c r="G144" s="107">
        <f>G143*Eligibilité_projet!F8</f>
        <v>0</v>
      </c>
      <c r="H144" s="107">
        <f>H143*Eligibilité_projet!G8</f>
        <v>0</v>
      </c>
      <c r="I144" s="107">
        <f>I143*Eligibilité_projet!H8</f>
        <v>0</v>
      </c>
      <c r="J144" s="107">
        <f>J143*Eligibilité_projet!I8</f>
        <v>0</v>
      </c>
      <c r="K144" s="107">
        <f>K143*Eligibilité_projet!J8</f>
        <v>0</v>
      </c>
      <c r="L144" s="107">
        <f>L143*Eligibilité_projet!K8</f>
        <v>0</v>
      </c>
      <c r="M144" s="107">
        <f>SUM(C144:L144)</f>
        <v>-4.1956983555323255</v>
      </c>
    </row>
    <row r="145" spans="2:13" ht="15">
      <c r="B145" s="18"/>
      <c r="M145" s="18"/>
    </row>
    <row r="146" spans="2:13" ht="15">
      <c r="B146" s="18"/>
      <c r="M146" s="18"/>
    </row>
    <row r="147" spans="2:13" ht="15">
      <c r="B147" s="18"/>
      <c r="M147" s="18"/>
    </row>
    <row r="148" spans="2:13" ht="15">
      <c r="B148" s="18"/>
      <c r="M148" s="18"/>
    </row>
    <row r="149" spans="1:1" s="24" customFormat="1" ht="15">
      <c r="A149" s="34"/>
    </row>
    <row r="150" spans="1:1" s="24" customFormat="1" ht="15">
      <c r="A150" s="34"/>
    </row>
    <row r="151" spans="1:1" s="24" customFormat="1" ht="15">
      <c r="A151" s="34"/>
    </row>
    <row r="152" spans="1:1" s="24" customFormat="1" ht="15">
      <c r="A152" s="34"/>
    </row>
    <row r="153" spans="1:1" s="24" customFormat="1" ht="15">
      <c r="A153" s="34"/>
    </row>
    <row r="154" spans="1:1" s="24" customFormat="1" ht="15">
      <c r="A154" s="34"/>
    </row>
    <row r="155" spans="1:1" s="24" customFormat="1" ht="15">
      <c r="A155" s="34"/>
    </row>
    <row r="156" spans="1:1" s="24" customFormat="1" ht="15">
      <c r="A156" s="34"/>
    </row>
    <row r="157" spans="1:1" s="24" customFormat="1" ht="15">
      <c r="A157" s="34"/>
    </row>
    <row r="158" spans="1:1" s="24" customFormat="1" ht="15">
      <c r="A158" s="34"/>
    </row>
    <row r="159" spans="1:1" s="24" customFormat="1" ht="15">
      <c r="A159" s="34"/>
    </row>
    <row r="160" spans="1:1" s="24" customFormat="1" ht="15">
      <c r="A160" s="34"/>
    </row>
    <row r="161" spans="1:1" s="24" customFormat="1" ht="15">
      <c r="A161" s="34"/>
    </row>
    <row r="162" spans="1:1" s="24" customFormat="1" ht="15">
      <c r="A162" s="34"/>
    </row>
    <row r="163" spans="1:1" s="24" customFormat="1" ht="15">
      <c r="A163" s="34"/>
    </row>
    <row r="164" spans="1:1" s="24" customFormat="1" ht="15">
      <c r="A164" s="34"/>
    </row>
    <row r="165" spans="1:1" s="24" customFormat="1" ht="15">
      <c r="A165" s="34"/>
    </row>
    <row r="166" spans="1:1" s="24" customFormat="1" ht="15">
      <c r="A166" s="34"/>
    </row>
    <row r="167" spans="1:1" s="24" customFormat="1" ht="15">
      <c r="A167" s="34"/>
    </row>
    <row r="168" spans="1:1" s="24" customFormat="1" ht="15">
      <c r="A168" s="34"/>
    </row>
    <row r="169" spans="1:1" s="24" customFormat="1" ht="15">
      <c r="A169" s="34"/>
    </row>
    <row r="170" spans="1:1" s="24" customFormat="1" ht="15">
      <c r="A170" s="34"/>
    </row>
    <row r="171" spans="1:1" s="24" customFormat="1" ht="15">
      <c r="A171" s="34"/>
    </row>
    <row r="172" spans="1:1" s="24" customFormat="1" ht="15">
      <c r="A172" s="34"/>
    </row>
    <row r="173" spans="1:1" s="24" customFormat="1" ht="15">
      <c r="A173" s="34"/>
    </row>
    <row r="174" spans="1:1" s="24" customFormat="1" ht="15">
      <c r="A174" s="34"/>
    </row>
    <row r="175" spans="1:1" s="24" customFormat="1" ht="15">
      <c r="A175" s="34"/>
    </row>
    <row r="176" spans="1:1" s="24" customFormat="1" ht="15">
      <c r="A176" s="34"/>
    </row>
    <row r="177" spans="1:1" s="24" customFormat="1" ht="15">
      <c r="A177" s="34"/>
    </row>
    <row r="178" spans="1:1" s="24" customFormat="1" ht="15">
      <c r="A178" s="34"/>
    </row>
    <row r="179" spans="1:1" s="24" customFormat="1" ht="15">
      <c r="A179" s="34"/>
    </row>
    <row r="180" spans="1:1" s="24" customFormat="1" ht="15">
      <c r="A180" s="34"/>
    </row>
    <row r="181" spans="1:1" s="24" customFormat="1" ht="15">
      <c r="A181" s="34"/>
    </row>
    <row r="182" spans="1:1" s="24" customFormat="1" ht="15">
      <c r="A182" s="34"/>
    </row>
    <row r="183" spans="1:1" s="24" customFormat="1" ht="15">
      <c r="A183" s="34"/>
    </row>
    <row r="184" spans="1:1" s="24" customFormat="1" ht="15">
      <c r="A184" s="34"/>
    </row>
    <row r="185" spans="1:1" s="24" customFormat="1" ht="15">
      <c r="A185" s="34"/>
    </row>
    <row r="186" spans="1:1" s="24" customFormat="1" ht="15">
      <c r="A186" s="34"/>
    </row>
    <row r="187" spans="1:1" s="24" customFormat="1" ht="15">
      <c r="A187" s="34"/>
    </row>
    <row r="188" spans="1:1" s="24" customFormat="1" ht="15">
      <c r="A188" s="34"/>
    </row>
    <row r="189" spans="1:1" s="24" customFormat="1" ht="15">
      <c r="A189" s="34"/>
    </row>
    <row r="190" spans="1:1" s="24" customFormat="1" ht="15">
      <c r="A190" s="34"/>
    </row>
    <row r="191" spans="1:1" s="24" customFormat="1" ht="15">
      <c r="A191" s="34"/>
    </row>
    <row r="192" spans="1:1" s="24" customFormat="1" ht="15">
      <c r="A192" s="34"/>
    </row>
    <row r="193" spans="1:1" s="24" customFormat="1" ht="15">
      <c r="A193" s="34"/>
    </row>
    <row r="194" spans="1:1" s="24" customFormat="1" ht="15">
      <c r="A194" s="34"/>
    </row>
    <row r="195" spans="1:1" s="24" customFormat="1" ht="15">
      <c r="A195" s="34"/>
    </row>
    <row r="196" spans="1:1" s="24" customFormat="1" ht="15">
      <c r="A196" s="34"/>
    </row>
    <row r="197" spans="1:1" s="24" customFormat="1" ht="15">
      <c r="A197" s="34"/>
    </row>
    <row r="198" spans="1:1" s="24" customFormat="1" ht="15">
      <c r="A198" s="34"/>
    </row>
    <row r="199" spans="1:1" s="24" customFormat="1" ht="15">
      <c r="A199" s="34"/>
    </row>
    <row r="200" spans="1:1" s="24" customFormat="1" ht="15">
      <c r="A200" s="34"/>
    </row>
    <row r="201" spans="1:1" s="24" customFormat="1" ht="15">
      <c r="A201" s="34"/>
    </row>
    <row r="202" spans="1:1" s="24" customFormat="1" ht="15">
      <c r="A202" s="34"/>
    </row>
    <row r="203" spans="1:1" s="24" customFormat="1" ht="15">
      <c r="A203" s="34"/>
    </row>
    <row r="204" spans="1:1" s="24" customFormat="1" ht="15">
      <c r="A204" s="34"/>
    </row>
    <row r="205" spans="1:1" s="24" customFormat="1" ht="15">
      <c r="A205" s="34"/>
    </row>
    <row r="206" spans="1:1" s="24" customFormat="1" ht="15">
      <c r="A206" s="34"/>
    </row>
    <row r="207" spans="1:1" s="24" customFormat="1" ht="15">
      <c r="A207" s="34"/>
    </row>
    <row r="208" spans="1:1" s="24" customFormat="1" ht="15">
      <c r="A208" s="34"/>
    </row>
    <row r="209" spans="1:1" s="24" customFormat="1" ht="15">
      <c r="A209" s="34"/>
    </row>
    <row r="210" spans="1:1" s="24" customFormat="1" ht="15">
      <c r="A210" s="34"/>
    </row>
    <row r="211" spans="1:1" s="24" customFormat="1" ht="15">
      <c r="A211" s="34"/>
    </row>
    <row r="212" spans="1:1" s="24" customFormat="1" ht="15">
      <c r="A212" s="34"/>
    </row>
    <row r="213" spans="1:1" s="24" customFormat="1" ht="15">
      <c r="A213" s="34"/>
    </row>
    <row r="214" spans="1:1" s="24" customFormat="1" ht="15">
      <c r="A214" s="34"/>
    </row>
    <row r="215" spans="1:1" s="24" customFormat="1" ht="15">
      <c r="A215" s="34"/>
    </row>
    <row r="216" spans="1:1" s="24" customFormat="1" ht="15">
      <c r="A216" s="34"/>
    </row>
    <row r="217" spans="1:1" s="24" customFormat="1" ht="15">
      <c r="A217" s="34"/>
    </row>
    <row r="218" spans="1:1" s="24" customFormat="1" ht="15">
      <c r="A218" s="34"/>
    </row>
    <row r="219" spans="1:1" s="24" customFormat="1" ht="15">
      <c r="A219" s="34"/>
    </row>
    <row r="220" spans="1:1" s="24" customFormat="1" ht="15">
      <c r="A220" s="34"/>
    </row>
    <row r="221" spans="1:1" s="24" customFormat="1" ht="15">
      <c r="A221" s="34"/>
    </row>
    <row r="222" spans="1:1" s="24" customFormat="1" ht="15">
      <c r="A222" s="34"/>
    </row>
    <row r="223" spans="1:1" s="24" customFormat="1" ht="15">
      <c r="A223" s="34"/>
    </row>
    <row r="224" spans="1:1" s="24" customFormat="1" ht="15">
      <c r="A224" s="34"/>
    </row>
    <row r="225" spans="1:1" s="24" customFormat="1" ht="15">
      <c r="A225" s="34"/>
    </row>
    <row r="226" spans="1:1" s="24" customFormat="1" ht="15">
      <c r="A226" s="34"/>
    </row>
    <row r="227" spans="1:1" s="24" customFormat="1" ht="15">
      <c r="A227" s="34"/>
    </row>
    <row r="228" spans="1:1" s="24" customFormat="1" ht="15">
      <c r="A228" s="34"/>
    </row>
    <row r="229" spans="1:1" s="24" customFormat="1" ht="15">
      <c r="A229" s="34"/>
    </row>
    <row r="230" spans="1:1" s="24" customFormat="1" ht="15">
      <c r="A230" s="34"/>
    </row>
    <row r="231" spans="1:1" s="24" customFormat="1" ht="15">
      <c r="A231" s="34"/>
    </row>
    <row r="232" spans="1:1" s="24" customFormat="1" ht="15">
      <c r="A232" s="34"/>
    </row>
    <row r="233" spans="1:1" s="24" customFormat="1" ht="15">
      <c r="A233" s="34"/>
    </row>
    <row r="234" spans="1:1" s="24" customFormat="1" ht="15">
      <c r="A234" s="34"/>
    </row>
    <row r="235" spans="1:1" s="24" customFormat="1" ht="15">
      <c r="A235" s="34"/>
    </row>
    <row r="236" spans="1:1" s="24" customFormat="1" ht="15">
      <c r="A236" s="34"/>
    </row>
    <row r="237" spans="1:1" s="24" customFormat="1" ht="15">
      <c r="A237" s="34"/>
    </row>
    <row r="238" spans="1:1" s="24" customFormat="1" ht="15">
      <c r="A238" s="34"/>
    </row>
    <row r="239" spans="1:1" s="24" customFormat="1" ht="15">
      <c r="A239" s="34"/>
    </row>
    <row r="240" spans="1:1" s="24" customFormat="1" ht="15">
      <c r="A240" s="34"/>
    </row>
    <row r="241" spans="1:1" s="24" customFormat="1" ht="15">
      <c r="A241" s="34"/>
    </row>
    <row r="242" spans="1:1" s="24" customFormat="1" ht="15">
      <c r="A242" s="34"/>
    </row>
    <row r="243" spans="1:1" s="24" customFormat="1" ht="15">
      <c r="A243" s="34"/>
    </row>
    <row r="244" spans="1:1" s="24" customFormat="1" ht="15">
      <c r="A244" s="34"/>
    </row>
    <row r="245" spans="1:1" s="24" customFormat="1" ht="15">
      <c r="A245" s="34"/>
    </row>
    <row r="246" spans="1:1" s="24" customFormat="1" ht="15">
      <c r="A246" s="34"/>
    </row>
    <row r="247" spans="1:1" s="24" customFormat="1" ht="15">
      <c r="A247" s="34"/>
    </row>
    <row r="248" spans="1:1" s="24" customFormat="1" ht="15">
      <c r="A248" s="34"/>
    </row>
    <row r="249" spans="1:1" s="24" customFormat="1" ht="15">
      <c r="A249" s="34"/>
    </row>
    <row r="250" spans="1:1" s="24" customFormat="1" ht="15">
      <c r="A250" s="34"/>
    </row>
    <row r="251" spans="1:1" s="24" customFormat="1" ht="15">
      <c r="A251" s="34"/>
    </row>
    <row r="252" spans="1:1" s="24" customFormat="1" ht="15">
      <c r="A252" s="34"/>
    </row>
    <row r="253" spans="1:1" s="24" customFormat="1" ht="15">
      <c r="A253" s="34"/>
    </row>
    <row r="254" spans="1:1" s="24" customFormat="1" ht="15">
      <c r="A254" s="34"/>
    </row>
    <row r="255" spans="1:1" s="24" customFormat="1" ht="15">
      <c r="A255" s="34"/>
    </row>
    <row r="256" spans="1:1" s="24" customFormat="1" ht="15">
      <c r="A256" s="34"/>
    </row>
    <row r="257" spans="1:1" s="24" customFormat="1" ht="15">
      <c r="A257" s="34"/>
    </row>
    <row r="258" spans="1:1" s="24" customFormat="1" ht="15">
      <c r="A258" s="34"/>
    </row>
    <row r="259" spans="1:1" s="24" customFormat="1" ht="15">
      <c r="A259" s="34"/>
    </row>
    <row r="260" spans="1:1" s="24" customFormat="1" ht="15">
      <c r="A260" s="34"/>
    </row>
    <row r="261" spans="1:1" s="24" customFormat="1" ht="15">
      <c r="A261" s="34"/>
    </row>
    <row r="262" spans="1:1" s="24" customFormat="1" ht="15">
      <c r="A262" s="34"/>
    </row>
    <row r="263" spans="1:1" s="24" customFormat="1" ht="15">
      <c r="A263" s="34"/>
    </row>
    <row r="264" spans="1:1" s="24" customFormat="1" ht="15">
      <c r="A264" s="34"/>
    </row>
    <row r="265" spans="1:1" s="24" customFormat="1" ht="15">
      <c r="A265" s="34"/>
    </row>
    <row r="266" spans="1:1" s="24" customFormat="1" ht="15">
      <c r="A266" s="34"/>
    </row>
    <row r="267" spans="1:1" s="24" customFormat="1" ht="15">
      <c r="A267" s="34"/>
    </row>
    <row r="268" spans="1:1" s="24" customFormat="1" ht="15">
      <c r="A268" s="34"/>
    </row>
    <row r="269" spans="1:1" s="24" customFormat="1" ht="15">
      <c r="A269" s="34"/>
    </row>
    <row r="270" spans="1:1" s="24" customFormat="1" ht="15">
      <c r="A270" s="34"/>
    </row>
    <row r="271" spans="1:1" s="24" customFormat="1" ht="15">
      <c r="A271" s="34"/>
    </row>
    <row r="272" spans="1:1" s="24" customFormat="1" ht="15">
      <c r="A272" s="34"/>
    </row>
    <row r="273" spans="1:1" s="24" customFormat="1" ht="15">
      <c r="A273" s="34"/>
    </row>
    <row r="274" spans="1:1" s="24" customFormat="1" ht="15">
      <c r="A274" s="34"/>
    </row>
    <row r="275" spans="1:1" s="24" customFormat="1" ht="15">
      <c r="A275" s="34"/>
    </row>
    <row r="276" spans="1:1" s="24" customFormat="1" ht="15">
      <c r="A276" s="34"/>
    </row>
    <row r="277" spans="1:1" s="24" customFormat="1" ht="15">
      <c r="A277" s="34"/>
    </row>
    <row r="278" spans="1:1" s="24" customFormat="1" ht="15">
      <c r="A278" s="34"/>
    </row>
    <row r="279" spans="1:1" s="24" customFormat="1" ht="15">
      <c r="A279" s="34"/>
    </row>
    <row r="280" spans="1:1" s="24" customFormat="1" ht="15">
      <c r="A280" s="34"/>
    </row>
    <row r="281" spans="1:1" s="24" customFormat="1" ht="15">
      <c r="A281" s="34"/>
    </row>
    <row r="282" spans="1:1" s="24" customFormat="1" ht="15">
      <c r="A282" s="34"/>
    </row>
    <row r="283" spans="1:1" s="24" customFormat="1" ht="15">
      <c r="A283" s="34"/>
    </row>
    <row r="284" spans="1:1" s="24" customFormat="1" ht="15">
      <c r="A284" s="34"/>
    </row>
    <row r="285" spans="1:1" s="24" customFormat="1" ht="15">
      <c r="A285" s="34"/>
    </row>
    <row r="286" spans="1:1" s="24" customFormat="1" ht="15">
      <c r="A286" s="34"/>
    </row>
    <row r="287" spans="1:1" s="24" customFormat="1" ht="15">
      <c r="A287" s="34"/>
    </row>
    <row r="288" spans="1:1" s="24" customFormat="1" ht="15">
      <c r="A288" s="34"/>
    </row>
    <row r="289" spans="1:1" s="24" customFormat="1" ht="15">
      <c r="A289" s="34"/>
    </row>
    <row r="290" spans="1:1" s="24" customFormat="1" ht="15">
      <c r="A290" s="34"/>
    </row>
    <row r="291" spans="1:1" s="24" customFormat="1" ht="15">
      <c r="A291" s="34"/>
    </row>
    <row r="292" spans="1:1" s="24" customFormat="1" ht="15">
      <c r="A292" s="34"/>
    </row>
    <row r="293" spans="1:1" s="24" customFormat="1" ht="15">
      <c r="A293" s="34"/>
    </row>
    <row r="294" spans="1:1" s="24" customFormat="1" ht="15">
      <c r="A294" s="34"/>
    </row>
    <row r="295" spans="1:1" s="24" customFormat="1" ht="15">
      <c r="A295" s="34"/>
    </row>
    <row r="296" spans="1:1" s="24" customFormat="1" ht="15">
      <c r="A296" s="34"/>
    </row>
    <row r="297" spans="1:1" s="24" customFormat="1" ht="15">
      <c r="A297" s="34"/>
    </row>
    <row r="298" spans="1:1" s="24" customFormat="1" ht="15">
      <c r="A298" s="34"/>
    </row>
    <row r="299" spans="1:1" s="24" customFormat="1" ht="15">
      <c r="A299" s="34"/>
    </row>
    <row r="300" spans="1:1" s="24" customFormat="1" ht="15">
      <c r="A300" s="34"/>
    </row>
    <row r="301" spans="1:1" s="24" customFormat="1" ht="15">
      <c r="A301" s="34"/>
    </row>
    <row r="302" spans="1:1" s="24" customFormat="1" ht="15">
      <c r="A302" s="34"/>
    </row>
    <row r="303" spans="1:1" s="24" customFormat="1" ht="15">
      <c r="A303" s="34"/>
    </row>
    <row r="304" spans="1:1" s="24" customFormat="1" ht="15">
      <c r="A304" s="34"/>
    </row>
    <row r="305" spans="1:1" s="24" customFormat="1" ht="15">
      <c r="A305" s="34"/>
    </row>
    <row r="306" spans="1:1" s="24" customFormat="1" ht="15">
      <c r="A306" s="34"/>
    </row>
    <row r="307" spans="1:1" s="24" customFormat="1" ht="15">
      <c r="A307" s="34"/>
    </row>
    <row r="308" spans="1:1" s="24" customFormat="1" ht="15">
      <c r="A308" s="34"/>
    </row>
    <row r="309" spans="1:1" s="24" customFormat="1" ht="15">
      <c r="A309" s="34"/>
    </row>
    <row r="310" spans="1:1" s="24" customFormat="1" ht="15">
      <c r="A310" s="34"/>
    </row>
    <row r="311" spans="1:1" s="24" customFormat="1" ht="15">
      <c r="A311" s="34"/>
    </row>
    <row r="312" spans="1:1" s="24" customFormat="1" ht="15">
      <c r="A312" s="34"/>
    </row>
    <row r="313" spans="1:1" s="24" customFormat="1" ht="15">
      <c r="A313" s="34"/>
    </row>
    <row r="314" spans="1:1" s="24" customFormat="1" ht="15">
      <c r="A314" s="34"/>
    </row>
    <row r="315" spans="1:1" s="24" customFormat="1" ht="15">
      <c r="A315" s="34"/>
    </row>
    <row r="316" spans="1:1" s="24" customFormat="1" ht="15">
      <c r="A316" s="34"/>
    </row>
    <row r="317" spans="1:1" s="24" customFormat="1" ht="15">
      <c r="A317" s="34"/>
    </row>
    <row r="318" spans="1:1" s="24" customFormat="1" ht="15">
      <c r="A318" s="34"/>
    </row>
    <row r="319" spans="1:1" s="24" customFormat="1" ht="15">
      <c r="A319" s="34"/>
    </row>
    <row r="320" spans="1:1" s="24" customFormat="1" ht="15">
      <c r="A320" s="34"/>
    </row>
    <row r="321" spans="1:1" s="24" customFormat="1" ht="15">
      <c r="A321" s="34"/>
    </row>
    <row r="322" spans="1:1" s="24" customFormat="1" ht="15">
      <c r="A322" s="34"/>
    </row>
    <row r="323" spans="1:1" s="24" customFormat="1" ht="15">
      <c r="A323" s="34"/>
    </row>
    <row r="324" spans="1:1" s="24" customFormat="1" ht="15">
      <c r="A324" s="34"/>
    </row>
    <row r="325" spans="1:1" s="24" customFormat="1" ht="15">
      <c r="A325" s="34"/>
    </row>
    <row r="326" spans="1:1" s="24" customFormat="1" ht="15">
      <c r="A326" s="34"/>
    </row>
    <row r="327" spans="1:1" s="24" customFormat="1" ht="15">
      <c r="A327" s="34"/>
    </row>
    <row r="328" spans="1:1" s="24" customFormat="1" ht="15">
      <c r="A328" s="34"/>
    </row>
    <row r="329" spans="1:1" s="24" customFormat="1" ht="15">
      <c r="A329" s="34"/>
    </row>
    <row r="330" spans="1:1" s="24" customFormat="1" ht="15">
      <c r="A330" s="34"/>
    </row>
    <row r="331" spans="1:1" s="24" customFormat="1" ht="15">
      <c r="A331" s="34"/>
    </row>
    <row r="332" spans="1:1" s="24" customFormat="1" ht="15">
      <c r="A332" s="34"/>
    </row>
    <row r="333" spans="1:1" s="24" customFormat="1" ht="15">
      <c r="A333" s="34"/>
    </row>
    <row r="334" spans="1:1" s="24" customFormat="1" ht="15">
      <c r="A334" s="34"/>
    </row>
    <row r="335" spans="1:1" s="24" customFormat="1" ht="15">
      <c r="A335" s="34"/>
    </row>
    <row r="336" spans="1:1" s="24" customFormat="1" ht="15">
      <c r="A336" s="34"/>
    </row>
    <row r="337" spans="1:1" s="24" customFormat="1" ht="15">
      <c r="A337" s="34"/>
    </row>
    <row r="338" spans="1:1" s="24" customFormat="1" ht="15">
      <c r="A338" s="34"/>
    </row>
    <row r="339" spans="1:1" s="24" customFormat="1" ht="15">
      <c r="A339" s="34"/>
    </row>
    <row r="340" spans="1:1" s="24" customFormat="1" ht="15">
      <c r="A340" s="34"/>
    </row>
    <row r="341" spans="1:1" s="24" customFormat="1" ht="15">
      <c r="A341" s="34"/>
    </row>
    <row r="342" spans="1:1" s="24" customFormat="1" ht="15">
      <c r="A342" s="34"/>
    </row>
    <row r="343" spans="1:1" s="24" customFormat="1" ht="15">
      <c r="A343" s="34"/>
    </row>
    <row r="344" spans="1:1" s="24" customFormat="1" ht="15">
      <c r="A344" s="34"/>
    </row>
    <row r="345" spans="1:1" s="24" customFormat="1" ht="15">
      <c r="A345" s="34"/>
    </row>
    <row r="346" spans="1:1" s="24" customFormat="1" ht="15">
      <c r="A346" s="34"/>
    </row>
    <row r="347" spans="1:1" s="24" customFormat="1" ht="15">
      <c r="A347" s="34"/>
    </row>
    <row r="348" spans="1:1" s="24" customFormat="1" ht="15">
      <c r="A348" s="34"/>
    </row>
    <row r="349" spans="1:1" s="24" customFormat="1" ht="15">
      <c r="A349" s="34"/>
    </row>
    <row r="350" spans="1:1" s="24" customFormat="1" ht="15">
      <c r="A350" s="34"/>
    </row>
    <row r="351" spans="1:1" s="24" customFormat="1" ht="15">
      <c r="A351" s="34"/>
    </row>
    <row r="352" spans="1:1" s="24" customFormat="1" ht="15">
      <c r="A352" s="34"/>
    </row>
    <row r="353" spans="1:1" s="24" customFormat="1" ht="15">
      <c r="A353" s="34"/>
    </row>
    <row r="354" spans="1:1" s="24" customFormat="1" ht="15">
      <c r="A354" s="34"/>
    </row>
    <row r="355" spans="1:1" s="24" customFormat="1" ht="15">
      <c r="A355" s="34"/>
    </row>
    <row r="356" spans="1:1" s="24" customFormat="1" ht="15">
      <c r="A356" s="34"/>
    </row>
    <row r="357" spans="1:1" s="24" customFormat="1" ht="15">
      <c r="A357" s="34"/>
    </row>
    <row r="358" spans="1:1" s="24" customFormat="1" ht="15">
      <c r="A358" s="34"/>
    </row>
    <row r="359" spans="1:1" s="24" customFormat="1" ht="15">
      <c r="A359" s="34"/>
    </row>
    <row r="360" spans="1:1" s="24" customFormat="1" ht="15">
      <c r="A360" s="34"/>
    </row>
    <row r="361" spans="1:1" s="24" customFormat="1" ht="15">
      <c r="A361" s="34"/>
    </row>
    <row r="362" spans="1:1" s="24" customFormat="1" ht="15">
      <c r="A362" s="34"/>
    </row>
    <row r="363" spans="1:1" s="24" customFormat="1" ht="15">
      <c r="A363" s="34"/>
    </row>
    <row r="364" spans="1:1" s="24" customFormat="1" ht="15">
      <c r="A364" s="34"/>
    </row>
    <row r="365" spans="1:1" s="24" customFormat="1" ht="15">
      <c r="A365" s="34"/>
    </row>
    <row r="366" spans="1:1" s="24" customFormat="1" ht="15">
      <c r="A366" s="34"/>
    </row>
    <row r="367" spans="1:1" s="24" customFormat="1" ht="15">
      <c r="A367" s="34"/>
    </row>
    <row r="368" spans="1:1" s="24" customFormat="1" ht="15">
      <c r="A368" s="34"/>
    </row>
    <row r="369" spans="1:1" s="24" customFormat="1" ht="15">
      <c r="A369" s="34"/>
    </row>
    <row r="370" spans="1:1" s="24" customFormat="1" ht="15">
      <c r="A370" s="34"/>
    </row>
    <row r="371" spans="1:1" s="24" customFormat="1" ht="15">
      <c r="A371" s="34"/>
    </row>
    <row r="372" spans="1:1" s="24" customFormat="1" ht="15">
      <c r="A372" s="34"/>
    </row>
    <row r="373" spans="1:1" s="24" customFormat="1" ht="15">
      <c r="A373" s="34"/>
    </row>
    <row r="374" spans="1:1" s="24" customFormat="1" ht="15">
      <c r="A374" s="34"/>
    </row>
    <row r="375" spans="1:1" s="24" customFormat="1" ht="15">
      <c r="A375" s="34"/>
    </row>
    <row r="376" spans="1:1" s="24" customFormat="1" ht="15">
      <c r="A376" s="34"/>
    </row>
    <row r="377" spans="1:1" s="24" customFormat="1" ht="15">
      <c r="A377" s="34"/>
    </row>
    <row r="378" spans="1:1" s="24" customFormat="1" ht="15">
      <c r="A378" s="34"/>
    </row>
    <row r="379" spans="1:1" s="24" customFormat="1" ht="15">
      <c r="A379" s="34"/>
    </row>
    <row r="380" spans="1:1" s="24" customFormat="1" ht="15">
      <c r="A380" s="34"/>
    </row>
    <row r="381" spans="1:1" s="24" customFormat="1" ht="15">
      <c r="A381" s="34"/>
    </row>
    <row r="382" spans="1:1" s="24" customFormat="1" ht="15">
      <c r="A382" s="34"/>
    </row>
    <row r="383" spans="1:1" s="24" customFormat="1" ht="15">
      <c r="A383" s="34"/>
    </row>
    <row r="384" spans="1:1" s="24" customFormat="1" ht="15">
      <c r="A384" s="34"/>
    </row>
    <row r="385" spans="1:1" s="24" customFormat="1" ht="15">
      <c r="A385" s="34"/>
    </row>
    <row r="386" spans="1:1" s="24" customFormat="1" ht="15">
      <c r="A386" s="34"/>
    </row>
    <row r="387" spans="1:1" s="24" customFormat="1" ht="15">
      <c r="A387" s="34"/>
    </row>
    <row r="388" spans="1:1" s="24" customFormat="1" ht="15">
      <c r="A388" s="34"/>
    </row>
    <row r="389" spans="1:1" s="24" customFormat="1" ht="15">
      <c r="A389" s="34"/>
    </row>
    <row r="390" spans="1:1" s="24" customFormat="1" ht="15">
      <c r="A390" s="34"/>
    </row>
    <row r="391" spans="1:1" s="24" customFormat="1" ht="15">
      <c r="A391" s="34"/>
    </row>
    <row r="392" spans="1:1" s="24" customFormat="1" ht="15">
      <c r="A392" s="34"/>
    </row>
    <row r="393" spans="1:1" s="24" customFormat="1" ht="15">
      <c r="A393" s="34"/>
    </row>
    <row r="394" spans="1:1" s="24" customFormat="1" ht="15">
      <c r="A394" s="34"/>
    </row>
    <row r="395" spans="1:1" s="24" customFormat="1" ht="15">
      <c r="A395" s="34"/>
    </row>
    <row r="396" spans="1:1" s="24" customFormat="1" ht="15">
      <c r="A396" s="34"/>
    </row>
    <row r="397" spans="1:1" s="24" customFormat="1" ht="15">
      <c r="A397" s="34"/>
    </row>
    <row r="398" spans="1:1" s="24" customFormat="1" ht="15">
      <c r="A398" s="34"/>
    </row>
    <row r="399" spans="1:1" s="24" customFormat="1" ht="15">
      <c r="A399" s="34"/>
    </row>
    <row r="400" spans="1:1" s="24" customFormat="1" ht="15">
      <c r="A400" s="34"/>
    </row>
    <row r="401" spans="1:1" s="24" customFormat="1" ht="15">
      <c r="A401" s="34"/>
    </row>
    <row r="402" spans="1:1" s="24" customFormat="1" ht="15">
      <c r="A402" s="34"/>
    </row>
    <row r="403" spans="1:1" s="24" customFormat="1" ht="15">
      <c r="A403" s="34"/>
    </row>
    <row r="404" spans="1:1" s="24" customFormat="1" ht="15">
      <c r="A404" s="34"/>
    </row>
    <row r="405" spans="1:1" s="24" customFormat="1" ht="15">
      <c r="A405" s="34"/>
    </row>
    <row r="406" spans="1:1" s="24" customFormat="1" ht="15">
      <c r="A406" s="34"/>
    </row>
    <row r="407" spans="1:1" s="24" customFormat="1" ht="15">
      <c r="A407" s="34"/>
    </row>
    <row r="408" spans="1:1" s="24" customFormat="1" ht="15">
      <c r="A408" s="34"/>
    </row>
    <row r="409" spans="1:1" s="24" customFormat="1" ht="15">
      <c r="A409" s="34"/>
    </row>
    <row r="410" spans="1:1" s="24" customFormat="1" ht="15">
      <c r="A410" s="34"/>
    </row>
    <row r="411" spans="1:1" s="24" customFormat="1" ht="15">
      <c r="A411" s="34"/>
    </row>
    <row r="412" spans="1:1" s="24" customFormat="1" ht="15">
      <c r="A412" s="34"/>
    </row>
    <row r="413" spans="1:1" s="24" customFormat="1" ht="15">
      <c r="A413" s="34"/>
    </row>
    <row r="414" spans="1:1" s="24" customFormat="1" ht="15">
      <c r="A414" s="34"/>
    </row>
    <row r="415" spans="1:1" s="24" customFormat="1" ht="15">
      <c r="A415" s="34"/>
    </row>
    <row r="416" spans="1:1" s="24" customFormat="1" ht="15">
      <c r="A416" s="34"/>
    </row>
    <row r="417" spans="1:1" s="24" customFormat="1" ht="15">
      <c r="A417" s="34"/>
    </row>
    <row r="418" spans="1:1" s="24" customFormat="1" ht="15">
      <c r="A418" s="34"/>
    </row>
    <row r="419" spans="1:1" s="24" customFormat="1" ht="15">
      <c r="A419" s="34"/>
    </row>
    <row r="420" spans="1:1" s="24" customFormat="1" ht="15">
      <c r="A420" s="34"/>
    </row>
    <row r="421" spans="1:1" s="24" customFormat="1" ht="15">
      <c r="A421" s="34"/>
    </row>
    <row r="422" spans="1:1" s="24" customFormat="1" ht="15">
      <c r="A422" s="34"/>
    </row>
    <row r="423" spans="1:1" s="24" customFormat="1" ht="15">
      <c r="A423" s="34"/>
    </row>
    <row r="424" spans="1:1" s="24" customFormat="1" ht="15">
      <c r="A424" s="34"/>
    </row>
    <row r="425" spans="1:1" s="24" customFormat="1" ht="15">
      <c r="A425" s="34"/>
    </row>
    <row r="426" spans="1:1" s="24" customFormat="1" ht="15">
      <c r="A426" s="34"/>
    </row>
    <row r="427" spans="1:1" s="24" customFormat="1" ht="15">
      <c r="A427" s="34"/>
    </row>
    <row r="428" spans="1:1" s="24" customFormat="1" ht="15">
      <c r="A428" s="34"/>
    </row>
    <row r="429" spans="1:1" s="24" customFormat="1" ht="15">
      <c r="A429" s="34"/>
    </row>
    <row r="430" spans="1:1" s="24" customFormat="1" ht="15">
      <c r="A430" s="34"/>
    </row>
    <row r="431" spans="1:1" s="24" customFormat="1" ht="15">
      <c r="A431" s="34"/>
    </row>
    <row r="432" spans="1:1" s="24" customFormat="1" ht="15">
      <c r="A432" s="34"/>
    </row>
    <row r="433" spans="1:1" s="24" customFormat="1" ht="15">
      <c r="A433" s="34"/>
    </row>
    <row r="434" spans="1:1" s="24" customFormat="1" ht="15">
      <c r="A434" s="34"/>
    </row>
    <row r="435" spans="1:1" s="24" customFormat="1" ht="15">
      <c r="A435" s="34"/>
    </row>
    <row r="436" spans="1:1" s="24" customFormat="1" ht="15">
      <c r="A436" s="34"/>
    </row>
    <row r="437" spans="1:1" s="24" customFormat="1" ht="15">
      <c r="A437" s="34"/>
    </row>
    <row r="438" spans="1:1" s="24" customFormat="1" ht="15">
      <c r="A438" s="34"/>
    </row>
    <row r="439" spans="1:1" s="24" customFormat="1" ht="15">
      <c r="A439" s="34"/>
    </row>
    <row r="440" spans="1:1" s="24" customFormat="1" ht="15">
      <c r="A440" s="34"/>
    </row>
    <row r="441" spans="1:1" s="24" customFormat="1" ht="15">
      <c r="A441" s="34"/>
    </row>
    <row r="442" spans="1:1" s="24" customFormat="1" ht="15">
      <c r="A442" s="34"/>
    </row>
    <row r="443" spans="1:1" s="24" customFormat="1" ht="15">
      <c r="A443" s="34"/>
    </row>
    <row r="444" spans="1:1" s="24" customFormat="1" ht="15">
      <c r="A444" s="34"/>
    </row>
    <row r="445" spans="1:1" s="24" customFormat="1" ht="15">
      <c r="A445" s="34"/>
    </row>
    <row r="446" spans="1:1" s="24" customFormat="1" ht="15">
      <c r="A446" s="34"/>
    </row>
    <row r="447" spans="1:1" s="24" customFormat="1" ht="15">
      <c r="A447" s="34"/>
    </row>
    <row r="448" spans="1:1" s="24" customFormat="1" ht="15">
      <c r="A448" s="34"/>
    </row>
    <row r="449" spans="1:1" s="24" customFormat="1" ht="15">
      <c r="A449" s="34"/>
    </row>
    <row r="450" spans="1:1" s="24" customFormat="1" ht="15">
      <c r="A450" s="34"/>
    </row>
    <row r="451" spans="1:1" s="24" customFormat="1" ht="15">
      <c r="A451" s="34"/>
    </row>
    <row r="452" spans="1:1" s="24" customFormat="1" ht="15">
      <c r="A452" s="34"/>
    </row>
    <row r="453" spans="1:1" s="24" customFormat="1" ht="15">
      <c r="A453" s="34"/>
    </row>
    <row r="454" spans="1:1" s="24" customFormat="1" ht="15">
      <c r="A454" s="34"/>
    </row>
    <row r="455" spans="1:1" s="24" customFormat="1" ht="15">
      <c r="A455" s="34"/>
    </row>
    <row r="456" spans="1:1" s="24" customFormat="1" ht="15">
      <c r="A456" s="34"/>
    </row>
    <row r="457" spans="1:1" s="24" customFormat="1" ht="15">
      <c r="A457" s="34"/>
    </row>
    <row r="458" spans="1:1" s="24" customFormat="1" ht="15">
      <c r="A458" s="34"/>
    </row>
    <row r="459" spans="1:1" s="24" customFormat="1" ht="15">
      <c r="A459" s="34"/>
    </row>
    <row r="460" spans="1:1" s="24" customFormat="1" ht="15">
      <c r="A460" s="34"/>
    </row>
    <row r="461" spans="1:1" s="24" customFormat="1" ht="15">
      <c r="A461" s="34"/>
    </row>
    <row r="462" spans="1:1" s="24" customFormat="1" ht="15">
      <c r="A462" s="34"/>
    </row>
    <row r="463" spans="1:1" s="24" customFormat="1" ht="15">
      <c r="A463" s="34"/>
    </row>
    <row r="464" spans="1:1" s="24" customFormat="1" ht="15">
      <c r="A464" s="34"/>
    </row>
    <row r="465" spans="1:1" s="24" customFormat="1" ht="15">
      <c r="A465" s="34"/>
    </row>
    <row r="466" spans="1:1" s="24" customFormat="1" ht="15">
      <c r="A466" s="34"/>
    </row>
    <row r="467" spans="1:1" s="24" customFormat="1" ht="15">
      <c r="A467" s="34"/>
    </row>
    <row r="468" spans="1:1" s="24" customFormat="1" ht="15">
      <c r="A468" s="34"/>
    </row>
    <row r="469" spans="1:1" s="24" customFormat="1" ht="15">
      <c r="A469" s="34"/>
    </row>
    <row r="470" spans="1:1" s="24" customFormat="1" ht="15">
      <c r="A470" s="34"/>
    </row>
    <row r="471" spans="1:1" s="24" customFormat="1" ht="15">
      <c r="A471" s="34"/>
    </row>
    <row r="472" spans="1:1" s="24" customFormat="1" ht="15">
      <c r="A472" s="34"/>
    </row>
    <row r="473" spans="1:1" s="24" customFormat="1" ht="15">
      <c r="A473" s="34"/>
    </row>
    <row r="474" spans="1:1" s="24" customFormat="1" ht="15">
      <c r="A474" s="34"/>
    </row>
    <row r="475" spans="1:1" s="24" customFormat="1" ht="15">
      <c r="A475" s="34"/>
    </row>
    <row r="476" spans="1:1" s="24" customFormat="1" ht="15">
      <c r="A476" s="34"/>
    </row>
    <row r="477" spans="1:1" s="24" customFormat="1" ht="15">
      <c r="A477" s="34"/>
    </row>
    <row r="478" spans="1:1" s="24" customFormat="1" ht="15">
      <c r="A478" s="34"/>
    </row>
    <row r="479" spans="1:1" s="24" customFormat="1" ht="15">
      <c r="A479" s="34"/>
    </row>
    <row r="480" spans="1:1" s="24" customFormat="1" ht="15">
      <c r="A480" s="34"/>
    </row>
    <row r="481" spans="1:1" s="24" customFormat="1" ht="15">
      <c r="A481" s="34"/>
    </row>
    <row r="482" spans="1:1" s="24" customFormat="1" ht="15">
      <c r="A482" s="34"/>
    </row>
    <row r="483" spans="1:1" s="24" customFormat="1" ht="15">
      <c r="A483" s="34"/>
    </row>
    <row r="484" spans="1:1" s="24" customFormat="1" ht="15">
      <c r="A484" s="34"/>
    </row>
    <row r="485" spans="1:1" s="24" customFormat="1" ht="15">
      <c r="A485" s="34"/>
    </row>
    <row r="486" spans="1:1" s="24" customFormat="1" ht="15">
      <c r="A486" s="34"/>
    </row>
    <row r="487" spans="1:1" s="24" customFormat="1" ht="15">
      <c r="A487" s="34"/>
    </row>
    <row r="488" spans="1:1" s="24" customFormat="1" ht="15">
      <c r="A488" s="34"/>
    </row>
    <row r="489" spans="1:1" s="24" customFormat="1" ht="15">
      <c r="A489" s="34"/>
    </row>
    <row r="490" spans="1:1" s="24" customFormat="1" ht="15">
      <c r="A490" s="34"/>
    </row>
    <row r="491" spans="1:1" s="24" customFormat="1" ht="15">
      <c r="A491" s="34"/>
    </row>
    <row r="492" spans="1:1" s="24" customFormat="1" ht="15">
      <c r="A492" s="34"/>
    </row>
    <row r="493" spans="1:1" s="24" customFormat="1" ht="15">
      <c r="A493" s="34"/>
    </row>
    <row r="494" spans="1:1" s="24" customFormat="1" ht="15">
      <c r="A494" s="34"/>
    </row>
    <row r="495" spans="1:1" s="24" customFormat="1" ht="15">
      <c r="A495" s="34"/>
    </row>
    <row r="496" spans="1:1" s="24" customFormat="1" ht="15">
      <c r="A496" s="34"/>
    </row>
    <row r="497" spans="1:1" s="24" customFormat="1" ht="15">
      <c r="A497" s="34"/>
    </row>
    <row r="498" spans="1:1" s="24" customFormat="1" ht="15">
      <c r="A498" s="34"/>
    </row>
    <row r="499" spans="1:1" s="24" customFormat="1" ht="15">
      <c r="A499" s="34"/>
    </row>
    <row r="500" spans="1:1" s="24" customFormat="1" ht="15">
      <c r="A500" s="34"/>
    </row>
    <row r="501" spans="1:1" s="24" customFormat="1" ht="15">
      <c r="A501" s="34"/>
    </row>
    <row r="502" spans="1:1" s="24" customFormat="1" ht="15">
      <c r="A502" s="34"/>
    </row>
    <row r="503" spans="1:1" s="24" customFormat="1" ht="15">
      <c r="A503" s="34"/>
    </row>
    <row r="504" spans="1:1" s="24" customFormat="1" ht="15">
      <c r="A504" s="34"/>
    </row>
    <row r="505" spans="1:1" s="24" customFormat="1" ht="15">
      <c r="A505" s="34"/>
    </row>
    <row r="506" spans="1:1" s="24" customFormat="1" ht="15">
      <c r="A506" s="34"/>
    </row>
    <row r="507" spans="1:1" s="24" customFormat="1" ht="15">
      <c r="A507" s="34"/>
    </row>
    <row r="508" spans="1:1" s="24" customFormat="1" ht="15">
      <c r="A508" s="34"/>
    </row>
    <row r="509" spans="1:1" s="24" customFormat="1" ht="15">
      <c r="A509" s="34"/>
    </row>
    <row r="510" spans="1:1" s="24" customFormat="1" ht="15">
      <c r="A510" s="34"/>
    </row>
    <row r="511" spans="1:1" s="24" customFormat="1" ht="15">
      <c r="A511" s="34"/>
    </row>
    <row r="512" spans="1:1" s="24" customFormat="1" ht="15">
      <c r="A512" s="34"/>
    </row>
    <row r="513" spans="1:1" s="24" customFormat="1" ht="15">
      <c r="A513" s="34"/>
    </row>
    <row r="514" spans="1:1" s="24" customFormat="1" ht="15">
      <c r="A514" s="34"/>
    </row>
    <row r="515" spans="1:1" s="24" customFormat="1" ht="15">
      <c r="A515" s="34"/>
    </row>
    <row r="516" spans="1:1" s="24" customFormat="1" ht="15">
      <c r="A516" s="34"/>
    </row>
    <row r="517" spans="1:1" s="24" customFormat="1" ht="15">
      <c r="A517" s="34"/>
    </row>
    <row r="518" spans="1:1" s="24" customFormat="1" ht="15">
      <c r="A518" s="34"/>
    </row>
    <row r="519" spans="1:1" s="24" customFormat="1" ht="15">
      <c r="A519" s="34"/>
    </row>
    <row r="520" spans="1:1" s="24" customFormat="1" ht="15">
      <c r="A520" s="34"/>
    </row>
    <row r="521" spans="1:1" s="24" customFormat="1" ht="15">
      <c r="A521" s="34"/>
    </row>
    <row r="522" spans="1:1" s="24" customFormat="1" ht="15">
      <c r="A522" s="34"/>
    </row>
    <row r="523" spans="1:1" s="24" customFormat="1" ht="15">
      <c r="A523" s="34"/>
    </row>
    <row r="524" spans="1:1" s="24" customFormat="1" ht="15">
      <c r="A524" s="34"/>
    </row>
    <row r="525" spans="1:1" s="24" customFormat="1" ht="15">
      <c r="A525" s="34"/>
    </row>
    <row r="526" spans="1:1" s="24" customFormat="1" ht="15">
      <c r="A526" s="34"/>
    </row>
    <row r="527" spans="1:1" s="24" customFormat="1" ht="15">
      <c r="A527" s="34"/>
    </row>
    <row r="528" spans="1:1" s="24" customFormat="1" ht="15">
      <c r="A528" s="34"/>
    </row>
    <row r="529" spans="1:1" s="24" customFormat="1" ht="15">
      <c r="A529" s="34"/>
    </row>
    <row r="530" spans="1:1" s="24" customFormat="1" ht="15">
      <c r="A530" s="34"/>
    </row>
    <row r="531" spans="1:1" s="24" customFormat="1" ht="15">
      <c r="A531" s="34"/>
    </row>
    <row r="532" spans="1:1" s="24" customFormat="1" ht="15">
      <c r="A532" s="34"/>
    </row>
    <row r="533" spans="1:1" s="24" customFormat="1" ht="15">
      <c r="A533" s="34"/>
    </row>
    <row r="534" spans="1:1" s="24" customFormat="1" ht="15">
      <c r="A534" s="34"/>
    </row>
    <row r="535" spans="1:1" s="24" customFormat="1" ht="15">
      <c r="A535" s="34"/>
    </row>
    <row r="536" spans="1:1" s="24" customFormat="1" ht="15">
      <c r="A536" s="34"/>
    </row>
    <row r="537" spans="1:1" s="24" customFormat="1" ht="15">
      <c r="A537" s="34"/>
    </row>
    <row r="538" spans="1:1" s="24" customFormat="1" ht="15">
      <c r="A538" s="34"/>
    </row>
    <row r="539" spans="1:1" s="24" customFormat="1" ht="15">
      <c r="A539" s="34"/>
    </row>
    <row r="540" spans="1:1" s="24" customFormat="1" ht="15">
      <c r="A540" s="34"/>
    </row>
    <row r="541" spans="1:1" s="24" customFormat="1" ht="15">
      <c r="A541" s="34"/>
    </row>
    <row r="542" spans="1:1" s="24" customFormat="1" ht="15">
      <c r="A542" s="34"/>
    </row>
    <row r="543" spans="1:1" s="24" customFormat="1" ht="15">
      <c r="A543" s="34"/>
    </row>
    <row r="544" spans="1:1" s="24" customFormat="1" ht="15">
      <c r="A544" s="34"/>
    </row>
    <row r="545" spans="1:1" s="24" customFormat="1" ht="15">
      <c r="A545" s="34"/>
    </row>
    <row r="546" spans="1:1" s="24" customFormat="1" ht="15">
      <c r="A546" s="34"/>
    </row>
    <row r="547" spans="1:1" s="24" customFormat="1" ht="15">
      <c r="A547" s="34"/>
    </row>
    <row r="548" spans="1:1" s="24" customFormat="1" ht="15">
      <c r="A548" s="34"/>
    </row>
    <row r="549" spans="1:1" s="24" customFormat="1" ht="15">
      <c r="A549" s="34"/>
    </row>
    <row r="550" spans="1:1" s="24" customFormat="1" ht="15">
      <c r="A550" s="34"/>
    </row>
    <row r="551" spans="1:1" s="24" customFormat="1" ht="15">
      <c r="A551" s="34"/>
    </row>
    <row r="552" spans="1:1" s="24" customFormat="1" ht="15">
      <c r="A552" s="34"/>
    </row>
    <row r="553" spans="1:1" s="24" customFormat="1" ht="15">
      <c r="A553" s="34"/>
    </row>
    <row r="554" spans="1:1" s="24" customFormat="1" ht="15">
      <c r="A554" s="34"/>
    </row>
    <row r="555" spans="1:1" s="24" customFormat="1" ht="15">
      <c r="A555" s="34"/>
    </row>
    <row r="556" spans="1:1" s="24" customFormat="1" ht="15">
      <c r="A556" s="34"/>
    </row>
    <row r="557" spans="1:1" s="24" customFormat="1" ht="15">
      <c r="A557" s="34"/>
    </row>
    <row r="558" spans="1:1" s="24" customFormat="1" ht="15">
      <c r="A558" s="34"/>
    </row>
    <row r="559" spans="1:1" s="24" customFormat="1" ht="15">
      <c r="A559" s="34"/>
    </row>
    <row r="560" spans="1:1" s="24" customFormat="1" ht="15">
      <c r="A560" s="34"/>
    </row>
    <row r="561" spans="1:1" s="24" customFormat="1" ht="15">
      <c r="A561" s="34"/>
    </row>
    <row r="562" spans="1:1" s="24" customFormat="1" ht="15">
      <c r="A562" s="34"/>
    </row>
    <row r="563" spans="1:1" s="24" customFormat="1" ht="15">
      <c r="A563" s="34"/>
    </row>
    <row r="564" spans="1:1" s="24" customFormat="1" ht="15">
      <c r="A564" s="34"/>
    </row>
    <row r="565" spans="1:1" s="24" customFormat="1" ht="15">
      <c r="A565" s="34"/>
    </row>
    <row r="566" spans="1:1" s="24" customFormat="1" ht="15">
      <c r="A566" s="34"/>
    </row>
    <row r="567" spans="1:1" s="24" customFormat="1" ht="15">
      <c r="A567" s="34"/>
    </row>
    <row r="568" spans="1:1" s="24" customFormat="1" ht="15">
      <c r="A568" s="34"/>
    </row>
    <row r="569" spans="1:1" s="24" customFormat="1" ht="15">
      <c r="A569" s="34"/>
    </row>
    <row r="570" spans="1:1" s="24" customFormat="1" ht="15">
      <c r="A570" s="34"/>
    </row>
    <row r="571" spans="1:1" s="24" customFormat="1" ht="15">
      <c r="A571" s="34"/>
    </row>
    <row r="572" spans="1:1" s="24" customFormat="1" ht="15">
      <c r="A572" s="34"/>
    </row>
    <row r="573" spans="1:1" s="24" customFormat="1" ht="15">
      <c r="A573" s="34"/>
    </row>
    <row r="574" spans="1:1" s="24" customFormat="1" ht="15">
      <c r="A574" s="34"/>
    </row>
    <row r="575" spans="1:1" s="24" customFormat="1" ht="15">
      <c r="A575" s="34"/>
    </row>
    <row r="576" spans="1:1" s="24" customFormat="1" ht="15">
      <c r="A576" s="34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="70" zoomScaleNormal="70" workbookViewId="0" topLeftCell="B1">
      <selection pane="topLeft" activeCell="B17" sqref="B17"/>
    </sheetView>
  </sheetViews>
  <sheetFormatPr defaultColWidth="11.4242857142857" defaultRowHeight="15"/>
  <cols>
    <col min="1" max="1" width="32.5714285714286" style="24" customWidth="1"/>
    <col min="2" max="2" width="71.7142857142857" style="52" customWidth="1"/>
    <col min="3" max="12" width="13.7142857142857" style="18" customWidth="1"/>
    <col min="13" max="13" width="13.7142857142857" style="24" customWidth="1"/>
    <col min="14" max="16384" width="11.4285714285714" style="18"/>
  </cols>
  <sheetData>
    <row r="2" spans="2:13" ht="30" customHeight="1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2:16" s="24" customFormat="1" ht="30">
      <c r="B4" s="52"/>
      <c r="C4" s="30" t="s">
        <v>9</v>
      </c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14</v>
      </c>
      <c r="I4" s="30" t="s">
        <v>15</v>
      </c>
      <c r="J4" s="30" t="s">
        <v>16</v>
      </c>
      <c r="K4" s="30" t="s">
        <v>17</v>
      </c>
      <c r="L4" s="30" t="s">
        <v>18</v>
      </c>
      <c r="M4" s="31" t="s">
        <v>151</v>
      </c>
      <c r="N4" s="18"/>
      <c r="O4" s="18"/>
      <c r="P4" s="18"/>
    </row>
    <row r="5" spans="1:13" ht="15">
      <c r="A5" s="30" t="s">
        <v>191</v>
      </c>
      <c r="B5" s="23" t="s">
        <v>197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39">
        <f t="shared" si="0" ref="M5:M20">SUM(C5:L5)</f>
        <v>0</v>
      </c>
    </row>
    <row r="6" spans="2:13" ht="15">
      <c r="B6" s="23" t="s">
        <v>196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39">
        <f t="shared" si="0"/>
        <v>0</v>
      </c>
    </row>
    <row r="7" spans="2:13" ht="30">
      <c r="B7" s="23" t="s">
        <v>190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39">
        <f t="shared" si="0"/>
        <v>0</v>
      </c>
    </row>
    <row r="8" spans="2:13" ht="30">
      <c r="B8" s="36" t="s">
        <v>198</v>
      </c>
      <c r="C8" s="39">
        <f>C5*C6-C7</f>
        <v>0</v>
      </c>
      <c r="D8" s="39">
        <f t="shared" si="1" ref="D8:L8">D5*D6-D7</f>
        <v>0</v>
      </c>
      <c r="E8" s="39">
        <f t="shared" si="1"/>
        <v>0</v>
      </c>
      <c r="F8" s="39">
        <f t="shared" si="1"/>
        <v>0</v>
      </c>
      <c r="G8" s="39">
        <f t="shared" si="1"/>
        <v>0</v>
      </c>
      <c r="H8" s="39">
        <f t="shared" si="1"/>
        <v>0</v>
      </c>
      <c r="I8" s="39">
        <f t="shared" si="1"/>
        <v>0</v>
      </c>
      <c r="J8" s="39">
        <f t="shared" si="1"/>
        <v>0</v>
      </c>
      <c r="K8" s="39">
        <f t="shared" si="1"/>
        <v>0</v>
      </c>
      <c r="L8" s="39">
        <f t="shared" si="1"/>
        <v>0</v>
      </c>
      <c r="M8" s="39">
        <f t="shared" si="0"/>
        <v>0</v>
      </c>
    </row>
    <row r="9" spans="1:13" ht="30">
      <c r="A9" s="53" t="s">
        <v>146</v>
      </c>
      <c r="B9" s="23" t="s">
        <v>194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39">
        <f t="shared" si="0"/>
        <v>0</v>
      </c>
    </row>
    <row r="10" spans="1:13" ht="30">
      <c r="A10" s="53" t="s">
        <v>147</v>
      </c>
      <c r="B10" s="23" t="s">
        <v>194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39">
        <f t="shared" si="0"/>
        <v>0</v>
      </c>
    </row>
    <row r="11" spans="1:13" ht="30">
      <c r="A11" s="53" t="s">
        <v>148</v>
      </c>
      <c r="B11" s="23" t="s">
        <v>194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39">
        <f t="shared" si="0"/>
        <v>0</v>
      </c>
    </row>
    <row r="12" spans="1:13" ht="30">
      <c r="A12" s="53" t="s">
        <v>149</v>
      </c>
      <c r="B12" s="23" t="s">
        <v>194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39">
        <f t="shared" si="0"/>
        <v>0</v>
      </c>
    </row>
    <row r="13" spans="1:13" ht="30">
      <c r="A13" s="53" t="s">
        <v>150</v>
      </c>
      <c r="B13" s="23" t="s">
        <v>194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39">
        <f t="shared" si="0"/>
        <v>0</v>
      </c>
    </row>
    <row r="14" spans="2:13" ht="30">
      <c r="B14" s="36" t="s">
        <v>195</v>
      </c>
      <c r="C14" s="39">
        <f t="shared" si="2" ref="C14:L14">SUM(C9:C13)</f>
        <v>0</v>
      </c>
      <c r="D14" s="39">
        <f t="shared" si="2"/>
        <v>0</v>
      </c>
      <c r="E14" s="39">
        <f t="shared" si="2"/>
        <v>0</v>
      </c>
      <c r="F14" s="39">
        <f t="shared" si="2"/>
        <v>0</v>
      </c>
      <c r="G14" s="39">
        <f t="shared" si="2"/>
        <v>0</v>
      </c>
      <c r="H14" s="39">
        <f t="shared" si="2"/>
        <v>0</v>
      </c>
      <c r="I14" s="39">
        <f t="shared" si="2"/>
        <v>0</v>
      </c>
      <c r="J14" s="39">
        <f t="shared" si="2"/>
        <v>0</v>
      </c>
      <c r="K14" s="39">
        <f t="shared" si="2"/>
        <v>0</v>
      </c>
      <c r="L14" s="39">
        <f t="shared" si="2"/>
        <v>0</v>
      </c>
      <c r="M14" s="39">
        <f t="shared" si="0"/>
        <v>0</v>
      </c>
    </row>
    <row r="15" spans="1:13" ht="30">
      <c r="A15" s="30" t="s">
        <v>224</v>
      </c>
      <c r="B15" s="23" t="s">
        <v>197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39">
        <f t="shared" si="0"/>
        <v>0</v>
      </c>
    </row>
    <row r="16" spans="2:13" ht="15">
      <c r="B16" s="23" t="s">
        <v>196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39">
        <f t="shared" si="0"/>
        <v>0</v>
      </c>
    </row>
    <row r="17" spans="2:13" ht="30">
      <c r="B17" s="23" t="s">
        <v>190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39">
        <f t="shared" si="0"/>
        <v>0</v>
      </c>
    </row>
    <row r="18" spans="2:13" ht="30">
      <c r="B18" s="36" t="s">
        <v>198</v>
      </c>
      <c r="C18" s="39">
        <f>C15*C16-C17</f>
        <v>0</v>
      </c>
      <c r="D18" s="39">
        <f t="shared" si="3" ref="D18:L18">D15*D16-D17</f>
        <v>0</v>
      </c>
      <c r="E18" s="39">
        <f t="shared" si="3"/>
        <v>0</v>
      </c>
      <c r="F18" s="39">
        <f t="shared" si="3"/>
        <v>0</v>
      </c>
      <c r="G18" s="39">
        <f t="shared" si="3"/>
        <v>0</v>
      </c>
      <c r="H18" s="39">
        <f t="shared" si="3"/>
        <v>0</v>
      </c>
      <c r="I18" s="39">
        <f t="shared" si="3"/>
        <v>0</v>
      </c>
      <c r="J18" s="39">
        <f t="shared" si="3"/>
        <v>0</v>
      </c>
      <c r="K18" s="39">
        <f t="shared" si="3"/>
        <v>0</v>
      </c>
      <c r="L18" s="39">
        <f t="shared" si="3"/>
        <v>0</v>
      </c>
      <c r="M18" s="39">
        <f t="shared" si="0"/>
        <v>0</v>
      </c>
    </row>
    <row r="19" spans="2:13" ht="30">
      <c r="B19" s="36" t="s">
        <v>193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39">
        <f t="shared" si="0"/>
        <v>0</v>
      </c>
    </row>
    <row r="20" spans="2:13" ht="15">
      <c r="B20" s="38" t="s">
        <v>199</v>
      </c>
      <c r="C20" s="38">
        <f>C8*C14-C18*C19*5</f>
        <v>0</v>
      </c>
      <c r="D20" s="38">
        <f t="shared" si="4" ref="D20:L20">D8*D14-D18*D19*5</f>
        <v>0</v>
      </c>
      <c r="E20" s="38">
        <f t="shared" si="4"/>
        <v>0</v>
      </c>
      <c r="F20" s="38">
        <f t="shared" si="4"/>
        <v>0</v>
      </c>
      <c r="G20" s="38">
        <f t="shared" si="4"/>
        <v>0</v>
      </c>
      <c r="H20" s="38">
        <f t="shared" si="4"/>
        <v>0</v>
      </c>
      <c r="I20" s="38">
        <f t="shared" si="4"/>
        <v>0</v>
      </c>
      <c r="J20" s="38">
        <f t="shared" si="4"/>
        <v>0</v>
      </c>
      <c r="K20" s="38">
        <f t="shared" si="4"/>
        <v>0</v>
      </c>
      <c r="L20" s="38">
        <f t="shared" si="4"/>
        <v>0</v>
      </c>
      <c r="M20" s="38">
        <f t="shared" si="0"/>
        <v>0</v>
      </c>
    </row>
    <row r="21" spans="2:4" ht="15" hidden="1">
      <c r="B21" s="54" t="s">
        <v>230</v>
      </c>
      <c r="C21" s="50">
        <f>'(ne pas modifier) BDD_REF'!$B$278*REIaval!D21</f>
        <v>7416.6726000000008</v>
      </c>
      <c r="D21" s="18">
        <v>26.70</v>
      </c>
    </row>
    <row r="22" spans="2:4" ht="15" hidden="1">
      <c r="B22" s="54" t="s">
        <v>229</v>
      </c>
      <c r="C22" s="50">
        <f>'(ne pas modifier) BDD_REF'!$B$278*REIaval!D22</f>
        <v>13138.8994</v>
      </c>
      <c r="D22" s="18">
        <v>47.30</v>
      </c>
    </row>
    <row r="23" spans="2:4" ht="15" hidden="1">
      <c r="B23" s="54" t="s">
        <v>231</v>
      </c>
      <c r="C23" s="50">
        <f>'(ne pas modifier) BDD_REF'!$B$278*REIaval!D23</f>
        <v>11166.675600000002</v>
      </c>
      <c r="D23" s="18">
        <v>40.200000000000003</v>
      </c>
    </row>
    <row r="24" spans="2:4" ht="15" hidden="1">
      <c r="B24" s="54" t="s">
        <v>232</v>
      </c>
      <c r="C24" s="50">
        <f>'(ne pas modifier) BDD_REF'!$B$278*REIaval!D24</f>
        <v>3861.1142000000004</v>
      </c>
      <c r="D24" s="18">
        <v>13.90</v>
      </c>
    </row>
    <row r="25" spans="2:4" ht="15" hidden="1">
      <c r="B25" s="54" t="s">
        <v>233</v>
      </c>
      <c r="C25" s="50">
        <f>'(ne pas modifier) BDD_REF'!$B$278*REIaval!D25</f>
        <v>3888.8920000000003</v>
      </c>
      <c r="D25" s="18">
        <v>14</v>
      </c>
    </row>
    <row r="26" spans="2:4" ht="15" hidden="1">
      <c r="B26" s="54" t="s">
        <v>234</v>
      </c>
      <c r="C26" s="50">
        <f>'(ne pas modifier) BDD_REF'!$B$278*REIaval!D26</f>
        <v>12305.565399999999</v>
      </c>
      <c r="D26" s="18">
        <v>44.30</v>
      </c>
    </row>
    <row r="27" spans="2:4" ht="15" hidden="1">
      <c r="B27" s="54" t="s">
        <v>235</v>
      </c>
      <c r="C27" s="50">
        <f>'(ne pas modifier) BDD_REF'!$B$278*REIaval!D27</f>
        <v>7916.6730000000007</v>
      </c>
      <c r="D27" s="18">
        <v>28.50</v>
      </c>
    </row>
    <row r="28" spans="2:4" ht="15" hidden="1">
      <c r="B28" s="54" t="s">
        <v>236</v>
      </c>
      <c r="C28" s="50">
        <f>'(ne pas modifier) BDD_REF'!$B$278*REIaval!D28</f>
        <v>7777.7840000000006</v>
      </c>
      <c r="D28" s="18">
        <v>28</v>
      </c>
    </row>
    <row r="29" spans="2:4" ht="15" hidden="1">
      <c r="B29" s="54" t="s">
        <v>237</v>
      </c>
      <c r="C29" s="50">
        <f>'(ne pas modifier) BDD_REF'!$B$278*REIaval!D29</f>
        <v>7833.3396000000002</v>
      </c>
      <c r="D29" s="18">
        <v>28.20</v>
      </c>
    </row>
    <row r="30" spans="2:4" ht="15" hidden="1">
      <c r="B30" s="54" t="s">
        <v>238</v>
      </c>
      <c r="C30" s="50">
        <f>'(ne pas modifier) BDD_REF'!$B$278*REIaval!D30</f>
        <v>11944.454000000002</v>
      </c>
      <c r="D30" s="18">
        <v>43</v>
      </c>
    </row>
    <row r="31" spans="2:4" ht="15" hidden="1">
      <c r="B31" s="54" t="s">
        <v>164</v>
      </c>
      <c r="C31" s="50">
        <f>'(ne pas modifier) BDD_REF'!$B$278*REIaval!D31</f>
        <v>11666.676000000001</v>
      </c>
      <c r="D31" s="18">
        <v>42</v>
      </c>
    </row>
    <row r="32" spans="2:4" ht="15" hidden="1">
      <c r="B32" s="54" t="s">
        <v>239</v>
      </c>
      <c r="C32" s="50">
        <f>'(ne pas modifier) BDD_REF'!$B$278*REIaval!D32</f>
        <v>11111.12</v>
      </c>
      <c r="D32" s="18">
        <v>40</v>
      </c>
    </row>
    <row r="33" spans="2:4" ht="15" hidden="1">
      <c r="B33" s="54" t="s">
        <v>240</v>
      </c>
      <c r="C33" s="50">
        <f>'(ne pas modifier) BDD_REF'!$B$278*REIaval!D33</f>
        <v>10750.008600000001</v>
      </c>
      <c r="D33" s="18">
        <v>38.700000000000003</v>
      </c>
    </row>
    <row r="34" spans="2:4" ht="15" hidden="1">
      <c r="B34" s="54" t="s">
        <v>241</v>
      </c>
      <c r="C34" s="50">
        <f>'(ne pas modifier) BDD_REF'!$B$278*REIaval!D34</f>
        <v>694.445</v>
      </c>
      <c r="D34" s="18">
        <v>2.50</v>
      </c>
    </row>
    <row r="35" spans="2:4" ht="15" hidden="1">
      <c r="B35" s="54" t="s">
        <v>168</v>
      </c>
      <c r="C35" s="50">
        <f>'(ne pas modifier) BDD_REF'!$B$278*REIaval!D35</f>
        <v>13333.344000000001</v>
      </c>
      <c r="D35" s="18">
        <v>48</v>
      </c>
    </row>
    <row r="36" spans="2:4" ht="15" hidden="1">
      <c r="B36" s="54" t="s">
        <v>166</v>
      </c>
      <c r="C36" s="50">
        <f>'(ne pas modifier) BDD_REF'!$B$278*REIaval!D36</f>
        <v>11944.454000000002</v>
      </c>
      <c r="D36" s="18">
        <v>43</v>
      </c>
    </row>
    <row r="37" spans="2:4" ht="15" hidden="1">
      <c r="B37" s="54" t="s">
        <v>242</v>
      </c>
      <c r="C37" s="50">
        <f>'(ne pas modifier) BDD_REF'!$B$278*REIaval!D37</f>
        <v>13777.788800000002</v>
      </c>
      <c r="D37" s="18">
        <v>49.60</v>
      </c>
    </row>
    <row r="38" spans="2:4" ht="15" hidden="1">
      <c r="B38" s="54" t="s">
        <v>243</v>
      </c>
      <c r="C38" s="50">
        <f>'(ne pas modifier) BDD_REF'!$B$278*REIaval!D38</f>
        <v>12777.788</v>
      </c>
      <c r="D38" s="18">
        <v>46</v>
      </c>
    </row>
    <row r="39" spans="2:4" ht="15" hidden="1">
      <c r="B39" s="54" t="s">
        <v>244</v>
      </c>
      <c r="C39" s="50">
        <f>'(ne pas modifier) BDD_REF'!$B$278*REIaval!D39</f>
        <v>4888.8928000000005</v>
      </c>
      <c r="D39" s="18">
        <v>17.60</v>
      </c>
    </row>
    <row r="40" spans="2:4" ht="15" hidden="1">
      <c r="B40" s="54" t="s">
        <v>245</v>
      </c>
      <c r="C40" s="50">
        <f>'(ne pas modifier) BDD_REF'!$B$278*REIaval!D40</f>
        <v>8888.8960000000006</v>
      </c>
      <c r="D40" s="18">
        <v>32</v>
      </c>
    </row>
    <row r="41" spans="2:4" ht="15" hidden="1">
      <c r="B41" s="54" t="s">
        <v>246</v>
      </c>
      <c r="C41" s="50">
        <f>'(ne pas modifier) BDD_REF'!$B$278*REIaval!D41</f>
        <v>10583.341800000002</v>
      </c>
      <c r="D41" s="18">
        <v>38.10</v>
      </c>
    </row>
    <row r="42" spans="2:4" ht="15" hidden="1">
      <c r="B42" s="54" t="s">
        <v>247</v>
      </c>
      <c r="C42" s="50">
        <f>'(ne pas modifier) BDD_REF'!$B$278*REIaval!D42</f>
        <v>12250.009800000002</v>
      </c>
      <c r="D42" s="18">
        <v>44.10</v>
      </c>
    </row>
    <row r="43" spans="2:4" ht="15" hidden="1">
      <c r="B43" s="54" t="s">
        <v>248</v>
      </c>
      <c r="C43" s="50">
        <f>'(ne pas modifier) BDD_REF'!$B$278*REIaval!D43</f>
        <v>3305.5582000000004</v>
      </c>
      <c r="D43" s="18">
        <v>11.90</v>
      </c>
    </row>
    <row r="44" spans="2:4" ht="15" hidden="1">
      <c r="B44" s="54" t="s">
        <v>249</v>
      </c>
      <c r="C44" s="50">
        <f>'(ne pas modifier) BDD_REF'!$B$278*REIaval!D44</f>
        <v>12361.121000000001</v>
      </c>
      <c r="D44" s="18">
        <v>44.50</v>
      </c>
    </row>
    <row r="45" spans="2:4" ht="15" hidden="1">
      <c r="B45" s="54" t="s">
        <v>250</v>
      </c>
      <c r="C45" s="50">
        <f>'(ne pas modifier) BDD_REF'!$B$278*REIaval!D45</f>
        <v>11750.009400000001</v>
      </c>
      <c r="D45" s="18">
        <v>42.30</v>
      </c>
    </row>
    <row r="46" spans="2:4" ht="15" hidden="1">
      <c r="B46" s="54" t="s">
        <v>251</v>
      </c>
      <c r="C46" s="50">
        <f>'(ne pas modifier) BDD_REF'!$B$278*REIaval!D46</f>
        <v>3638.8918000000003</v>
      </c>
      <c r="D46" s="18">
        <v>13.10</v>
      </c>
    </row>
    <row r="47" spans="2:4" ht="15" hidden="1">
      <c r="B47" s="54" t="s">
        <v>252</v>
      </c>
      <c r="C47" s="50">
        <f>'(ne pas modifier) BDD_REF'!$B$278*REIaval!D47</f>
        <v>13138.8994</v>
      </c>
      <c r="D47" s="18">
        <v>47.30</v>
      </c>
    </row>
    <row r="48" spans="2:4" ht="15" hidden="1">
      <c r="B48" s="54" t="s">
        <v>253</v>
      </c>
      <c r="C48" s="50">
        <f>'(ne pas modifier) BDD_REF'!$B$278*REIaval!D48</f>
        <v>2200.0017600000001</v>
      </c>
      <c r="D48" s="18">
        <v>7.92</v>
      </c>
    </row>
    <row r="49" spans="2:4" ht="15" hidden="1">
      <c r="B49" s="54" t="s">
        <v>254</v>
      </c>
      <c r="C49" s="50">
        <f>'(ne pas modifier) BDD_REF'!$B$278*REIaval!D49</f>
        <v>2722.2244000000005</v>
      </c>
      <c r="D49" s="18">
        <v>9.8000000000000007</v>
      </c>
    </row>
    <row r="50" spans="3:11" ht="15">
      <c r="C50" s="24"/>
      <c r="D50" s="24"/>
      <c r="E50" s="24"/>
      <c r="F50" s="24"/>
      <c r="G50" s="24"/>
      <c r="H50" s="24"/>
      <c r="I50" s="24"/>
      <c r="J50" s="24"/>
      <c r="K50" s="24"/>
    </row>
    <row r="51" spans="2:13" ht="30">
      <c r="B51" s="55" t="s">
        <v>259</v>
      </c>
      <c r="C51" s="55" t="s">
        <v>258</v>
      </c>
      <c r="M51" s="18"/>
    </row>
    <row r="52" spans="1:13" ht="30">
      <c r="A52" s="54" t="s">
        <v>257</v>
      </c>
      <c r="B52" s="54" t="s">
        <v>164</v>
      </c>
      <c r="C52" s="57">
        <f>0.324/1000</f>
        <v>0.00032400000000000001</v>
      </c>
      <c r="M52" s="18"/>
    </row>
    <row r="53" spans="2:13" ht="15">
      <c r="B53" s="54" t="s">
        <v>239</v>
      </c>
      <c r="C53" s="57">
        <f>0.325/1000</f>
        <v>0.00032499999999999999</v>
      </c>
      <c r="M53" s="18"/>
    </row>
    <row r="54" spans="2:13" ht="15">
      <c r="B54" s="54" t="s">
        <v>255</v>
      </c>
      <c r="C54" s="57">
        <f>0.335/1000</f>
        <v>0.00033500000000000001</v>
      </c>
      <c r="M54" s="18"/>
    </row>
    <row r="55" spans="2:13" ht="15">
      <c r="B55" s="54" t="s">
        <v>256</v>
      </c>
      <c r="C55" s="57">
        <f>0.282/1000</f>
        <v>0.00028199999999999997</v>
      </c>
      <c r="M55" s="18"/>
    </row>
    <row r="56" spans="1:13" ht="45">
      <c r="A56" s="54" t="s">
        <v>260</v>
      </c>
      <c r="B56" s="54" t="s">
        <v>261</v>
      </c>
      <c r="C56" s="57">
        <f>0.311/1000</f>
        <v>0.00031100000000000002</v>
      </c>
      <c r="M56" s="18"/>
    </row>
    <row r="57" spans="2:13" ht="15">
      <c r="B57" s="54" t="s">
        <v>262</v>
      </c>
      <c r="C57" s="54">
        <f>0.313/1000</f>
        <v>0.00031300000000000002</v>
      </c>
      <c r="M57" s="18"/>
    </row>
    <row r="58" spans="2:13" ht="15">
      <c r="B58" s="54" t="s">
        <v>263</v>
      </c>
      <c r="C58" s="54">
        <f>0.319/1000</f>
        <v>0.000319</v>
      </c>
      <c r="M58" s="18"/>
    </row>
    <row r="59" spans="2:13" ht="15">
      <c r="B59" s="54" t="s">
        <v>264</v>
      </c>
      <c r="C59" s="54">
        <f>0.306/1000</f>
        <v>0.00030600000000000001</v>
      </c>
      <c r="M59" s="18"/>
    </row>
    <row r="60" spans="2:13" ht="15">
      <c r="B60" s="54" t="s">
        <v>265</v>
      </c>
      <c r="C60" s="54">
        <f>0.174/1000</f>
        <v>0.000174</v>
      </c>
      <c r="M60" s="18"/>
    </row>
    <row r="61" spans="2:13" ht="15">
      <c r="B61" s="54" t="s">
        <v>266</v>
      </c>
      <c r="C61" s="54">
        <f>0.273/1000</f>
        <v>0.00027300000000000002</v>
      </c>
      <c r="M61" s="18"/>
    </row>
    <row r="62" spans="2:13" ht="15">
      <c r="B62" s="54" t="s">
        <v>243</v>
      </c>
      <c r="C62" s="54">
        <f>0.272/1000</f>
        <v>0.000272</v>
      </c>
      <c r="M62" s="18"/>
    </row>
    <row r="63" spans="2:13" ht="15">
      <c r="B63" s="54" t="s">
        <v>267</v>
      </c>
      <c r="C63" s="54">
        <f>0.311/1000</f>
        <v>0.00031100000000000002</v>
      </c>
      <c r="M63" s="18"/>
    </row>
    <row r="64" spans="2:13" ht="15">
      <c r="B64" s="54" t="s">
        <v>268</v>
      </c>
      <c r="C64" s="54">
        <f>0.132/1000</f>
        <v>0.00013200000000000001</v>
      </c>
      <c r="M64" s="18"/>
    </row>
    <row r="65" spans="2:13" ht="15">
      <c r="B65" s="54" t="s">
        <v>269</v>
      </c>
      <c r="C65" s="54">
        <f>0.238/1000</f>
        <v>0.00023799999999999998</v>
      </c>
      <c r="M65" s="18"/>
    </row>
    <row r="66" spans="2:13" ht="15">
      <c r="B66" s="54" t="s">
        <v>270</v>
      </c>
      <c r="C66" s="54">
        <f>0.23/1000</f>
        <v>0.00023000000000000001</v>
      </c>
      <c r="M66" s="18"/>
    </row>
    <row r="67" spans="1:13" ht="45">
      <c r="A67" s="54" t="s">
        <v>271</v>
      </c>
      <c r="B67" s="54" t="s">
        <v>272</v>
      </c>
      <c r="C67" s="54">
        <f>0.327/1000</f>
        <v>0.00032700000000000003</v>
      </c>
      <c r="M67" s="18"/>
    </row>
    <row r="68" spans="2:13" ht="15">
      <c r="B68" s="54" t="s">
        <v>273</v>
      </c>
      <c r="C68" s="54">
        <f>0.331/1000</f>
        <v>0.00033100000000000002</v>
      </c>
      <c r="M68" s="18"/>
    </row>
    <row r="69" spans="2:13" ht="15">
      <c r="B69" s="54" t="s">
        <v>274</v>
      </c>
      <c r="C69" s="54">
        <f>0.331/1000</f>
        <v>0.00033100000000000002</v>
      </c>
      <c r="M69" s="18"/>
    </row>
    <row r="70" spans="1:13" ht="45">
      <c r="A70" s="54" t="s">
        <v>276</v>
      </c>
      <c r="B70" s="54" t="s">
        <v>275</v>
      </c>
      <c r="C70" s="54">
        <f>0.307/1000</f>
        <v>0.00030699999999999998</v>
      </c>
      <c r="M70" s="18"/>
    </row>
    <row r="71" spans="2:13" ht="15">
      <c r="B71" s="54" t="s">
        <v>277</v>
      </c>
      <c r="C71" s="54">
        <f>0.308/1000</f>
        <v>0.00030800000000000001</v>
      </c>
      <c r="M71" s="18"/>
    </row>
    <row r="72" spans="2:13" ht="15">
      <c r="B72" s="54" t="s">
        <v>278</v>
      </c>
      <c r="C72" s="54">
        <f>0.313/1000</f>
        <v>0.00031300000000000002</v>
      </c>
      <c r="M72" s="18"/>
    </row>
    <row r="73" spans="1:13" ht="45">
      <c r="A73" s="54" t="s">
        <v>280</v>
      </c>
      <c r="B73" s="54" t="s">
        <v>279</v>
      </c>
      <c r="C73" s="54">
        <f>0.322/1000</f>
        <v>0.00032200000000000002</v>
      </c>
      <c r="M73" s="18"/>
    </row>
    <row r="74" spans="1:13" ht="30">
      <c r="A74" s="54" t="s">
        <v>281</v>
      </c>
      <c r="B74" s="54" t="s">
        <v>282</v>
      </c>
      <c r="C74" s="54">
        <f>0.227/1000</f>
        <v>0.00022700000000000002</v>
      </c>
      <c r="M74" s="18"/>
    </row>
    <row r="75" spans="2:13" ht="15">
      <c r="B75" s="54" t="s">
        <v>283</v>
      </c>
      <c r="C75" s="54">
        <f>0.244/1000</f>
        <v>0.00024399999999999999</v>
      </c>
      <c r="M75" s="18"/>
    </row>
    <row r="76" spans="1:13" ht="30">
      <c r="A76" s="54" t="s">
        <v>284</v>
      </c>
      <c r="B76" s="54" t="s">
        <v>285</v>
      </c>
      <c r="C76" s="54">
        <f>0.27/1000</f>
        <v>0.00027</v>
      </c>
      <c r="M76" s="18"/>
    </row>
    <row r="77" spans="2:13" ht="15">
      <c r="B77" s="56"/>
      <c r="C77" s="51"/>
      <c r="M77" s="18"/>
    </row>
    <row r="78" spans="2:13" ht="50.25" customHeight="1">
      <c r="B78" s="25" t="s">
        <v>227</v>
      </c>
      <c r="M78" s="18"/>
    </row>
    <row r="79" spans="2:13" ht="15">
      <c r="B79" s="44"/>
      <c r="M79" s="18"/>
    </row>
    <row r="80" spans="2:13" ht="15">
      <c r="B80" s="44"/>
      <c r="M80" s="18"/>
    </row>
    <row r="81" spans="2:13" ht="15">
      <c r="B81" s="44"/>
      <c r="M81" s="18"/>
    </row>
    <row r="82" spans="2:13" ht="15">
      <c r="B82" s="44"/>
      <c r="M82" s="18"/>
    </row>
    <row r="83" spans="2:13" ht="15">
      <c r="B83" s="44"/>
      <c r="M83" s="18"/>
    </row>
    <row r="84" spans="2:13" ht="15">
      <c r="B84" s="44"/>
      <c r="M84" s="18"/>
    </row>
    <row r="85" spans="2:13" ht="15">
      <c r="B85" s="44"/>
      <c r="M85" s="18"/>
    </row>
    <row r="86" spans="2:13" ht="15">
      <c r="B86" s="44"/>
      <c r="M86" s="18"/>
    </row>
    <row r="87" spans="2:13" ht="15">
      <c r="B87" s="44"/>
      <c r="M87" s="18"/>
    </row>
    <row r="88" spans="2:13" ht="15">
      <c r="B88" s="44"/>
      <c r="M88" s="18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 topLeftCell="A1">
      <selection pane="topLeft" activeCell="C22" sqref="C22"/>
    </sheetView>
  </sheetViews>
  <sheetFormatPr defaultColWidth="11.4242857142857" defaultRowHeight="15"/>
  <cols>
    <col min="1" max="1" width="11.4285714285714" style="24"/>
    <col min="2" max="2" width="31" style="52" customWidth="1"/>
    <col min="3" max="16384" width="11.4285714285714" style="24"/>
  </cols>
  <sheetData>
    <row r="2" spans="1:13" ht="15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3" ht="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7" ht="30">
      <c r="A4" s="24" t="s">
        <v>215</v>
      </c>
      <c r="C4" s="30" t="s">
        <v>9</v>
      </c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14</v>
      </c>
      <c r="I4" s="30" t="s">
        <v>15</v>
      </c>
      <c r="J4" s="30" t="s">
        <v>16</v>
      </c>
      <c r="K4" s="30" t="s">
        <v>17</v>
      </c>
      <c r="L4" s="30" t="s">
        <v>18</v>
      </c>
      <c r="M4" s="31" t="s">
        <v>151</v>
      </c>
      <c r="N4" s="18"/>
      <c r="O4" s="18"/>
      <c r="P4" s="18"/>
      <c r="Q4" s="18"/>
    </row>
    <row r="5" spans="1:17" ht="15">
      <c r="A5" s="30">
        <v>1</v>
      </c>
      <c r="B5" s="23" t="s">
        <v>201</v>
      </c>
      <c r="C5" s="39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0</v>
      </c>
      <c r="D5" s="39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2.40</v>
      </c>
      <c r="E5" s="39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39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39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39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39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39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39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39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39">
        <f t="shared" si="0" ref="M5:M28">SUM(C5:L5)</f>
        <v>2.40</v>
      </c>
      <c r="N5" s="18"/>
      <c r="O5" s="18"/>
      <c r="P5" s="18"/>
      <c r="Q5" s="18"/>
    </row>
    <row r="6" spans="1:17" ht="15">
      <c r="A6" s="30">
        <v>2</v>
      </c>
      <c r="B6" s="23" t="s">
        <v>201</v>
      </c>
      <c r="C6" s="39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0</v>
      </c>
      <c r="D6" s="39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39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39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39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39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39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39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39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39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39">
        <f t="shared" si="0"/>
        <v>3.72</v>
      </c>
      <c r="N6" s="18"/>
      <c r="O6" s="18"/>
      <c r="P6" s="18"/>
      <c r="Q6" s="18"/>
    </row>
    <row r="7" spans="1:17" ht="15">
      <c r="A7" s="30">
        <v>3</v>
      </c>
      <c r="B7" s="23" t="s">
        <v>201</v>
      </c>
      <c r="C7" s="39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0</v>
      </c>
      <c r="D7" s="39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39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39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39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39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39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39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39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39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39">
        <f t="shared" si="0"/>
        <v>5.04</v>
      </c>
      <c r="N7" s="18"/>
      <c r="O7" s="18"/>
      <c r="P7" s="18"/>
      <c r="Q7" s="18"/>
    </row>
    <row r="8" spans="1:17" ht="15">
      <c r="A8" s="30">
        <v>4</v>
      </c>
      <c r="B8" s="23" t="s">
        <v>201</v>
      </c>
      <c r="C8" s="39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0</v>
      </c>
      <c r="D8" s="39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39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39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39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39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39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39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39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39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39">
        <f t="shared" si="0"/>
        <v>6.36</v>
      </c>
      <c r="N8" s="18"/>
      <c r="O8" s="18"/>
      <c r="P8" s="18"/>
      <c r="Q8" s="18"/>
    </row>
    <row r="9" spans="1:17" ht="15">
      <c r="A9" s="30">
        <v>5</v>
      </c>
      <c r="B9" s="23" t="s">
        <v>201</v>
      </c>
      <c r="C9" s="39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0</v>
      </c>
      <c r="D9" s="39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6.60</v>
      </c>
      <c r="E9" s="39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39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39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39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39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39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39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39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39">
        <f t="shared" si="0"/>
        <v>6.60</v>
      </c>
      <c r="N9" s="18"/>
      <c r="O9" s="18"/>
      <c r="P9" s="18"/>
      <c r="Q9" s="18"/>
    </row>
    <row r="10" spans="1:17" ht="15">
      <c r="A10" s="30">
        <v>6</v>
      </c>
      <c r="B10" s="23" t="s">
        <v>201</v>
      </c>
      <c r="C10" s="39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0</v>
      </c>
      <c r="D10" s="39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7.70</v>
      </c>
      <c r="E10" s="39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39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39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39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39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39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39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39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39">
        <f t="shared" si="0"/>
        <v>7.70</v>
      </c>
      <c r="N10" s="18"/>
      <c r="O10" s="18"/>
      <c r="P10" s="18"/>
      <c r="Q10" s="18"/>
    </row>
    <row r="11" spans="1:17" ht="15">
      <c r="A11" s="30">
        <v>7</v>
      </c>
      <c r="B11" s="23" t="s">
        <v>201</v>
      </c>
      <c r="C11" s="39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0</v>
      </c>
      <c r="D11" s="39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39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39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39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39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39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39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39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39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39">
        <f t="shared" si="0"/>
        <v>8.8000000000000007</v>
      </c>
      <c r="N11" s="18"/>
      <c r="O11" s="18"/>
      <c r="P11" s="18"/>
      <c r="Q11" s="18"/>
    </row>
    <row r="12" spans="1:17" ht="15">
      <c r="A12" s="30">
        <v>8</v>
      </c>
      <c r="B12" s="23" t="s">
        <v>201</v>
      </c>
      <c r="C12" s="39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0</v>
      </c>
      <c r="D12" s="39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9.90</v>
      </c>
      <c r="E12" s="39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39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39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39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39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39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39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39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39">
        <f t="shared" si="0"/>
        <v>9.90</v>
      </c>
      <c r="N12" s="18"/>
      <c r="O12" s="18"/>
      <c r="P12" s="18"/>
      <c r="Q12" s="18"/>
    </row>
    <row r="13" spans="1:17" ht="15">
      <c r="A13" s="30">
        <v>9</v>
      </c>
      <c r="B13" s="23" t="s">
        <v>201</v>
      </c>
      <c r="C13" s="39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0</v>
      </c>
      <c r="D13" s="39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39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39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39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39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39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39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39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39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39">
        <f t="shared" si="0"/>
        <v>11</v>
      </c>
      <c r="N13" s="18"/>
      <c r="O13" s="18"/>
      <c r="P13" s="18"/>
      <c r="Q13" s="18"/>
    </row>
    <row r="14" spans="1:17" ht="15">
      <c r="A14" s="30">
        <v>10</v>
      </c>
      <c r="B14" s="23" t="s">
        <v>201</v>
      </c>
      <c r="C14" s="39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0</v>
      </c>
      <c r="D14" s="39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12.10</v>
      </c>
      <c r="E14" s="39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39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39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39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39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39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39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39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39">
        <f t="shared" si="0"/>
        <v>12.10</v>
      </c>
      <c r="N14" s="18"/>
      <c r="O14" s="18"/>
      <c r="P14" s="18"/>
      <c r="Q14" s="18"/>
    </row>
    <row r="15" spans="1:17" ht="15">
      <c r="A15" s="30">
        <v>11</v>
      </c>
      <c r="B15" s="23" t="s">
        <v>201</v>
      </c>
      <c r="C15" s="39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0</v>
      </c>
      <c r="D15" s="39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39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39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39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39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39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39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39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39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39">
        <f t="shared" si="0"/>
        <v>12.46</v>
      </c>
      <c r="N15" s="18"/>
      <c r="O15" s="18"/>
      <c r="P15" s="18"/>
      <c r="Q15" s="18"/>
    </row>
    <row r="16" spans="1:17" ht="15">
      <c r="A16" s="30">
        <v>12</v>
      </c>
      <c r="B16" s="23" t="s">
        <v>201</v>
      </c>
      <c r="C16" s="39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0</v>
      </c>
      <c r="D16" s="39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39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39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39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39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39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39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39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39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39">
        <f t="shared" si="0"/>
        <v>12.82</v>
      </c>
      <c r="N16" s="18"/>
      <c r="O16" s="18"/>
      <c r="P16" s="18"/>
      <c r="Q16" s="18"/>
    </row>
    <row r="17" spans="1:17" ht="15">
      <c r="A17" s="30">
        <v>13</v>
      </c>
      <c r="B17" s="23" t="s">
        <v>201</v>
      </c>
      <c r="C17" s="39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0</v>
      </c>
      <c r="D17" s="39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39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39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39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39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39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39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39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39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39">
        <f t="shared" si="0"/>
        <v>13.18</v>
      </c>
      <c r="N17" s="18"/>
      <c r="O17" s="18"/>
      <c r="P17" s="18"/>
      <c r="Q17" s="18"/>
    </row>
    <row r="18" spans="1:17" ht="15">
      <c r="A18" s="30">
        <v>14</v>
      </c>
      <c r="B18" s="23" t="s">
        <v>201</v>
      </c>
      <c r="C18" s="39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0</v>
      </c>
      <c r="D18" s="39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39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39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39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39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39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39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39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39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39">
        <f t="shared" si="0"/>
        <v>13.54</v>
      </c>
      <c r="N18" s="18"/>
      <c r="O18" s="18"/>
      <c r="P18" s="18"/>
      <c r="Q18" s="18"/>
    </row>
    <row r="19" spans="1:17" ht="15">
      <c r="A19" s="30">
        <v>15</v>
      </c>
      <c r="B19" s="23" t="s">
        <v>201</v>
      </c>
      <c r="C19" s="39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0</v>
      </c>
      <c r="D19" s="39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13.90</v>
      </c>
      <c r="E19" s="39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39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39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39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39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39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39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39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39">
        <f t="shared" si="0"/>
        <v>13.90</v>
      </c>
      <c r="N19" s="18"/>
      <c r="O19" s="18"/>
      <c r="P19" s="18"/>
      <c r="Q19" s="18"/>
    </row>
    <row r="20" spans="1:17" ht="15">
      <c r="A20" s="30">
        <v>16</v>
      </c>
      <c r="B20" s="23" t="s">
        <v>201</v>
      </c>
      <c r="C20" s="39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0</v>
      </c>
      <c r="D20" s="39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39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39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39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39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39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39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39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39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39">
        <f t="shared" si="0"/>
        <v>13.98</v>
      </c>
      <c r="N20" s="18"/>
      <c r="O20" s="18"/>
      <c r="P20" s="18"/>
      <c r="Q20" s="18"/>
    </row>
    <row r="21" spans="1:17" ht="15">
      <c r="A21" s="30">
        <v>17</v>
      </c>
      <c r="B21" s="23" t="s">
        <v>201</v>
      </c>
      <c r="C21" s="39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0</v>
      </c>
      <c r="D21" s="39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39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39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39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39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39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39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39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39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39">
        <f t="shared" si="0"/>
        <v>14.06</v>
      </c>
      <c r="N21" s="18"/>
      <c r="O21" s="18"/>
      <c r="P21" s="18"/>
      <c r="Q21" s="18"/>
    </row>
    <row r="22" spans="1:17" ht="15">
      <c r="A22" s="30">
        <v>18</v>
      </c>
      <c r="B22" s="23" t="s">
        <v>201</v>
      </c>
      <c r="C22" s="39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0</v>
      </c>
      <c r="D22" s="39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39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39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39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39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39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39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39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39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39">
        <f t="shared" si="0"/>
        <v>14.14</v>
      </c>
      <c r="N22" s="18"/>
      <c r="O22" s="18"/>
      <c r="P22" s="18"/>
      <c r="Q22" s="18"/>
    </row>
    <row r="23" spans="1:17" ht="15">
      <c r="A23" s="30">
        <v>19</v>
      </c>
      <c r="B23" s="23" t="s">
        <v>201</v>
      </c>
      <c r="C23" s="39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0</v>
      </c>
      <c r="D23" s="39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39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39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39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39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39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39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39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39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39">
        <f t="shared" si="0"/>
        <v>14.22</v>
      </c>
      <c r="N23" s="18"/>
      <c r="O23" s="18"/>
      <c r="P23" s="18"/>
      <c r="Q23" s="18"/>
    </row>
    <row r="24" spans="1:17" ht="15">
      <c r="A24" s="30">
        <v>20</v>
      </c>
      <c r="B24" s="23" t="s">
        <v>201</v>
      </c>
      <c r="C24" s="39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0</v>
      </c>
      <c r="D24" s="39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14.30</v>
      </c>
      <c r="E24" s="39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39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39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39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39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39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39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39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39">
        <f t="shared" si="0"/>
        <v>14.30</v>
      </c>
      <c r="N24" s="18"/>
      <c r="O24" s="18"/>
      <c r="P24" s="18"/>
      <c r="Q24" s="18"/>
    </row>
    <row r="25" spans="1:17" ht="30">
      <c r="A25" s="23"/>
      <c r="B25" s="23" t="s">
        <v>210</v>
      </c>
      <c r="C25" s="39">
        <f>SUMIF($A5:$A24,"&lt;"&amp;Eligibilité_projet!B14+1,C5:C24)</f>
        <v>0</v>
      </c>
      <c r="D25" s="39">
        <f>SUMIF($A5:$A24,"&lt;"&amp;Eligibilité_projet!C14+1,D5:D24)</f>
        <v>210.22</v>
      </c>
      <c r="E25" s="39">
        <f>SUMIF($A5:$A24,"&lt;"&amp;Eligibilité_projet!D14+1,E5:E24)</f>
        <v>0</v>
      </c>
      <c r="F25" s="39">
        <f>SUMIF($A5:$A24,"&lt;"&amp;Eligibilité_projet!E14+1,F5:F24)</f>
        <v>0</v>
      </c>
      <c r="G25" s="39">
        <f>SUMIF($A5:$A24,"&lt;"&amp;Eligibilité_projet!F14+1,G5:G24)</f>
        <v>0</v>
      </c>
      <c r="H25" s="39">
        <f>SUMIF($A5:$A24,"&lt;"&amp;Eligibilité_projet!G14+1,H5:H24)</f>
        <v>0</v>
      </c>
      <c r="I25" s="39">
        <f>SUMIF($A5:$A24,"&lt;"&amp;Eligibilité_projet!H14+1,I5:I24)</f>
        <v>0</v>
      </c>
      <c r="J25" s="39">
        <f>SUMIF($A5:$A24,"&lt;"&amp;Eligibilité_projet!I14+1,J5:J24)</f>
        <v>0</v>
      </c>
      <c r="K25" s="39">
        <f>SUMIF($A5:$A24,"&lt;"&amp;Eligibilité_projet!J14+1,K5:K24)</f>
        <v>0</v>
      </c>
      <c r="L25" s="39">
        <f>SUMIF($A5:$A24,"&lt;"&amp;Eligibilité_projet!K14+1,L5:L24)</f>
        <v>0</v>
      </c>
      <c r="M25" s="39">
        <f t="shared" si="0"/>
        <v>210.22</v>
      </c>
      <c r="N25" s="18"/>
      <c r="O25" s="18"/>
      <c r="P25" s="18"/>
      <c r="Q25" s="18"/>
    </row>
    <row r="26" spans="1:17" ht="30">
      <c r="A26" s="23" t="s">
        <v>192</v>
      </c>
      <c r="B26" s="23" t="s">
        <v>211</v>
      </c>
      <c r="C26" s="58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58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58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58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58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58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58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58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58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58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39">
        <f t="shared" si="0"/>
        <v>0</v>
      </c>
      <c r="N26" s="18"/>
      <c r="O26" s="18"/>
      <c r="P26" s="18"/>
      <c r="Q26" s="18"/>
    </row>
    <row r="27" spans="2:17" ht="30">
      <c r="B27" s="23" t="s">
        <v>200</v>
      </c>
      <c r="C27" s="59">
        <f>Eligibilité_projet!B14+1</f>
        <v>1</v>
      </c>
      <c r="D27" s="59">
        <f>Eligibilité_projet!C14+1</f>
        <v>21</v>
      </c>
      <c r="E27" s="59">
        <f>Eligibilité_projet!D14+1</f>
        <v>1</v>
      </c>
      <c r="F27" s="59">
        <f>Eligibilité_projet!E14+1</f>
        <v>1</v>
      </c>
      <c r="G27" s="59">
        <f>Eligibilité_projet!F14+1</f>
        <v>1</v>
      </c>
      <c r="H27" s="59">
        <f>Eligibilité_projet!G14+1</f>
        <v>1</v>
      </c>
      <c r="I27" s="59">
        <f>Eligibilité_projet!H14+1</f>
        <v>1</v>
      </c>
      <c r="J27" s="59">
        <f>Eligibilité_projet!I14+1</f>
        <v>1</v>
      </c>
      <c r="K27" s="59">
        <f>Eligibilité_projet!J14+1</f>
        <v>1</v>
      </c>
      <c r="L27" s="59">
        <f>Eligibilité_projet!K14+1</f>
        <v>1</v>
      </c>
      <c r="M27" s="39">
        <f t="shared" si="0"/>
        <v>30</v>
      </c>
      <c r="N27" s="18"/>
      <c r="O27" s="18"/>
      <c r="P27" s="18"/>
      <c r="Q27" s="18"/>
    </row>
    <row r="28" spans="2:17" ht="15">
      <c r="B28" s="38" t="s">
        <v>296</v>
      </c>
      <c r="C28" s="41">
        <f>((C25/C27)-C26)*Eligibilité_projet!B8*44/12</f>
        <v>0</v>
      </c>
      <c r="D28" s="41">
        <f>((D25/D27)-D26)*Eligibilité_projet!C8*44/12</f>
        <v>10.644473015873015</v>
      </c>
      <c r="E28" s="41">
        <f>((E25/E27)-E26)*Eligibilité_projet!D8*44/12</f>
        <v>0</v>
      </c>
      <c r="F28" s="41">
        <f>((F25/F27)-F26)*Eligibilité_projet!E8*44/12</f>
        <v>0</v>
      </c>
      <c r="G28" s="41">
        <f>((G25/G27)-G26)*Eligibilité_projet!F8*44/12</f>
        <v>0</v>
      </c>
      <c r="H28" s="41">
        <f>((H25/H27)-H26)*Eligibilité_projet!G8*44/12</f>
        <v>0</v>
      </c>
      <c r="I28" s="41">
        <f>((I25/I27)-I26)*Eligibilité_projet!H8*44/12</f>
        <v>0</v>
      </c>
      <c r="J28" s="41">
        <f>((J25/J27)-J26)*Eligibilité_projet!I8*44/12</f>
        <v>0</v>
      </c>
      <c r="K28" s="41">
        <f>((K25/K27)-K26)*Eligibilité_projet!J8*44/12</f>
        <v>0</v>
      </c>
      <c r="L28" s="41">
        <f>((L25/L27)-L26)*Eligibilité_projet!K8*44/12</f>
        <v>0</v>
      </c>
      <c r="M28" s="41">
        <f t="shared" si="0"/>
        <v>10.644473015873015</v>
      </c>
      <c r="N28" s="18"/>
      <c r="O28" s="18"/>
      <c r="P28" s="18"/>
      <c r="Q28" s="18"/>
    </row>
    <row r="29" spans="1:13" ht="15">
      <c r="A29" s="18"/>
      <c r="B29" s="4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15">
      <c r="A30" s="18"/>
      <c r="B30" s="4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5">
      <c r="A31" s="18"/>
      <c r="B31" s="4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5">
      <c r="A32" s="18"/>
      <c r="B32" s="4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5">
      <c r="A33" s="18"/>
      <c r="B33" s="105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5">
      <c r="A34" s="18"/>
      <c r="B34" s="44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5">
      <c r="A35" s="18"/>
      <c r="B35" s="44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5">
      <c r="A36" s="18"/>
      <c r="B36" s="44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 topLeftCell="A1">
      <selection pane="topLeft" activeCell="C6" sqref="C6"/>
    </sheetView>
  </sheetViews>
  <sheetFormatPr defaultColWidth="11.4242857142857" defaultRowHeight="15"/>
  <cols>
    <col min="1" max="1" width="8.57142857142857" style="24" customWidth="1"/>
    <col min="2" max="2" width="33.7142857142857" style="24" customWidth="1"/>
    <col min="3" max="3" width="12.2857142857143" style="24" bestFit="1" customWidth="1"/>
    <col min="4" max="16384" width="11.4285714285714" style="24"/>
  </cols>
  <sheetData>
    <row r="2" spans="2:13" ht="15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3:16" ht="30">
      <c r="C4" s="30" t="s">
        <v>9</v>
      </c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14</v>
      </c>
      <c r="I4" s="30" t="s">
        <v>15</v>
      </c>
      <c r="J4" s="30" t="s">
        <v>16</v>
      </c>
      <c r="K4" s="30" t="s">
        <v>17</v>
      </c>
      <c r="L4" s="30" t="s">
        <v>18</v>
      </c>
      <c r="M4" s="31" t="s">
        <v>151</v>
      </c>
      <c r="N4" s="18"/>
      <c r="O4" s="18"/>
      <c r="P4" s="18"/>
    </row>
    <row r="5" spans="2:16" ht="15">
      <c r="B5" s="23" t="s">
        <v>306</v>
      </c>
      <c r="C5" s="39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0</v>
      </c>
      <c r="D5" s="39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34.299999999999997</v>
      </c>
      <c r="E5" s="58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58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58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58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58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58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58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58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39">
        <f>SUM(C5:L5)</f>
        <v>34.299999999999997</v>
      </c>
      <c r="N5" s="18"/>
      <c r="O5" s="18"/>
      <c r="P5" s="18"/>
    </row>
    <row r="6" spans="2:16" ht="15">
      <c r="B6" s="23" t="s">
        <v>307</v>
      </c>
      <c r="C6" s="39">
        <f>IF(Eligibilité_projet!B13="Hors climat Mediterranéen",'(ne pas modifier) BDD_REF'!$C$272,IF(Eligibilité_projet!B13="",0,'(ne pas modifier) BDD_REF'!$B$272))</f>
        <v>0</v>
      </c>
      <c r="D6" s="39">
        <f>IF(Eligibilité_projet!C13="Hors climat Mediterranéen",'(ne pas modifier) BDD_REF'!$C$272,IF(Eligibilité_projet!C13="",0,'(ne pas modifier) BDD_REF'!$B$272))</f>
        <v>41.50</v>
      </c>
      <c r="E6" s="39">
        <f>IF(Eligibilité_projet!D13="Hors climat Mediterranéen",'(ne pas modifier) BDD_REF'!$C$272,IF(Eligibilité_projet!D13="",0,'(ne pas modifier) BDD_REF'!$B$272))</f>
        <v>0</v>
      </c>
      <c r="F6" s="39">
        <f>IF(Eligibilité_projet!E13="Hors climat Mediterranéen",'(ne pas modifier) BDD_REF'!$C$272,IF(Eligibilité_projet!E13="",0,'(ne pas modifier) BDD_REF'!$B$272))</f>
        <v>0</v>
      </c>
      <c r="G6" s="39">
        <f>IF(Eligibilité_projet!F13="Hors climat Mediterranéen",'(ne pas modifier) BDD_REF'!$C$272,IF(Eligibilité_projet!F13="",0,'(ne pas modifier) BDD_REF'!$B$272))</f>
        <v>0</v>
      </c>
      <c r="H6" s="39">
        <f>IF(Eligibilité_projet!G13="Hors climat Mediterranéen",'(ne pas modifier) BDD_REF'!$C$272,IF(Eligibilité_projet!G13="",0,'(ne pas modifier) BDD_REF'!$B$272))</f>
        <v>0</v>
      </c>
      <c r="I6" s="39">
        <f>IF(Eligibilité_projet!H13="Hors climat Mediterranéen",'(ne pas modifier) BDD_REF'!$C$272,IF(Eligibilité_projet!H13="",0,'(ne pas modifier) BDD_REF'!$B$272))</f>
        <v>0</v>
      </c>
      <c r="J6" s="39">
        <f>IF(Eligibilité_projet!I13="Hors climat Mediterranéen",'(ne pas modifier) BDD_REF'!$C$272,IF(Eligibilité_projet!I13="",0,'(ne pas modifier) BDD_REF'!$B$272))</f>
        <v>0</v>
      </c>
      <c r="K6" s="39">
        <f>IF(Eligibilité_projet!J13="Hors climat Mediterranéen",'(ne pas modifier) BDD_REF'!$C$272,IF(Eligibilité_projet!J13="",0,'(ne pas modifier) BDD_REF'!$B$272))</f>
        <v>0</v>
      </c>
      <c r="L6" s="39">
        <f>IF(Eligibilité_projet!K13="Hors climat Mediterranéen",'(ne pas modifier) BDD_REF'!$C$272,IF(Eligibilité_projet!K13="",0,'(ne pas modifier) BDD_REF'!$B$272))</f>
        <v>0</v>
      </c>
      <c r="M6" s="39">
        <f>SUM(C6:L6)</f>
        <v>41.50</v>
      </c>
      <c r="N6" s="18"/>
      <c r="O6" s="18"/>
      <c r="P6" s="18"/>
    </row>
    <row r="7" spans="2:16" ht="15">
      <c r="B7" s="23" t="s">
        <v>305</v>
      </c>
      <c r="C7" s="39">
        <f>Eligibilité_projet!B15</f>
        <v>0</v>
      </c>
      <c r="D7" s="39">
        <f>Eligibilité_projet!C15</f>
        <v>1</v>
      </c>
      <c r="E7" s="39">
        <f>Eligibilité_projet!D15</f>
        <v>0</v>
      </c>
      <c r="F7" s="39">
        <f>Eligibilité_projet!E15</f>
        <v>0</v>
      </c>
      <c r="G7" s="39">
        <f>Eligibilité_projet!F15</f>
        <v>0</v>
      </c>
      <c r="H7" s="39">
        <f>Eligibilité_projet!G15</f>
        <v>0</v>
      </c>
      <c r="I7" s="39">
        <f>Eligibilité_projet!H15</f>
        <v>0</v>
      </c>
      <c r="J7" s="39">
        <f>Eligibilité_projet!I15</f>
        <v>0</v>
      </c>
      <c r="K7" s="39">
        <f>Eligibilité_projet!J15</f>
        <v>0</v>
      </c>
      <c r="L7" s="39">
        <f>Eligibilité_projet!K15</f>
        <v>0</v>
      </c>
      <c r="M7" s="39">
        <f>SUM(C7:L7)</f>
        <v>1</v>
      </c>
      <c r="N7" s="18"/>
      <c r="O7" s="18"/>
      <c r="P7" s="18"/>
    </row>
    <row r="8" spans="2:16" ht="30">
      <c r="B8" s="23" t="s">
        <v>297</v>
      </c>
      <c r="C8" s="39">
        <f>Eligibilité_projet!B14</f>
        <v>0</v>
      </c>
      <c r="D8" s="39">
        <f>Eligibilité_projet!C14</f>
        <v>20</v>
      </c>
      <c r="E8" s="39">
        <f>Eligibilité_projet!D14</f>
        <v>0</v>
      </c>
      <c r="F8" s="39">
        <f>Eligibilité_projet!E14</f>
        <v>0</v>
      </c>
      <c r="G8" s="39">
        <f>Eligibilité_projet!F14</f>
        <v>0</v>
      </c>
      <c r="H8" s="39">
        <f>Eligibilité_projet!G14</f>
        <v>0</v>
      </c>
      <c r="I8" s="39">
        <f>Eligibilité_projet!H14</f>
        <v>0</v>
      </c>
      <c r="J8" s="39">
        <f>Eligibilité_projet!I14</f>
        <v>0</v>
      </c>
      <c r="K8" s="39">
        <f>Eligibilité_projet!J14</f>
        <v>0</v>
      </c>
      <c r="L8" s="39">
        <f>Eligibilité_projet!K14</f>
        <v>0</v>
      </c>
      <c r="M8" s="39">
        <f>SUM(C8:L8)</f>
        <v>20</v>
      </c>
      <c r="N8" s="18"/>
      <c r="O8" s="18"/>
      <c r="P8" s="18"/>
    </row>
    <row r="9" spans="2:16" ht="15">
      <c r="B9" s="38" t="s">
        <v>298</v>
      </c>
      <c r="C9" s="38">
        <f>((C6-C5)+('(ne pas modifier) BDD_REF'!$B$276*C7*C8))*Eligibilité_projet!B8*44/12</f>
        <v>0</v>
      </c>
      <c r="D9" s="38">
        <f>((D6-D5)+('(ne pas modifier) BDD_REF'!$B$276*D7*D8))*Eligibilité_projet!C8*44/12</f>
        <v>18.076666666666668</v>
      </c>
      <c r="E9" s="38">
        <f>((E6-E5)+('(ne pas modifier) BDD_REF'!$B$276*E7*E8))*Eligibilité_projet!D8*44/12</f>
        <v>0</v>
      </c>
      <c r="F9" s="38">
        <f>((F6-F5)+('(ne pas modifier) BDD_REF'!$B$276*F7*F8))*Eligibilité_projet!E8*44/12</f>
        <v>0</v>
      </c>
      <c r="G9" s="38">
        <f>((G6-G5)+('(ne pas modifier) BDD_REF'!$B$276*G7*G8))*Eligibilité_projet!F8*44/12</f>
        <v>0</v>
      </c>
      <c r="H9" s="38">
        <f>((H6-H5)+('(ne pas modifier) BDD_REF'!$B$276*H7*H8))*Eligibilité_projet!G8*44/12</f>
        <v>0</v>
      </c>
      <c r="I9" s="38">
        <f>((I6-I5)+('(ne pas modifier) BDD_REF'!$B$276*I7*I8))*Eligibilité_projet!H8*44/12</f>
        <v>0</v>
      </c>
      <c r="J9" s="38">
        <f>((J6-J5)+('(ne pas modifier) BDD_REF'!$B$276*J7*J8))*Eligibilité_projet!I8*44/12</f>
        <v>0</v>
      </c>
      <c r="K9" s="38">
        <f>((K6-K5)+('(ne pas modifier) BDD_REF'!$B$276*K7*K8))*Eligibilité_projet!J8*44/12</f>
        <v>0</v>
      </c>
      <c r="L9" s="38">
        <f>((L6-L5)+('(ne pas modifier) BDD_REF'!$B$276*L7*L8))*Eligibilité_projet!K8*44/12</f>
        <v>0</v>
      </c>
      <c r="M9" s="38">
        <f>SUM(C9:L9)</f>
        <v>18.076666666666668</v>
      </c>
      <c r="N9" s="18"/>
      <c r="O9" s="18"/>
      <c r="P9" s="18"/>
    </row>
    <row r="10" spans="1:16" ht="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15">
      <c r="A11" s="18"/>
      <c r="B11" s="10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3" ht="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tabSelected="1" zoomScale="80" zoomScaleNormal="80" workbookViewId="0" topLeftCell="A1">
      <selection pane="topLeft" activeCell="A1" sqref="A1"/>
    </sheetView>
  </sheetViews>
  <sheetFormatPr defaultColWidth="11.4242857142857" defaultRowHeight="15"/>
  <cols>
    <col min="1" max="1" width="21.8571428571429" style="24" customWidth="1"/>
    <col min="2" max="2" width="44.4285714285714" style="24" customWidth="1"/>
    <col min="3" max="4" width="11.4285714285714" style="24"/>
    <col min="5" max="5" width="22.4285714285714" style="24" customWidth="1"/>
    <col min="6" max="16384" width="11.4285714285714" style="24"/>
  </cols>
  <sheetData>
    <row r="1" spans="4:6" ht="15">
      <c r="D1" s="18"/>
      <c r="E1" s="18"/>
      <c r="F1" s="18"/>
    </row>
    <row r="2" spans="2:6" ht="47.25" customHeight="1">
      <c r="B2" s="128" t="s">
        <v>333</v>
      </c>
      <c r="C2" s="130"/>
      <c r="D2" s="18"/>
      <c r="E2" s="18"/>
      <c r="F2" s="18"/>
    </row>
    <row r="3" spans="4:6" ht="15">
      <c r="D3" s="18"/>
      <c r="E3" s="18"/>
      <c r="F3" s="18"/>
    </row>
    <row r="4" spans="2:6" ht="15">
      <c r="B4" s="131" t="s">
        <v>142</v>
      </c>
      <c r="C4" s="132"/>
      <c r="D4" s="18"/>
      <c r="E4" s="18"/>
      <c r="F4" s="18"/>
    </row>
    <row r="5" spans="4:6" ht="15">
      <c r="D5" s="18"/>
      <c r="E5" s="18"/>
      <c r="F5" s="18"/>
    </row>
    <row r="6" spans="1:6" ht="45">
      <c r="A6" s="98" t="s">
        <v>304</v>
      </c>
      <c r="B6" s="19" t="s">
        <v>299</v>
      </c>
      <c r="C6" s="32" t="str">
        <f>IF(Eligibilité_projet!C2="NON","/",'RECeff + REIamont (1)'!L7)</f>
        <v>/</v>
      </c>
      <c r="D6" s="18"/>
      <c r="E6" s="18"/>
      <c r="F6" s="18"/>
    </row>
    <row r="7" spans="1:6" ht="15">
      <c r="A7" s="60" t="s">
        <v>143</v>
      </c>
      <c r="B7" s="19" t="s">
        <v>299</v>
      </c>
      <c r="C7" s="32">
        <f>IF(Eligibilité_projet!C2="OUI","/",'RECeff + REIamont (2)'!M144)</f>
        <v>-4.1956983555323255</v>
      </c>
      <c r="D7" s="18"/>
      <c r="E7" s="18"/>
      <c r="F7" s="18"/>
    </row>
    <row r="8" spans="1:6" ht="15">
      <c r="A8" s="33"/>
      <c r="B8" s="19" t="s">
        <v>199</v>
      </c>
      <c r="C8" s="32">
        <f>REIaval!M20</f>
        <v>0</v>
      </c>
      <c r="D8" s="18"/>
      <c r="E8" s="18"/>
      <c r="F8" s="18"/>
    </row>
    <row r="9" spans="1:6" ht="15">
      <c r="A9" s="18"/>
      <c r="B9" s="19" t="s">
        <v>300</v>
      </c>
      <c r="C9" s="32">
        <f>RECant_biom!M28</f>
        <v>10.644473015873015</v>
      </c>
      <c r="D9" s="18"/>
      <c r="E9" s="18"/>
      <c r="F9" s="18"/>
    </row>
    <row r="10" spans="1:6" ht="15">
      <c r="A10" s="18"/>
      <c r="B10" s="19" t="s">
        <v>298</v>
      </c>
      <c r="C10" s="32">
        <f>RECant_sol!M9</f>
        <v>18.076666666666668</v>
      </c>
      <c r="D10" s="18"/>
      <c r="E10" s="18"/>
      <c r="F10" s="18"/>
    </row>
    <row r="11" spans="1:6" ht="15">
      <c r="A11" s="18"/>
      <c r="B11" s="36" t="s">
        <v>301</v>
      </c>
      <c r="C11" s="61">
        <f>SUM(IF(Eligibilité_projet!C2="OUI",-C6,-C7),-C8,C10,C9)</f>
        <v>32.916838038072008</v>
      </c>
      <c r="D11" s="18"/>
      <c r="E11" s="18"/>
      <c r="F11" s="18"/>
    </row>
    <row r="12" spans="1:6" ht="15">
      <c r="A12" s="18"/>
      <c r="D12" s="18"/>
      <c r="E12" s="18"/>
      <c r="F12" s="18"/>
    </row>
    <row r="13" spans="1:6" ht="15">
      <c r="A13" s="18"/>
      <c r="B13" s="131" t="s">
        <v>350</v>
      </c>
      <c r="C13" s="132"/>
      <c r="D13" s="18"/>
      <c r="E13" s="18"/>
      <c r="F13" s="18"/>
    </row>
    <row r="14" spans="1:6" ht="15">
      <c r="A14" s="18"/>
      <c r="D14" s="18"/>
      <c r="E14" s="18"/>
      <c r="F14" s="18"/>
    </row>
    <row r="15" spans="1:6" ht="15">
      <c r="A15" s="18"/>
      <c r="B15" s="19" t="s">
        <v>299</v>
      </c>
      <c r="C15" s="122">
        <f>IF(Eligibilité_projet!C2="OUI",C6*(1-0.15),C7)</f>
        <v>-4.1956983555323255</v>
      </c>
      <c r="D15" s="18"/>
      <c r="E15" s="18"/>
      <c r="F15" s="18"/>
    </row>
    <row r="16" spans="1:6" ht="15">
      <c r="A16" s="18"/>
      <c r="B16" s="19" t="s">
        <v>199</v>
      </c>
      <c r="C16" s="122">
        <f>C8</f>
        <v>0</v>
      </c>
      <c r="D16" s="18"/>
      <c r="E16" s="18"/>
      <c r="F16" s="18"/>
    </row>
    <row r="17" spans="1:6" ht="15">
      <c r="A17" s="18"/>
      <c r="B17" s="121" t="s">
        <v>300</v>
      </c>
      <c r="C17" s="32">
        <f>C9*(1-0.1)</f>
        <v>9.5800257142857141</v>
      </c>
      <c r="D17" s="18"/>
      <c r="E17" s="18"/>
      <c r="F17" s="18"/>
    </row>
    <row r="18" spans="1:6" ht="15">
      <c r="A18" s="18"/>
      <c r="B18" s="121" t="s">
        <v>298</v>
      </c>
      <c r="C18" s="32">
        <f>RE!C10</f>
        <v>18.076666666666668</v>
      </c>
      <c r="D18" s="18"/>
      <c r="E18" s="18"/>
      <c r="F18" s="18"/>
    </row>
    <row r="19" spans="1:6" ht="15">
      <c r="A19" s="18"/>
      <c r="B19" s="19" t="s">
        <v>349</v>
      </c>
      <c r="C19" s="122">
        <f>(C17+C18)*0.9</f>
        <v>24.891023142857144</v>
      </c>
      <c r="D19" s="18"/>
      <c r="E19" s="18"/>
      <c r="F19" s="18"/>
    </row>
    <row r="20" spans="1:6" ht="15">
      <c r="A20" s="18"/>
      <c r="B20" s="36" t="s">
        <v>301</v>
      </c>
      <c r="C20" s="123">
        <f>SUM(-C15,-C16,C19)</f>
        <v>29.086721498389469</v>
      </c>
      <c r="D20" s="18"/>
      <c r="E20" s="18"/>
      <c r="F20" s="18"/>
    </row>
    <row r="21" spans="1:2" ht="15">
      <c r="A21" s="18"/>
      <c r="B21" s="18"/>
    </row>
    <row r="23" s="52" customFormat="1" ht="15" hidden="1"/>
    <row r="24" s="52" customFormat="1" ht="15" hidden="1"/>
    <row r="25" s="52" customFormat="1" ht="1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zoomScale="70" zoomScaleNormal="70" workbookViewId="0" topLeftCell="A169">
      <selection pane="topLeft" activeCell="A173" sqref="A173"/>
    </sheetView>
  </sheetViews>
  <sheetFormatPr defaultColWidth="11.4242857142857" defaultRowHeight="15"/>
  <cols>
    <col min="1" max="1" width="72.8571428571429" style="24" customWidth="1"/>
    <col min="2" max="2" width="41" style="24" customWidth="1"/>
    <col min="3" max="3" width="44.7142857142857" style="24" customWidth="1"/>
    <col min="4" max="4" width="28.5714285714286" style="24" customWidth="1"/>
    <col min="5" max="5" width="24.5714285714286" style="24" customWidth="1"/>
    <col min="6" max="6" width="28.8571428571429" style="24" customWidth="1"/>
    <col min="7" max="7" width="22.2857142857143" style="24" customWidth="1"/>
    <col min="8" max="8" width="19.1428571428571" style="24" customWidth="1"/>
    <col min="9" max="9" width="21.8571428571429" style="24" customWidth="1"/>
    <col min="10" max="10" width="19.4285714285714" style="24" customWidth="1"/>
    <col min="11" max="11" width="25.1428571428571" style="24" customWidth="1"/>
    <col min="12" max="16384" width="11.4285714285714" style="24"/>
  </cols>
  <sheetData>
    <row r="1" spans="1:8" ht="15">
      <c r="A1" s="66" t="s">
        <v>23</v>
      </c>
      <c r="B1" s="67" t="s">
        <v>22</v>
      </c>
      <c r="C1" s="67" t="s">
        <v>8</v>
      </c>
      <c r="D1" s="67" t="s">
        <v>25</v>
      </c>
      <c r="E1" s="68" t="s">
        <v>24</v>
      </c>
      <c r="F1" s="52"/>
      <c r="G1" s="52"/>
      <c r="H1" s="69"/>
    </row>
    <row r="2" spans="1:5" ht="15" customHeight="1">
      <c r="A2" s="70" t="s">
        <v>21</v>
      </c>
      <c r="B2" s="70" t="s">
        <v>6</v>
      </c>
      <c r="C2" s="57" t="s">
        <v>0</v>
      </c>
      <c r="D2" s="57" t="str">
        <f t="shared" si="0" ref="D2:D10">CONCATENATE(B2," - ",C2)</f>
        <v>Hors climat Mediterranéen - Grandes cultures</v>
      </c>
      <c r="E2" s="57">
        <v>52</v>
      </c>
    </row>
    <row r="3" spans="1:5" ht="15">
      <c r="A3" s="70" t="s">
        <v>21</v>
      </c>
      <c r="B3" s="70" t="s">
        <v>6</v>
      </c>
      <c r="C3" s="57" t="s">
        <v>1</v>
      </c>
      <c r="D3" s="57" t="str">
        <f t="shared" si="0"/>
        <v>Hors climat Mediterranéen - Prairies permanentes</v>
      </c>
      <c r="E3" s="57">
        <v>85</v>
      </c>
    </row>
    <row r="4" spans="1:5" ht="15">
      <c r="A4" s="70" t="s">
        <v>21</v>
      </c>
      <c r="B4" s="70" t="s">
        <v>6</v>
      </c>
      <c r="C4" s="57" t="s">
        <v>2</v>
      </c>
      <c r="D4" s="57" t="str">
        <f t="shared" si="0"/>
        <v>Hors climat Mediterranéen - Viticulture</v>
      </c>
      <c r="E4" s="57">
        <v>34</v>
      </c>
    </row>
    <row r="5" spans="1:5" ht="15">
      <c r="A5" s="70" t="s">
        <v>21</v>
      </c>
      <c r="B5" s="70" t="s">
        <v>6</v>
      </c>
      <c r="C5" s="57" t="s">
        <v>3</v>
      </c>
      <c r="D5" s="57" t="str">
        <f t="shared" si="0"/>
        <v>Hors climat Mediterranéen - Vergers</v>
      </c>
      <c r="E5" s="57">
        <v>47</v>
      </c>
    </row>
    <row r="6" spans="1:5" ht="15" customHeight="1">
      <c r="A6" s="70" t="s">
        <v>21</v>
      </c>
      <c r="B6" s="70" t="s">
        <v>5</v>
      </c>
      <c r="C6" s="57" t="s">
        <v>0</v>
      </c>
      <c r="D6" s="57" t="str">
        <f t="shared" si="0"/>
        <v>Climat Sec Mediterranéen - Grandes cultures</v>
      </c>
      <c r="E6" s="57">
        <v>43.10</v>
      </c>
    </row>
    <row r="7" spans="1:5" ht="15">
      <c r="A7" s="70" t="s">
        <v>21</v>
      </c>
      <c r="B7" s="70" t="s">
        <v>5</v>
      </c>
      <c r="C7" s="57">
        <f>IF(Eligibilité_projet!B13="",'(ne pas modifier) BDD_REF'!B235:E235)</f>
        <v>0</v>
      </c>
      <c r="D7" s="57" t="str">
        <f t="shared" si="0"/>
        <v>Climat Sec Mediterranéen - 0</v>
      </c>
      <c r="E7" s="57">
        <v>49.50</v>
      </c>
    </row>
    <row r="8" spans="1:5" ht="15">
      <c r="A8" s="70" t="s">
        <v>21</v>
      </c>
      <c r="B8" s="70" t="s">
        <v>5</v>
      </c>
      <c r="C8" s="57" t="s">
        <v>2</v>
      </c>
      <c r="D8" s="57" t="str">
        <f t="shared" si="0"/>
        <v>Climat Sec Mediterranéen - Viticulture</v>
      </c>
      <c r="E8" s="57">
        <v>34.299999999999997</v>
      </c>
    </row>
    <row r="9" spans="1:5" ht="15">
      <c r="A9" s="70" t="s">
        <v>21</v>
      </c>
      <c r="B9" s="70" t="s">
        <v>5</v>
      </c>
      <c r="C9" s="57" t="s">
        <v>3</v>
      </c>
      <c r="D9" s="57" t="str">
        <f t="shared" si="0"/>
        <v>Climat Sec Mediterranéen - Vergers</v>
      </c>
      <c r="E9" s="57">
        <v>41.50</v>
      </c>
    </row>
    <row r="10" spans="1:5" ht="15">
      <c r="A10" s="70" t="s">
        <v>21</v>
      </c>
      <c r="B10" s="70" t="s">
        <v>5</v>
      </c>
      <c r="C10" s="57" t="s">
        <v>4</v>
      </c>
      <c r="D10" s="57" t="str">
        <f t="shared" si="0"/>
        <v>Climat Sec Mediterranéen - Friche herbacée</v>
      </c>
      <c r="E10" s="57">
        <v>52.70</v>
      </c>
    </row>
    <row r="11" spans="1:5" ht="15">
      <c r="A11" s="70" t="s">
        <v>7</v>
      </c>
      <c r="B11" s="70" t="s">
        <v>6</v>
      </c>
      <c r="C11" s="57" t="s">
        <v>0</v>
      </c>
      <c r="D11" s="57" t="str">
        <f>CONCATENATE(B11," - ",C11)</f>
        <v>Hors climat Mediterranéen - Grandes cultures</v>
      </c>
      <c r="E11" s="57">
        <f>(E5-E2)/20</f>
        <v>-0.25</v>
      </c>
    </row>
    <row r="12" spans="1:7" ht="15">
      <c r="A12" s="70" t="s">
        <v>7</v>
      </c>
      <c r="B12" s="70" t="s">
        <v>6</v>
      </c>
      <c r="C12" s="57" t="s">
        <v>1</v>
      </c>
      <c r="D12" s="57" t="str">
        <f t="shared" si="1" ref="D12:D17">CONCATENATE(B12," - ",C12)</f>
        <v>Hors climat Mediterranéen - Prairies permanentes</v>
      </c>
      <c r="E12" s="71">
        <f>(E5-E3)/20</f>
        <v>-1.90</v>
      </c>
      <c r="F12" s="72"/>
      <c r="G12" s="72"/>
    </row>
    <row r="13" spans="1:7" ht="15">
      <c r="A13" s="70" t="s">
        <v>7</v>
      </c>
      <c r="B13" s="70" t="s">
        <v>6</v>
      </c>
      <c r="C13" s="57" t="s">
        <v>2</v>
      </c>
      <c r="D13" s="57" t="str">
        <f t="shared" si="1"/>
        <v>Hors climat Mediterranéen - Viticulture</v>
      </c>
      <c r="E13" s="71">
        <f>(E5-E4)/20</f>
        <v>0.65</v>
      </c>
      <c r="F13" s="72"/>
      <c r="G13" s="72"/>
    </row>
    <row r="14" spans="1:7" ht="15">
      <c r="A14" s="70" t="s">
        <v>7</v>
      </c>
      <c r="B14" s="70" t="s">
        <v>5</v>
      </c>
      <c r="C14" s="57" t="s">
        <v>0</v>
      </c>
      <c r="D14" s="57" t="str">
        <f t="shared" si="1"/>
        <v>Climat Sec Mediterranéen - Grandes cultures</v>
      </c>
      <c r="E14" s="71">
        <f>(E9-E6)/20</f>
        <v>-0.080000000000000071</v>
      </c>
      <c r="F14" s="72"/>
      <c r="G14" s="73"/>
    </row>
    <row r="15" spans="1:7" ht="15">
      <c r="A15" s="70" t="s">
        <v>7</v>
      </c>
      <c r="B15" s="70" t="s">
        <v>5</v>
      </c>
      <c r="C15" s="57" t="s">
        <v>1</v>
      </c>
      <c r="D15" s="57" t="str">
        <f t="shared" si="1"/>
        <v>Climat Sec Mediterranéen - Prairies permanentes</v>
      </c>
      <c r="E15" s="71">
        <f>(E9-E7)/20</f>
        <v>-0.40</v>
      </c>
      <c r="F15" s="72"/>
      <c r="G15" s="73"/>
    </row>
    <row r="16" spans="1:7" ht="15">
      <c r="A16" s="70" t="s">
        <v>7</v>
      </c>
      <c r="B16" s="70" t="s">
        <v>5</v>
      </c>
      <c r="C16" s="57" t="s">
        <v>2</v>
      </c>
      <c r="D16" s="57" t="str">
        <f t="shared" si="1"/>
        <v>Climat Sec Mediterranéen - Viticulture</v>
      </c>
      <c r="E16" s="71">
        <f>(E9-E8)/20</f>
        <v>0.36000000000000015</v>
      </c>
      <c r="F16" s="72"/>
      <c r="G16" s="73"/>
    </row>
    <row r="17" spans="1:7" ht="15">
      <c r="A17" s="70" t="s">
        <v>7</v>
      </c>
      <c r="B17" s="70" t="s">
        <v>5</v>
      </c>
      <c r="C17" s="57" t="s">
        <v>4</v>
      </c>
      <c r="D17" s="57" t="str">
        <f t="shared" si="1"/>
        <v>Climat Sec Mediterranéen - Friche herbacée</v>
      </c>
      <c r="E17" s="71">
        <f>(E9-E10)/20</f>
        <v>-0.56000000000000016</v>
      </c>
      <c r="F17" s="72"/>
      <c r="G17" s="73"/>
    </row>
    <row r="18" spans="5:7" ht="15">
      <c r="E18" s="72"/>
      <c r="F18" s="72"/>
      <c r="G18" s="72"/>
    </row>
    <row r="20" spans="1:4" ht="15">
      <c r="A20" s="74" t="s">
        <v>28</v>
      </c>
      <c r="B20" s="74" t="s">
        <v>29</v>
      </c>
      <c r="C20" s="74" t="s">
        <v>67</v>
      </c>
      <c r="D20" s="74" t="s">
        <v>30</v>
      </c>
    </row>
    <row r="21" spans="1:4" ht="15">
      <c r="A21" s="57" t="s">
        <v>31</v>
      </c>
      <c r="B21" s="57" t="s">
        <v>32</v>
      </c>
      <c r="C21" s="57" t="str">
        <f>CONCATENATE(A21," - ",B21)</f>
        <v>Abricotier - Gobelet</v>
      </c>
      <c r="D21" s="57">
        <v>300</v>
      </c>
    </row>
    <row r="22" spans="1:4" ht="15">
      <c r="A22" s="57" t="s">
        <v>33</v>
      </c>
      <c r="B22" s="57" t="s">
        <v>32</v>
      </c>
      <c r="C22" s="57" t="str">
        <f t="shared" si="2" ref="C22:C42">CONCATENATE(A22," - ",B22)</f>
        <v>Amandier - Gobelet</v>
      </c>
      <c r="D22" s="57">
        <v>150</v>
      </c>
    </row>
    <row r="23" spans="1:4" ht="15">
      <c r="A23" s="57" t="s">
        <v>34</v>
      </c>
      <c r="B23" s="57" t="s">
        <v>35</v>
      </c>
      <c r="C23" s="57" t="str">
        <f t="shared" si="2"/>
        <v>Cerisier de table - Axe</v>
      </c>
      <c r="D23" s="57">
        <v>600</v>
      </c>
    </row>
    <row r="24" spans="1:4" ht="15">
      <c r="A24" s="57" t="s">
        <v>36</v>
      </c>
      <c r="B24" s="57" t="s">
        <v>32</v>
      </c>
      <c r="C24" s="57" t="str">
        <f t="shared" si="2"/>
        <v>Cerisier - Gobelet</v>
      </c>
      <c r="D24" s="57">
        <v>150</v>
      </c>
    </row>
    <row r="25" spans="1:4" ht="15">
      <c r="A25" s="57" t="s">
        <v>37</v>
      </c>
      <c r="B25" s="57" t="s">
        <v>38</v>
      </c>
      <c r="C25" s="57" t="str">
        <f t="shared" si="2"/>
        <v>Châtaignier - Plein vent</v>
      </c>
      <c r="D25" s="57">
        <v>40</v>
      </c>
    </row>
    <row r="26" spans="1:4" ht="15">
      <c r="A26" s="57" t="s">
        <v>39</v>
      </c>
      <c r="B26" s="57" t="s">
        <v>38</v>
      </c>
      <c r="C26" s="57" t="str">
        <f t="shared" si="2"/>
        <v>Clémentinier - Plein vent</v>
      </c>
      <c r="D26" s="57">
        <v>500</v>
      </c>
    </row>
    <row r="27" spans="1:4" ht="15">
      <c r="A27" s="57" t="s">
        <v>40</v>
      </c>
      <c r="B27" s="57" t="s">
        <v>32</v>
      </c>
      <c r="C27" s="57" t="str">
        <f t="shared" si="2"/>
        <v>Cognassier - Gobelet</v>
      </c>
      <c r="D27" s="57">
        <v>300</v>
      </c>
    </row>
    <row r="28" spans="1:4" ht="15">
      <c r="A28" s="57" t="s">
        <v>40</v>
      </c>
      <c r="B28" s="57" t="s">
        <v>35</v>
      </c>
      <c r="C28" s="57" t="str">
        <f t="shared" si="2"/>
        <v>Cognassier - Axe</v>
      </c>
      <c r="D28" s="57">
        <v>1000</v>
      </c>
    </row>
    <row r="29" spans="1:4" ht="15">
      <c r="A29" s="57" t="s">
        <v>41</v>
      </c>
      <c r="B29" s="57" t="s">
        <v>32</v>
      </c>
      <c r="C29" s="57" t="str">
        <f t="shared" si="2"/>
        <v>Figuier - Gobelet</v>
      </c>
      <c r="D29" s="57">
        <v>200</v>
      </c>
    </row>
    <row r="30" spans="1:4" ht="15">
      <c r="A30" s="57" t="s">
        <v>42</v>
      </c>
      <c r="B30" s="57" t="s">
        <v>43</v>
      </c>
      <c r="C30" s="57" t="str">
        <f t="shared" si="2"/>
        <v>Kiwi - T-Barre</v>
      </c>
      <c r="D30" s="57">
        <v>350</v>
      </c>
    </row>
    <row r="31" spans="1:4" ht="15">
      <c r="A31" s="57" t="s">
        <v>44</v>
      </c>
      <c r="B31" s="57" t="s">
        <v>32</v>
      </c>
      <c r="C31" s="57" t="str">
        <f t="shared" si="2"/>
        <v>Noisetier - Gobelet</v>
      </c>
      <c r="D31" s="57">
        <v>250</v>
      </c>
    </row>
    <row r="32" spans="1:4" ht="15">
      <c r="A32" s="57" t="s">
        <v>45</v>
      </c>
      <c r="B32" s="57" t="s">
        <v>38</v>
      </c>
      <c r="C32" s="57" t="str">
        <f t="shared" si="2"/>
        <v>Noyer - Plein vent</v>
      </c>
      <c r="D32" s="57">
        <v>50</v>
      </c>
    </row>
    <row r="33" spans="1:4" ht="15">
      <c r="A33" s="57" t="s">
        <v>46</v>
      </c>
      <c r="B33" s="57" t="s">
        <v>35</v>
      </c>
      <c r="C33" s="57" t="str">
        <f t="shared" si="2"/>
        <v>Pêcher - Axe</v>
      </c>
      <c r="D33" s="57">
        <v>1000</v>
      </c>
    </row>
    <row r="34" spans="1:4" ht="15">
      <c r="A34" s="57" t="s">
        <v>46</v>
      </c>
      <c r="B34" s="57" t="s">
        <v>47</v>
      </c>
      <c r="C34" s="57" t="str">
        <f t="shared" si="2"/>
        <v>Pêcher - Upsilon</v>
      </c>
      <c r="D34" s="57">
        <v>500</v>
      </c>
    </row>
    <row r="35" spans="1:4" ht="15">
      <c r="A35" s="57" t="s">
        <v>46</v>
      </c>
      <c r="B35" s="57" t="s">
        <v>48</v>
      </c>
      <c r="C35" s="57" t="str">
        <f t="shared" si="2"/>
        <v>Pêcher - Palmette</v>
      </c>
      <c r="D35" s="57">
        <v>500</v>
      </c>
    </row>
    <row r="36" spans="1:4" ht="15">
      <c r="A36" s="57" t="s">
        <v>46</v>
      </c>
      <c r="B36" s="57" t="s">
        <v>32</v>
      </c>
      <c r="C36" s="57" t="str">
        <f t="shared" si="2"/>
        <v>Pêcher - Gobelet</v>
      </c>
      <c r="D36" s="57">
        <v>350</v>
      </c>
    </row>
    <row r="37" spans="1:4" ht="15">
      <c r="A37" s="57" t="s">
        <v>49</v>
      </c>
      <c r="B37" s="57" t="s">
        <v>35</v>
      </c>
      <c r="C37" s="57" t="str">
        <f t="shared" si="2"/>
        <v>Poirier - Axe</v>
      </c>
      <c r="D37" s="57">
        <v>1000</v>
      </c>
    </row>
    <row r="38" spans="1:4" ht="15">
      <c r="A38" s="57" t="s">
        <v>49</v>
      </c>
      <c r="B38" s="57" t="s">
        <v>32</v>
      </c>
      <c r="C38" s="57" t="str">
        <f t="shared" si="2"/>
        <v>Poirier - Gobelet</v>
      </c>
      <c r="D38" s="57">
        <v>300</v>
      </c>
    </row>
    <row r="39" spans="1:4" ht="15">
      <c r="A39" s="57" t="s">
        <v>50</v>
      </c>
      <c r="B39" s="57" t="s">
        <v>35</v>
      </c>
      <c r="C39" s="57" t="str">
        <f t="shared" si="2"/>
        <v>Pommier - Axe</v>
      </c>
      <c r="D39" s="57">
        <v>1000</v>
      </c>
    </row>
    <row r="40" spans="1:4" ht="15">
      <c r="A40" s="57" t="s">
        <v>50</v>
      </c>
      <c r="B40" s="57" t="s">
        <v>32</v>
      </c>
      <c r="C40" s="57" t="str">
        <f t="shared" si="2"/>
        <v>Pommier - Gobelet</v>
      </c>
      <c r="D40" s="57">
        <v>300</v>
      </c>
    </row>
    <row r="41" spans="1:4" ht="15">
      <c r="A41" s="57" t="s">
        <v>51</v>
      </c>
      <c r="B41" s="57" t="s">
        <v>35</v>
      </c>
      <c r="C41" s="57" t="str">
        <f t="shared" si="2"/>
        <v>Prunier de table - Axe</v>
      </c>
      <c r="D41" s="57">
        <v>1000</v>
      </c>
    </row>
    <row r="42" spans="1:4" ht="15">
      <c r="A42" s="57" t="s">
        <v>51</v>
      </c>
      <c r="B42" s="57" t="s">
        <v>32</v>
      </c>
      <c r="C42" s="57" t="str">
        <f t="shared" si="2"/>
        <v>Prunier de table - Gobelet</v>
      </c>
      <c r="D42" s="57">
        <v>300</v>
      </c>
    </row>
    <row r="44" spans="2:7" ht="15.75">
      <c r="B44" s="133" t="s">
        <v>5</v>
      </c>
      <c r="C44" s="134"/>
      <c r="D44" s="135"/>
      <c r="E44" s="133" t="s">
        <v>69</v>
      </c>
      <c r="F44" s="134"/>
      <c r="G44" s="135"/>
    </row>
    <row r="45" spans="1:7" ht="36">
      <c r="A45" s="75" t="s">
        <v>54</v>
      </c>
      <c r="B45" s="76" t="s">
        <v>55</v>
      </c>
      <c r="C45" s="67" t="s">
        <v>56</v>
      </c>
      <c r="D45" s="77" t="s">
        <v>57</v>
      </c>
      <c r="E45" s="76" t="s">
        <v>55</v>
      </c>
      <c r="F45" s="67" t="s">
        <v>56</v>
      </c>
      <c r="G45" s="77" t="s">
        <v>57</v>
      </c>
    </row>
    <row r="46" spans="1:7" ht="15">
      <c r="A46" s="57">
        <v>1</v>
      </c>
      <c r="B46" s="57">
        <v>2.40</v>
      </c>
      <c r="C46" s="57">
        <v>9.90</v>
      </c>
      <c r="D46" s="57">
        <f>B46-C46</f>
        <v>-7.50</v>
      </c>
      <c r="E46" s="57">
        <v>2.70</v>
      </c>
      <c r="F46" s="57">
        <v>5</v>
      </c>
      <c r="G46" s="57">
        <f>E46-F46</f>
        <v>-2.2999999999999998</v>
      </c>
    </row>
    <row r="47" spans="1:7" ht="15">
      <c r="A47" s="57">
        <v>2</v>
      </c>
      <c r="B47" s="57">
        <v>3.72</v>
      </c>
      <c r="C47" s="57">
        <v>9.90</v>
      </c>
      <c r="D47" s="57">
        <f t="shared" si="3" ref="D47:D65">B47-C47</f>
        <v>-6.18</v>
      </c>
      <c r="E47" s="57">
        <v>4.20</v>
      </c>
      <c r="F47" s="57">
        <v>5</v>
      </c>
      <c r="G47" s="57">
        <f t="shared" si="4" ref="G47:G65">E47-F47</f>
        <v>-0.79999999999999982</v>
      </c>
    </row>
    <row r="48" spans="1:7" ht="15">
      <c r="A48" s="57">
        <v>3</v>
      </c>
      <c r="B48" s="57">
        <v>5.04</v>
      </c>
      <c r="C48" s="57">
        <v>9.90</v>
      </c>
      <c r="D48" s="57">
        <f t="shared" si="3"/>
        <v>-4.8600000000000003</v>
      </c>
      <c r="E48" s="57">
        <v>5.60</v>
      </c>
      <c r="F48" s="57">
        <v>5</v>
      </c>
      <c r="G48" s="57">
        <f t="shared" si="4"/>
        <v>0.59999999999999964</v>
      </c>
    </row>
    <row r="49" spans="1:7" ht="15">
      <c r="A49" s="57">
        <v>4</v>
      </c>
      <c r="B49" s="57">
        <v>6.36</v>
      </c>
      <c r="C49" s="57">
        <v>9.90</v>
      </c>
      <c r="D49" s="57">
        <f t="shared" si="3"/>
        <v>-3.54</v>
      </c>
      <c r="E49" s="57">
        <v>7.10</v>
      </c>
      <c r="F49" s="57">
        <v>5</v>
      </c>
      <c r="G49" s="57">
        <f t="shared" si="4"/>
        <v>2.0999999999999996</v>
      </c>
    </row>
    <row r="50" spans="1:7" ht="15">
      <c r="A50" s="57">
        <v>5</v>
      </c>
      <c r="B50" s="57">
        <v>6.60</v>
      </c>
      <c r="C50" s="57">
        <v>9.90</v>
      </c>
      <c r="D50" s="57">
        <f t="shared" si="3"/>
        <v>-3.3000000000000007</v>
      </c>
      <c r="E50" s="57">
        <v>7.40</v>
      </c>
      <c r="F50" s="57">
        <v>5</v>
      </c>
      <c r="G50" s="57">
        <f t="shared" si="4"/>
        <v>2.4000000000000004</v>
      </c>
    </row>
    <row r="51" spans="1:7" ht="15">
      <c r="A51" s="57">
        <v>6</v>
      </c>
      <c r="B51" s="57">
        <v>7.70</v>
      </c>
      <c r="C51" s="57">
        <v>9.90</v>
      </c>
      <c r="D51" s="57">
        <f t="shared" si="3"/>
        <v>-2.2000000000000002</v>
      </c>
      <c r="E51" s="57">
        <v>8.60</v>
      </c>
      <c r="F51" s="57">
        <v>5</v>
      </c>
      <c r="G51" s="57">
        <f t="shared" si="4"/>
        <v>3.5999999999999996</v>
      </c>
    </row>
    <row r="52" spans="1:7" ht="15">
      <c r="A52" s="57">
        <v>7</v>
      </c>
      <c r="B52" s="57">
        <v>8.8000000000000007</v>
      </c>
      <c r="C52" s="57">
        <v>9.90</v>
      </c>
      <c r="D52" s="57">
        <f t="shared" si="3"/>
        <v>-1.0999999999999996</v>
      </c>
      <c r="E52" s="57">
        <v>9.8000000000000007</v>
      </c>
      <c r="F52" s="57">
        <v>5</v>
      </c>
      <c r="G52" s="57">
        <f t="shared" si="4"/>
        <v>4.8000000000000007</v>
      </c>
    </row>
    <row r="53" spans="1:7" ht="15">
      <c r="A53" s="57">
        <v>8</v>
      </c>
      <c r="B53" s="57">
        <v>9.90</v>
      </c>
      <c r="C53" s="57">
        <v>9.90</v>
      </c>
      <c r="D53" s="57">
        <f t="shared" si="3"/>
        <v>0</v>
      </c>
      <c r="E53" s="57">
        <v>11.10</v>
      </c>
      <c r="F53" s="57">
        <v>5</v>
      </c>
      <c r="G53" s="57">
        <f t="shared" si="4"/>
        <v>6.10</v>
      </c>
    </row>
    <row r="54" spans="1:7" ht="15">
      <c r="A54" s="57">
        <v>9</v>
      </c>
      <c r="B54" s="57">
        <v>11</v>
      </c>
      <c r="C54" s="57">
        <v>9.90</v>
      </c>
      <c r="D54" s="57">
        <f t="shared" si="3"/>
        <v>1.0999999999999996</v>
      </c>
      <c r="E54" s="57">
        <v>12.30</v>
      </c>
      <c r="F54" s="57">
        <v>5</v>
      </c>
      <c r="G54" s="57">
        <f t="shared" si="4"/>
        <v>7.3000000000000007</v>
      </c>
    </row>
    <row r="55" spans="1:7" ht="15">
      <c r="A55" s="57">
        <v>10</v>
      </c>
      <c r="B55" s="57">
        <v>12.10</v>
      </c>
      <c r="C55" s="57">
        <v>9.90</v>
      </c>
      <c r="D55" s="57">
        <f t="shared" si="3"/>
        <v>2.1999999999999993</v>
      </c>
      <c r="E55" s="57">
        <v>13.50</v>
      </c>
      <c r="F55" s="57">
        <v>5</v>
      </c>
      <c r="G55" s="57">
        <f t="shared" si="4"/>
        <v>8.50</v>
      </c>
    </row>
    <row r="56" spans="1:7" ht="15">
      <c r="A56" s="57">
        <v>11</v>
      </c>
      <c r="B56" s="57">
        <v>12.46</v>
      </c>
      <c r="C56" s="57">
        <v>9.90</v>
      </c>
      <c r="D56" s="57">
        <f t="shared" si="3"/>
        <v>2.5600000000000005</v>
      </c>
      <c r="E56" s="57">
        <v>13.90</v>
      </c>
      <c r="F56" s="57">
        <v>5</v>
      </c>
      <c r="G56" s="57">
        <f t="shared" si="4"/>
        <v>8.90</v>
      </c>
    </row>
    <row r="57" spans="1:7" ht="15">
      <c r="A57" s="57">
        <v>12</v>
      </c>
      <c r="B57" s="57">
        <v>12.82</v>
      </c>
      <c r="C57" s="57">
        <v>9.90</v>
      </c>
      <c r="D57" s="57">
        <f t="shared" si="3"/>
        <v>2.92</v>
      </c>
      <c r="E57" s="57">
        <v>14.30</v>
      </c>
      <c r="F57" s="57">
        <v>5</v>
      </c>
      <c r="G57" s="57">
        <f t="shared" si="4"/>
        <v>9.3000000000000007</v>
      </c>
    </row>
    <row r="58" spans="1:7" ht="15">
      <c r="A58" s="57">
        <v>13</v>
      </c>
      <c r="B58" s="57">
        <v>13.18</v>
      </c>
      <c r="C58" s="57">
        <v>9.90</v>
      </c>
      <c r="D58" s="57">
        <f t="shared" si="3"/>
        <v>3.2799999999999994</v>
      </c>
      <c r="E58" s="57">
        <v>14.70</v>
      </c>
      <c r="F58" s="57">
        <v>5</v>
      </c>
      <c r="G58" s="57">
        <f t="shared" si="4"/>
        <v>9.6999999999999993</v>
      </c>
    </row>
    <row r="59" spans="1:7" ht="15">
      <c r="A59" s="57">
        <v>14</v>
      </c>
      <c r="B59" s="57">
        <v>13.54</v>
      </c>
      <c r="C59" s="57">
        <v>9.90</v>
      </c>
      <c r="D59" s="57">
        <f t="shared" si="3"/>
        <v>3.6399999999999988</v>
      </c>
      <c r="E59" s="57">
        <v>15.10</v>
      </c>
      <c r="F59" s="57">
        <v>5</v>
      </c>
      <c r="G59" s="57">
        <f t="shared" si="4"/>
        <v>10.10</v>
      </c>
    </row>
    <row r="60" spans="1:7" ht="15">
      <c r="A60" s="57">
        <v>15</v>
      </c>
      <c r="B60" s="57">
        <v>13.90</v>
      </c>
      <c r="C60" s="57">
        <v>9.90</v>
      </c>
      <c r="D60" s="57">
        <f t="shared" si="3"/>
        <v>4</v>
      </c>
      <c r="E60" s="57">
        <v>15.60</v>
      </c>
      <c r="F60" s="57">
        <v>5</v>
      </c>
      <c r="G60" s="57">
        <f t="shared" si="4"/>
        <v>10.60</v>
      </c>
    </row>
    <row r="61" spans="1:7" ht="15">
      <c r="A61" s="57">
        <v>16</v>
      </c>
      <c r="B61" s="57">
        <v>13.98</v>
      </c>
      <c r="C61" s="57">
        <v>9.90</v>
      </c>
      <c r="D61" s="57">
        <f t="shared" si="3"/>
        <v>4.08</v>
      </c>
      <c r="E61" s="57">
        <v>15.60</v>
      </c>
      <c r="F61" s="57">
        <v>5</v>
      </c>
      <c r="G61" s="57">
        <f t="shared" si="4"/>
        <v>10.60</v>
      </c>
    </row>
    <row r="62" spans="1:7" ht="15">
      <c r="A62" s="57">
        <v>17</v>
      </c>
      <c r="B62" s="57">
        <v>14.06</v>
      </c>
      <c r="C62" s="57">
        <v>9.90</v>
      </c>
      <c r="D62" s="57">
        <f t="shared" si="3"/>
        <v>4.16</v>
      </c>
      <c r="E62" s="57">
        <v>15.70</v>
      </c>
      <c r="F62" s="57">
        <v>5</v>
      </c>
      <c r="G62" s="57">
        <f t="shared" si="4"/>
        <v>10.70</v>
      </c>
    </row>
    <row r="63" spans="1:7" ht="15">
      <c r="A63" s="57">
        <v>18</v>
      </c>
      <c r="B63" s="57">
        <v>14.14</v>
      </c>
      <c r="C63" s="57">
        <v>9.90</v>
      </c>
      <c r="D63" s="57">
        <f t="shared" si="3"/>
        <v>4.24</v>
      </c>
      <c r="E63" s="57">
        <v>15.80</v>
      </c>
      <c r="F63" s="57">
        <v>5</v>
      </c>
      <c r="G63" s="57">
        <f t="shared" si="4"/>
        <v>10.80</v>
      </c>
    </row>
    <row r="64" spans="1:7" ht="15">
      <c r="A64" s="57">
        <v>19</v>
      </c>
      <c r="B64" s="57">
        <v>14.22</v>
      </c>
      <c r="C64" s="57">
        <v>9.90</v>
      </c>
      <c r="D64" s="57">
        <f t="shared" si="3"/>
        <v>4.3200000000000003</v>
      </c>
      <c r="E64" s="57">
        <v>15.90</v>
      </c>
      <c r="F64" s="57">
        <v>5</v>
      </c>
      <c r="G64" s="57">
        <f t="shared" si="4"/>
        <v>10.90</v>
      </c>
    </row>
    <row r="65" spans="1:7" ht="15">
      <c r="A65" s="57">
        <v>20</v>
      </c>
      <c r="B65" s="57">
        <v>14.30</v>
      </c>
      <c r="C65" s="57">
        <v>9.90</v>
      </c>
      <c r="D65" s="57">
        <f t="shared" si="3"/>
        <v>4.4000000000000004</v>
      </c>
      <c r="E65" s="57">
        <v>16</v>
      </c>
      <c r="F65" s="57">
        <v>5</v>
      </c>
      <c r="G65" s="57">
        <f t="shared" si="4"/>
        <v>11</v>
      </c>
    </row>
    <row r="67" spans="1:5" ht="15.75">
      <c r="A67" s="78" t="s">
        <v>52</v>
      </c>
      <c r="B67" s="78" t="s">
        <v>8</v>
      </c>
      <c r="C67" s="78" t="s">
        <v>70</v>
      </c>
      <c r="D67" s="78" t="s">
        <v>58</v>
      </c>
      <c r="E67" s="78" t="s">
        <v>53</v>
      </c>
    </row>
    <row r="68" spans="1:5" ht="15">
      <c r="A68" s="79">
        <v>10</v>
      </c>
      <c r="B68" s="57" t="s">
        <v>0</v>
      </c>
      <c r="C68" s="70" t="s">
        <v>5</v>
      </c>
      <c r="D68" s="57" t="str">
        <f>CONCATENATE(A68," - ",B68,"-",C68)</f>
        <v>10 - Grandes cultures-Climat Sec Mediterranéen</v>
      </c>
      <c r="E68" s="80">
        <f>SUM(B$46:B$55)/11</f>
        <v>6.6927272727272715</v>
      </c>
    </row>
    <row r="69" spans="1:5" ht="15">
      <c r="A69" s="79">
        <v>11</v>
      </c>
      <c r="B69" s="57" t="s">
        <v>0</v>
      </c>
      <c r="C69" s="70" t="s">
        <v>5</v>
      </c>
      <c r="D69" s="57" t="str">
        <f t="shared" si="5" ref="D69:D100">CONCATENATE(A69," - ",B69,"-",C69)</f>
        <v>11 - Grandes cultures-Climat Sec Mediterranéen</v>
      </c>
      <c r="E69" s="80">
        <f>SUM(B$46:B$56)/12</f>
        <v>7.173333333333332</v>
      </c>
    </row>
    <row r="70" spans="1:5" ht="15">
      <c r="A70" s="79">
        <v>12</v>
      </c>
      <c r="B70" s="57" t="s">
        <v>0</v>
      </c>
      <c r="C70" s="70" t="s">
        <v>5</v>
      </c>
      <c r="D70" s="57" t="str">
        <f t="shared" si="5"/>
        <v>12 - Grandes cultures-Climat Sec Mediterranéen</v>
      </c>
      <c r="E70" s="80">
        <f>SUM(B$46:B$57)/(A70+1)</f>
        <v>7.6076923076923055</v>
      </c>
    </row>
    <row r="71" spans="1:5" ht="15">
      <c r="A71" s="79">
        <v>13</v>
      </c>
      <c r="B71" s="57" t="s">
        <v>0</v>
      </c>
      <c r="C71" s="70" t="s">
        <v>5</v>
      </c>
      <c r="D71" s="57" t="str">
        <f t="shared" si="5"/>
        <v>13 - Grandes cultures-Climat Sec Mediterranéen</v>
      </c>
      <c r="E71" s="80">
        <f>SUM(B$46:B$58)/14</f>
        <v>8.0057142857142853</v>
      </c>
    </row>
    <row r="72" spans="1:5" ht="15">
      <c r="A72" s="79">
        <v>14</v>
      </c>
      <c r="B72" s="57" t="s">
        <v>0</v>
      </c>
      <c r="C72" s="70" t="s">
        <v>5</v>
      </c>
      <c r="D72" s="57" t="str">
        <f t="shared" si="5"/>
        <v>14 - Grandes cultures-Climat Sec Mediterranéen</v>
      </c>
      <c r="E72" s="80">
        <f>SUM(B$46:B$59)/15</f>
        <v>8.3746666666666645</v>
      </c>
    </row>
    <row r="73" spans="1:5" ht="15">
      <c r="A73" s="79">
        <v>15</v>
      </c>
      <c r="B73" s="57" t="s">
        <v>0</v>
      </c>
      <c r="C73" s="70" t="s">
        <v>5</v>
      </c>
      <c r="D73" s="57" t="str">
        <f t="shared" si="5"/>
        <v>15 - Grandes cultures-Climat Sec Mediterranéen</v>
      </c>
      <c r="E73" s="80">
        <f>SUM(B$46:B$60)/16</f>
        <v>8.7199999999999989</v>
      </c>
    </row>
    <row r="74" spans="1:5" ht="15">
      <c r="A74" s="79">
        <v>16</v>
      </c>
      <c r="B74" s="57" t="s">
        <v>0</v>
      </c>
      <c r="C74" s="70" t="s">
        <v>5</v>
      </c>
      <c r="D74" s="57" t="str">
        <f t="shared" si="5"/>
        <v>16 - Grandes cultures-Climat Sec Mediterranéen</v>
      </c>
      <c r="E74" s="80">
        <f>SUM(B$46:B$61)/17</f>
        <v>9.0294117647058805</v>
      </c>
    </row>
    <row r="75" spans="1:5" ht="15">
      <c r="A75" s="79">
        <v>17</v>
      </c>
      <c r="B75" s="57" t="s">
        <v>0</v>
      </c>
      <c r="C75" s="70" t="s">
        <v>5</v>
      </c>
      <c r="D75" s="57" t="str">
        <f t="shared" si="5"/>
        <v>17 - Grandes cultures-Climat Sec Mediterranéen</v>
      </c>
      <c r="E75" s="80">
        <f>SUM(B$46:B$62)/18</f>
        <v>9.3088888888888874</v>
      </c>
    </row>
    <row r="76" spans="1:5" ht="15">
      <c r="A76" s="79">
        <v>18</v>
      </c>
      <c r="B76" s="57" t="s">
        <v>0</v>
      </c>
      <c r="C76" s="70" t="s">
        <v>5</v>
      </c>
      <c r="D76" s="57" t="str">
        <f t="shared" si="5"/>
        <v>18 - Grandes cultures-Climat Sec Mediterranéen</v>
      </c>
      <c r="E76" s="80">
        <f>SUM(B$46:B$63)/19</f>
        <v>9.5631578947368414</v>
      </c>
    </row>
    <row r="77" spans="1:5" ht="15">
      <c r="A77" s="79">
        <v>19</v>
      </c>
      <c r="B77" s="57" t="s">
        <v>0</v>
      </c>
      <c r="C77" s="70" t="s">
        <v>5</v>
      </c>
      <c r="D77" s="57" t="str">
        <f t="shared" si="5"/>
        <v>19 - Grandes cultures-Climat Sec Mediterranéen</v>
      </c>
      <c r="E77" s="80">
        <f>SUM(B$46:B$64)/20</f>
        <v>9.7959999999999994</v>
      </c>
    </row>
    <row r="78" spans="1:5" ht="15">
      <c r="A78" s="79">
        <v>20</v>
      </c>
      <c r="B78" s="57" t="s">
        <v>0</v>
      </c>
      <c r="C78" s="70" t="s">
        <v>5</v>
      </c>
      <c r="D78" s="57" t="str">
        <f t="shared" si="5"/>
        <v>20 - Grandes cultures-Climat Sec Mediterranéen</v>
      </c>
      <c r="E78" s="80">
        <f>SUM(B$46:B$65)/21</f>
        <v>10.01047619047619</v>
      </c>
    </row>
    <row r="79" spans="1:5" ht="15">
      <c r="A79" s="79">
        <v>10</v>
      </c>
      <c r="B79" s="57" t="s">
        <v>1</v>
      </c>
      <c r="C79" s="70" t="s">
        <v>5</v>
      </c>
      <c r="D79" s="57" t="str">
        <f t="shared" si="5"/>
        <v>10 - Prairies permanentes-Climat Sec Mediterranéen</v>
      </c>
      <c r="E79" s="80">
        <f>SUM(B$46:B$55)/11</f>
        <v>6.6927272727272715</v>
      </c>
    </row>
    <row r="80" spans="1:5" ht="15">
      <c r="A80" s="79">
        <v>11</v>
      </c>
      <c r="B80" s="57" t="s">
        <v>1</v>
      </c>
      <c r="C80" s="70" t="s">
        <v>5</v>
      </c>
      <c r="D80" s="57" t="str">
        <f t="shared" si="5"/>
        <v>11 - Prairies permanentes-Climat Sec Mediterranéen</v>
      </c>
      <c r="E80" s="80">
        <f>SUM(B$46:B$56)/12</f>
        <v>7.173333333333332</v>
      </c>
    </row>
    <row r="81" spans="1:5" ht="15">
      <c r="A81" s="79">
        <v>12</v>
      </c>
      <c r="B81" s="57" t="s">
        <v>1</v>
      </c>
      <c r="C81" s="70" t="s">
        <v>5</v>
      </c>
      <c r="D81" s="57" t="str">
        <f t="shared" si="5"/>
        <v>12 - Prairies permanentes-Climat Sec Mediterranéen</v>
      </c>
      <c r="E81" s="80">
        <f>SUM(B$46:B$57)/(A81+1)</f>
        <v>7.6076923076923055</v>
      </c>
    </row>
    <row r="82" spans="1:5" ht="15">
      <c r="A82" s="79">
        <v>13</v>
      </c>
      <c r="B82" s="57" t="s">
        <v>1</v>
      </c>
      <c r="C82" s="70" t="s">
        <v>5</v>
      </c>
      <c r="D82" s="57" t="str">
        <f t="shared" si="5"/>
        <v>13 - Prairies permanentes-Climat Sec Mediterranéen</v>
      </c>
      <c r="E82" s="80">
        <f>SUM(B$46:B$58)/14</f>
        <v>8.0057142857142853</v>
      </c>
    </row>
    <row r="83" spans="1:5" ht="15">
      <c r="A83" s="79">
        <v>14</v>
      </c>
      <c r="B83" s="57" t="s">
        <v>1</v>
      </c>
      <c r="C83" s="70" t="s">
        <v>5</v>
      </c>
      <c r="D83" s="57" t="str">
        <f t="shared" si="5"/>
        <v>14 - Prairies permanentes-Climat Sec Mediterranéen</v>
      </c>
      <c r="E83" s="80">
        <f>SUM(B$46:B$59)/15</f>
        <v>8.3746666666666645</v>
      </c>
    </row>
    <row r="84" spans="1:5" ht="15">
      <c r="A84" s="79">
        <v>15</v>
      </c>
      <c r="B84" s="57" t="s">
        <v>1</v>
      </c>
      <c r="C84" s="70" t="s">
        <v>5</v>
      </c>
      <c r="D84" s="57" t="str">
        <f t="shared" si="5"/>
        <v>15 - Prairies permanentes-Climat Sec Mediterranéen</v>
      </c>
      <c r="E84" s="80">
        <f>SUM(B$46:B$60)/16</f>
        <v>8.7199999999999989</v>
      </c>
    </row>
    <row r="85" spans="1:5" ht="15">
      <c r="A85" s="79">
        <v>16</v>
      </c>
      <c r="B85" s="57" t="s">
        <v>1</v>
      </c>
      <c r="C85" s="70" t="s">
        <v>5</v>
      </c>
      <c r="D85" s="57" t="str">
        <f t="shared" si="5"/>
        <v>16 - Prairies permanentes-Climat Sec Mediterranéen</v>
      </c>
      <c r="E85" s="80">
        <f>SUM(B$46:B$61)/17</f>
        <v>9.0294117647058805</v>
      </c>
    </row>
    <row r="86" spans="1:5" ht="15">
      <c r="A86" s="79">
        <v>17</v>
      </c>
      <c r="B86" s="57" t="s">
        <v>1</v>
      </c>
      <c r="C86" s="70" t="s">
        <v>5</v>
      </c>
      <c r="D86" s="57" t="str">
        <f t="shared" si="5"/>
        <v>17 - Prairies permanentes-Climat Sec Mediterranéen</v>
      </c>
      <c r="E86" s="80">
        <f>SUM(B$46:B$62)/18</f>
        <v>9.3088888888888874</v>
      </c>
    </row>
    <row r="87" spans="1:5" ht="15">
      <c r="A87" s="79">
        <v>18</v>
      </c>
      <c r="B87" s="57" t="s">
        <v>1</v>
      </c>
      <c r="C87" s="70" t="s">
        <v>5</v>
      </c>
      <c r="D87" s="57" t="str">
        <f t="shared" si="5"/>
        <v>18 - Prairies permanentes-Climat Sec Mediterranéen</v>
      </c>
      <c r="E87" s="80">
        <f>SUM(B$46:B$63)/19</f>
        <v>9.5631578947368414</v>
      </c>
    </row>
    <row r="88" spans="1:5" ht="15">
      <c r="A88" s="79">
        <v>19</v>
      </c>
      <c r="B88" s="57" t="s">
        <v>1</v>
      </c>
      <c r="C88" s="70" t="s">
        <v>5</v>
      </c>
      <c r="D88" s="57" t="str">
        <f t="shared" si="5"/>
        <v>19 - Prairies permanentes-Climat Sec Mediterranéen</v>
      </c>
      <c r="E88" s="80">
        <f>SUM(B$46:B$64)/20</f>
        <v>9.7959999999999994</v>
      </c>
    </row>
    <row r="89" spans="1:5" ht="15">
      <c r="A89" s="79">
        <v>20</v>
      </c>
      <c r="B89" s="57" t="s">
        <v>1</v>
      </c>
      <c r="C89" s="70" t="s">
        <v>5</v>
      </c>
      <c r="D89" s="57" t="str">
        <f t="shared" si="5"/>
        <v>20 - Prairies permanentes-Climat Sec Mediterranéen</v>
      </c>
      <c r="E89" s="80">
        <f>SUM(B$46:B$65)/21</f>
        <v>10.01047619047619</v>
      </c>
    </row>
    <row r="90" spans="1:5" ht="15">
      <c r="A90" s="79">
        <v>10</v>
      </c>
      <c r="B90" s="57" t="s">
        <v>2</v>
      </c>
      <c r="C90" s="70" t="s">
        <v>5</v>
      </c>
      <c r="D90" s="57" t="str">
        <f t="shared" si="5"/>
        <v>10 - Viticulture-Climat Sec Mediterranéen</v>
      </c>
      <c r="E90" s="80">
        <f>SUM(D46:D55)/11</f>
        <v>-2.3072727272727271</v>
      </c>
    </row>
    <row r="91" spans="1:5" ht="15">
      <c r="A91" s="79">
        <v>11</v>
      </c>
      <c r="B91" s="57" t="s">
        <v>2</v>
      </c>
      <c r="C91" s="70" t="s">
        <v>5</v>
      </c>
      <c r="D91" s="57" t="str">
        <f t="shared" si="5"/>
        <v>11 - Viticulture-Climat Sec Mediterranéen</v>
      </c>
      <c r="E91" s="80">
        <f>SUM(D46:D56)/12</f>
        <v>-1.9016666666666666</v>
      </c>
    </row>
    <row r="92" spans="1:5" ht="15">
      <c r="A92" s="79">
        <v>12</v>
      </c>
      <c r="B92" s="57" t="s">
        <v>2</v>
      </c>
      <c r="C92" s="70" t="s">
        <v>5</v>
      </c>
      <c r="D92" s="57" t="str">
        <f t="shared" si="5"/>
        <v>12 - Viticulture-Climat Sec Mediterranéen</v>
      </c>
      <c r="E92" s="80">
        <f>SUM(D46:D57)/13</f>
        <v>-1.5307692307692307</v>
      </c>
    </row>
    <row r="93" spans="1:5" ht="15">
      <c r="A93" s="79">
        <v>13</v>
      </c>
      <c r="B93" s="57" t="s">
        <v>2</v>
      </c>
      <c r="C93" s="70" t="s">
        <v>5</v>
      </c>
      <c r="D93" s="57" t="str">
        <f t="shared" si="5"/>
        <v>13 - Viticulture-Climat Sec Mediterranéen</v>
      </c>
      <c r="E93" s="80">
        <f>SUM(D46:D58)/14</f>
        <v>-1.1871428571428571</v>
      </c>
    </row>
    <row r="94" spans="1:5" ht="15">
      <c r="A94" s="79">
        <v>14</v>
      </c>
      <c r="B94" s="57" t="s">
        <v>2</v>
      </c>
      <c r="C94" s="70" t="s">
        <v>5</v>
      </c>
      <c r="D94" s="57" t="str">
        <f t="shared" si="5"/>
        <v>14 - Viticulture-Climat Sec Mediterranéen</v>
      </c>
      <c r="E94" s="80">
        <f>SUM(D46:D59)/15</f>
        <v>-0.86533333333333329</v>
      </c>
    </row>
    <row r="95" spans="1:5" ht="15">
      <c r="A95" s="79">
        <v>15</v>
      </c>
      <c r="B95" s="57" t="s">
        <v>2</v>
      </c>
      <c r="C95" s="70" t="s">
        <v>5</v>
      </c>
      <c r="D95" s="57" t="str">
        <f t="shared" si="5"/>
        <v>15 - Viticulture-Climat Sec Mediterranéen</v>
      </c>
      <c r="E95" s="80">
        <f>SUM(D46:D60)/16</f>
        <v>-0.56124999999999992</v>
      </c>
    </row>
    <row r="96" spans="1:5" ht="15">
      <c r="A96" s="79">
        <v>16</v>
      </c>
      <c r="B96" s="57" t="s">
        <v>2</v>
      </c>
      <c r="C96" s="70" t="s">
        <v>5</v>
      </c>
      <c r="D96" s="57" t="str">
        <f t="shared" si="5"/>
        <v>16 - Viticulture-Climat Sec Mediterranéen</v>
      </c>
      <c r="E96" s="80">
        <f>SUM(D46:D61)/17</f>
        <v>-0.28823529411764698</v>
      </c>
    </row>
    <row r="97" spans="1:5" ht="15">
      <c r="A97" s="79">
        <v>17</v>
      </c>
      <c r="B97" s="57" t="s">
        <v>2</v>
      </c>
      <c r="C97" s="70" t="s">
        <v>5</v>
      </c>
      <c r="D97" s="57" t="str">
        <f t="shared" si="5"/>
        <v>17 - Viticulture-Climat Sec Mediterranéen</v>
      </c>
      <c r="E97" s="80">
        <f>SUM(D46:D62)/18</f>
        <v>-0.041111111111111022</v>
      </c>
    </row>
    <row r="98" spans="1:5" ht="15">
      <c r="A98" s="79">
        <v>18</v>
      </c>
      <c r="B98" s="57" t="s">
        <v>2</v>
      </c>
      <c r="C98" s="70" t="s">
        <v>5</v>
      </c>
      <c r="D98" s="57" t="str">
        <f t="shared" si="5"/>
        <v>18 - Viticulture-Climat Sec Mediterranéen</v>
      </c>
      <c r="E98" s="80">
        <f>SUM(D46:D63)/19</f>
        <v>0.18421052631578957</v>
      </c>
    </row>
    <row r="99" spans="1:5" ht="15">
      <c r="A99" s="79">
        <v>19</v>
      </c>
      <c r="B99" s="57" t="s">
        <v>2</v>
      </c>
      <c r="C99" s="70" t="s">
        <v>5</v>
      </c>
      <c r="D99" s="57" t="str">
        <f t="shared" si="5"/>
        <v>19 - Viticulture-Climat Sec Mediterranéen</v>
      </c>
      <c r="E99" s="80">
        <f>SUM(D46:D64)/20</f>
        <v>0.39100000000000013</v>
      </c>
    </row>
    <row r="100" spans="1:5" ht="15">
      <c r="A100" s="79">
        <v>20</v>
      </c>
      <c r="B100" s="57" t="s">
        <v>2</v>
      </c>
      <c r="C100" s="70" t="s">
        <v>5</v>
      </c>
      <c r="D100" s="57" t="str">
        <f t="shared" si="5"/>
        <v>20 - Viticulture-Climat Sec Mediterranéen</v>
      </c>
      <c r="E100" s="80">
        <f>SUM(D46:D65)/21</f>
        <v>0.58190476190476204</v>
      </c>
    </row>
    <row r="101" spans="1:5" ht="15">
      <c r="A101" s="79">
        <v>10</v>
      </c>
      <c r="B101" s="57" t="s">
        <v>0</v>
      </c>
      <c r="C101" s="70" t="s">
        <v>6</v>
      </c>
      <c r="D101" s="57" t="str">
        <f>CONCATENATE(A101," - ",B101,"-",C101)</f>
        <v>10 - Grandes cultures-Hors climat Mediterranéen</v>
      </c>
      <c r="E101" s="80">
        <f>SUM(E$46:E$55)/11</f>
        <v>7.4818181818181833</v>
      </c>
    </row>
    <row r="102" spans="1:5" ht="15">
      <c r="A102" s="79">
        <v>11</v>
      </c>
      <c r="B102" s="57" t="s">
        <v>0</v>
      </c>
      <c r="C102" s="70" t="s">
        <v>6</v>
      </c>
      <c r="D102" s="57" t="str">
        <f t="shared" si="6" ref="D102:D133">CONCATENATE(A102," - ",B102,"-",C102)</f>
        <v>11 - Grandes cultures-Hors climat Mediterranéen</v>
      </c>
      <c r="E102" s="80">
        <f>SUM(E$46:E$56)/12</f>
        <v>8.0166666666666675</v>
      </c>
    </row>
    <row r="103" spans="1:5" ht="15">
      <c r="A103" s="79">
        <v>12</v>
      </c>
      <c r="B103" s="57" t="s">
        <v>0</v>
      </c>
      <c r="C103" s="70" t="s">
        <v>6</v>
      </c>
      <c r="D103" s="57" t="str">
        <f t="shared" si="6"/>
        <v>12 - Grandes cultures-Hors climat Mediterranéen</v>
      </c>
      <c r="E103" s="80">
        <f>SUM(E$46:E$57)/(A103+1)</f>
        <v>8.5000000000000018</v>
      </c>
    </row>
    <row r="104" spans="1:5" ht="15">
      <c r="A104" s="79">
        <v>13</v>
      </c>
      <c r="B104" s="57" t="s">
        <v>0</v>
      </c>
      <c r="C104" s="70" t="s">
        <v>6</v>
      </c>
      <c r="D104" s="57" t="str">
        <f t="shared" si="6"/>
        <v>13 - Grandes cultures-Hors climat Mediterranéen</v>
      </c>
      <c r="E104" s="80">
        <f>SUM(E$46:E$58)/14</f>
        <v>8.9428571428571448</v>
      </c>
    </row>
    <row r="105" spans="1:5" ht="15">
      <c r="A105" s="79">
        <v>14</v>
      </c>
      <c r="B105" s="57" t="s">
        <v>0</v>
      </c>
      <c r="C105" s="70" t="s">
        <v>6</v>
      </c>
      <c r="D105" s="57" t="str">
        <f t="shared" si="6"/>
        <v>14 - Grandes cultures-Hors climat Mediterranéen</v>
      </c>
      <c r="E105" s="80">
        <f>SUM(E$46:E$59)/15</f>
        <v>9.3533333333333335</v>
      </c>
    </row>
    <row r="106" spans="1:5" ht="15">
      <c r="A106" s="79">
        <v>15</v>
      </c>
      <c r="B106" s="57" t="s">
        <v>0</v>
      </c>
      <c r="C106" s="70" t="s">
        <v>6</v>
      </c>
      <c r="D106" s="57" t="str">
        <f t="shared" si="6"/>
        <v>15 - Grandes cultures-Hors climat Mediterranéen</v>
      </c>
      <c r="E106" s="80">
        <f>SUM(E$46:E$60)/16</f>
        <v>9.74375</v>
      </c>
    </row>
    <row r="107" spans="1:5" ht="15">
      <c r="A107" s="79">
        <v>16</v>
      </c>
      <c r="B107" s="57" t="s">
        <v>0</v>
      </c>
      <c r="C107" s="70" t="s">
        <v>6</v>
      </c>
      <c r="D107" s="57" t="str">
        <f t="shared" si="6"/>
        <v>16 - Grandes cultures-Hors climat Mediterranéen</v>
      </c>
      <c r="E107" s="80">
        <f>SUM(E$46:E$61)/17</f>
        <v>10.088235294117647</v>
      </c>
    </row>
    <row r="108" spans="1:5" ht="15">
      <c r="A108" s="79">
        <v>17</v>
      </c>
      <c r="B108" s="57" t="s">
        <v>0</v>
      </c>
      <c r="C108" s="70" t="s">
        <v>6</v>
      </c>
      <c r="D108" s="57" t="str">
        <f t="shared" si="6"/>
        <v>17 - Grandes cultures-Hors climat Mediterranéen</v>
      </c>
      <c r="E108" s="80">
        <f>SUM(E$46:E$62)/18</f>
        <v>10.40</v>
      </c>
    </row>
    <row r="109" spans="1:5" ht="15">
      <c r="A109" s="79">
        <v>18</v>
      </c>
      <c r="B109" s="57" t="s">
        <v>0</v>
      </c>
      <c r="C109" s="70" t="s">
        <v>6</v>
      </c>
      <c r="D109" s="57" t="str">
        <f t="shared" si="6"/>
        <v>18 - Grandes cultures-Hors climat Mediterranéen</v>
      </c>
      <c r="E109" s="80">
        <f>SUM(E$46:E$63)/19</f>
        <v>10.684210526315789</v>
      </c>
    </row>
    <row r="110" spans="1:5" ht="15">
      <c r="A110" s="79">
        <v>19</v>
      </c>
      <c r="B110" s="57" t="s">
        <v>0</v>
      </c>
      <c r="C110" s="70" t="s">
        <v>6</v>
      </c>
      <c r="D110" s="57" t="str">
        <f t="shared" si="6"/>
        <v>19 - Grandes cultures-Hors climat Mediterranéen</v>
      </c>
      <c r="E110" s="80">
        <f>SUM(E$46:E$64)/20</f>
        <v>10.945</v>
      </c>
    </row>
    <row r="111" spans="1:5" ht="15">
      <c r="A111" s="79">
        <v>20</v>
      </c>
      <c r="B111" s="57" t="s">
        <v>0</v>
      </c>
      <c r="C111" s="70" t="s">
        <v>6</v>
      </c>
      <c r="D111" s="57" t="str">
        <f t="shared" si="6"/>
        <v>20 - Grandes cultures-Hors climat Mediterranéen</v>
      </c>
      <c r="E111" s="80">
        <f>SUM(E$46:E$65)/21</f>
        <v>11.185714285714287</v>
      </c>
    </row>
    <row r="112" spans="1:5" ht="15">
      <c r="A112" s="79">
        <v>10</v>
      </c>
      <c r="B112" s="57" t="s">
        <v>1</v>
      </c>
      <c r="C112" s="70" t="s">
        <v>6</v>
      </c>
      <c r="D112" s="57" t="str">
        <f t="shared" si="6"/>
        <v>10 - Prairies permanentes-Hors climat Mediterranéen</v>
      </c>
      <c r="E112" s="80">
        <f>SUM(E$46:E$55)/11</f>
        <v>7.4818181818181833</v>
      </c>
    </row>
    <row r="113" spans="1:5" ht="15">
      <c r="A113" s="79">
        <v>11</v>
      </c>
      <c r="B113" s="57" t="s">
        <v>1</v>
      </c>
      <c r="C113" s="70" t="s">
        <v>6</v>
      </c>
      <c r="D113" s="57" t="str">
        <f t="shared" si="6"/>
        <v>11 - Prairies permanentes-Hors climat Mediterranéen</v>
      </c>
      <c r="E113" s="80">
        <f>SUM(E$46:E$56)/12</f>
        <v>8.0166666666666675</v>
      </c>
    </row>
    <row r="114" spans="1:5" ht="15">
      <c r="A114" s="79">
        <v>12</v>
      </c>
      <c r="B114" s="57" t="s">
        <v>1</v>
      </c>
      <c r="C114" s="70" t="s">
        <v>6</v>
      </c>
      <c r="D114" s="57" t="str">
        <f t="shared" si="6"/>
        <v>12 - Prairies permanentes-Hors climat Mediterranéen</v>
      </c>
      <c r="E114" s="80">
        <f>SUM(E$46:E$57)/(A114+1)</f>
        <v>8.5000000000000018</v>
      </c>
    </row>
    <row r="115" spans="1:5" ht="15">
      <c r="A115" s="79">
        <v>13</v>
      </c>
      <c r="B115" s="57" t="s">
        <v>1</v>
      </c>
      <c r="C115" s="70" t="s">
        <v>6</v>
      </c>
      <c r="D115" s="57" t="str">
        <f t="shared" si="6"/>
        <v>13 - Prairies permanentes-Hors climat Mediterranéen</v>
      </c>
      <c r="E115" s="80">
        <f>SUM(E$46:E$58)/14</f>
        <v>8.9428571428571448</v>
      </c>
    </row>
    <row r="116" spans="1:5" ht="15">
      <c r="A116" s="79">
        <v>14</v>
      </c>
      <c r="B116" s="57" t="s">
        <v>1</v>
      </c>
      <c r="C116" s="70" t="s">
        <v>6</v>
      </c>
      <c r="D116" s="57" t="str">
        <f t="shared" si="6"/>
        <v>14 - Prairies permanentes-Hors climat Mediterranéen</v>
      </c>
      <c r="E116" s="80">
        <f>SUM(E$46:E$59)/15</f>
        <v>9.3533333333333335</v>
      </c>
    </row>
    <row r="117" spans="1:5" ht="15">
      <c r="A117" s="79">
        <v>15</v>
      </c>
      <c r="B117" s="57" t="s">
        <v>1</v>
      </c>
      <c r="C117" s="70" t="s">
        <v>6</v>
      </c>
      <c r="D117" s="57" t="str">
        <f t="shared" si="6"/>
        <v>15 - Prairies permanentes-Hors climat Mediterranéen</v>
      </c>
      <c r="E117" s="80">
        <f>SUM(E$46:E$60)/16</f>
        <v>9.74375</v>
      </c>
    </row>
    <row r="118" spans="1:5" ht="15">
      <c r="A118" s="79">
        <v>16</v>
      </c>
      <c r="B118" s="57" t="s">
        <v>1</v>
      </c>
      <c r="C118" s="70" t="s">
        <v>6</v>
      </c>
      <c r="D118" s="57" t="str">
        <f t="shared" si="6"/>
        <v>16 - Prairies permanentes-Hors climat Mediterranéen</v>
      </c>
      <c r="E118" s="80">
        <f>SUM(E$46:E$61)/17</f>
        <v>10.088235294117647</v>
      </c>
    </row>
    <row r="119" spans="1:5" ht="15">
      <c r="A119" s="79">
        <v>17</v>
      </c>
      <c r="B119" s="57" t="s">
        <v>1</v>
      </c>
      <c r="C119" s="70" t="s">
        <v>6</v>
      </c>
      <c r="D119" s="57" t="str">
        <f t="shared" si="6"/>
        <v>17 - Prairies permanentes-Hors climat Mediterranéen</v>
      </c>
      <c r="E119" s="80">
        <f>SUM(E$46:E$62)/18</f>
        <v>10.40</v>
      </c>
    </row>
    <row r="120" spans="1:5" ht="15">
      <c r="A120" s="79">
        <v>18</v>
      </c>
      <c r="B120" s="57" t="s">
        <v>1</v>
      </c>
      <c r="C120" s="70" t="s">
        <v>6</v>
      </c>
      <c r="D120" s="57" t="str">
        <f t="shared" si="6"/>
        <v>18 - Prairies permanentes-Hors climat Mediterranéen</v>
      </c>
      <c r="E120" s="80">
        <f>SUM(E$46:E$63)/19</f>
        <v>10.684210526315789</v>
      </c>
    </row>
    <row r="121" spans="1:5" ht="15">
      <c r="A121" s="79">
        <v>19</v>
      </c>
      <c r="B121" s="57" t="s">
        <v>1</v>
      </c>
      <c r="C121" s="70" t="s">
        <v>6</v>
      </c>
      <c r="D121" s="57" t="str">
        <f t="shared" si="6"/>
        <v>19 - Prairies permanentes-Hors climat Mediterranéen</v>
      </c>
      <c r="E121" s="80">
        <f>SUM(E$46:E$64)/20</f>
        <v>10.945</v>
      </c>
    </row>
    <row r="122" spans="1:5" ht="15">
      <c r="A122" s="79">
        <v>20</v>
      </c>
      <c r="B122" s="57" t="s">
        <v>1</v>
      </c>
      <c r="C122" s="70" t="s">
        <v>6</v>
      </c>
      <c r="D122" s="57" t="str">
        <f t="shared" si="6"/>
        <v>20 - Prairies permanentes-Hors climat Mediterranéen</v>
      </c>
      <c r="E122" s="80">
        <f>SUM(E$46:E$65)/21</f>
        <v>11.185714285714287</v>
      </c>
    </row>
    <row r="123" spans="1:5" ht="15">
      <c r="A123" s="79">
        <v>10</v>
      </c>
      <c r="B123" s="57" t="s">
        <v>2</v>
      </c>
      <c r="C123" s="70" t="s">
        <v>6</v>
      </c>
      <c r="D123" s="57" t="str">
        <f t="shared" si="6"/>
        <v>10 - Viticulture-Hors climat Mediterranéen</v>
      </c>
      <c r="E123" s="80">
        <f>SUM(G$46:G$55)/11</f>
        <v>2.9363636363636361</v>
      </c>
    </row>
    <row r="124" spans="1:5" ht="15">
      <c r="A124" s="79">
        <v>11</v>
      </c>
      <c r="B124" s="57" t="s">
        <v>2</v>
      </c>
      <c r="C124" s="70" t="s">
        <v>6</v>
      </c>
      <c r="D124" s="57" t="str">
        <f t="shared" si="6"/>
        <v>11 - Viticulture-Hors climat Mediterranéen</v>
      </c>
      <c r="E124" s="80">
        <f>SUM(G$46:G$56)/12</f>
        <v>3.4333333333333331</v>
      </c>
    </row>
    <row r="125" spans="1:5" ht="15">
      <c r="A125" s="79">
        <v>12</v>
      </c>
      <c r="B125" s="57" t="s">
        <v>2</v>
      </c>
      <c r="C125" s="70" t="s">
        <v>6</v>
      </c>
      <c r="D125" s="57" t="str">
        <f t="shared" si="6"/>
        <v>12 - Viticulture-Hors climat Mediterranéen</v>
      </c>
      <c r="E125" s="80">
        <f>SUM(G$46:G$57)/(A125+1)</f>
        <v>3.8846153846153846</v>
      </c>
    </row>
    <row r="126" spans="1:5" ht="15">
      <c r="A126" s="79">
        <v>13</v>
      </c>
      <c r="B126" s="57" t="s">
        <v>2</v>
      </c>
      <c r="C126" s="70" t="s">
        <v>6</v>
      </c>
      <c r="D126" s="57" t="str">
        <f t="shared" si="6"/>
        <v>13 - Viticulture-Hors climat Mediterranéen</v>
      </c>
      <c r="E126" s="80">
        <f>SUM(G$46:G$58)/14</f>
        <v>4.30</v>
      </c>
    </row>
    <row r="127" spans="1:5" ht="15">
      <c r="A127" s="79">
        <v>14</v>
      </c>
      <c r="B127" s="57" t="s">
        <v>2</v>
      </c>
      <c r="C127" s="70" t="s">
        <v>6</v>
      </c>
      <c r="D127" s="57" t="str">
        <f t="shared" si="6"/>
        <v>14 - Viticulture-Hors climat Mediterranéen</v>
      </c>
      <c r="E127" s="80">
        <f>SUM(G$46:G$59)/15</f>
        <v>4.6866666666666665</v>
      </c>
    </row>
    <row r="128" spans="1:5" ht="15">
      <c r="A128" s="79">
        <v>15</v>
      </c>
      <c r="B128" s="57" t="s">
        <v>2</v>
      </c>
      <c r="C128" s="70" t="s">
        <v>6</v>
      </c>
      <c r="D128" s="57" t="str">
        <f t="shared" si="6"/>
        <v>15 - Viticulture-Hors climat Mediterranéen</v>
      </c>
      <c r="E128" s="80">
        <f>SUM(G$46:G$60)/16</f>
        <v>5.0562499999999995</v>
      </c>
    </row>
    <row r="129" spans="1:5" ht="15">
      <c r="A129" s="79">
        <v>16</v>
      </c>
      <c r="B129" s="57" t="s">
        <v>2</v>
      </c>
      <c r="C129" s="70" t="s">
        <v>6</v>
      </c>
      <c r="D129" s="57" t="str">
        <f t="shared" si="6"/>
        <v>16 - Viticulture-Hors climat Mediterranéen</v>
      </c>
      <c r="E129" s="80">
        <f>SUM(G$46:G$61)/17</f>
        <v>5.3823529411764701</v>
      </c>
    </row>
    <row r="130" spans="1:5" ht="15">
      <c r="A130" s="79">
        <v>17</v>
      </c>
      <c r="B130" s="57" t="s">
        <v>2</v>
      </c>
      <c r="C130" s="70" t="s">
        <v>6</v>
      </c>
      <c r="D130" s="57" t="str">
        <f t="shared" si="6"/>
        <v>17 - Viticulture-Hors climat Mediterranéen</v>
      </c>
      <c r="E130" s="80">
        <f>SUM(G$46:G$62)/18</f>
        <v>5.6777777777777771</v>
      </c>
    </row>
    <row r="131" spans="1:5" ht="15">
      <c r="A131" s="79">
        <v>18</v>
      </c>
      <c r="B131" s="57" t="s">
        <v>2</v>
      </c>
      <c r="C131" s="70" t="s">
        <v>6</v>
      </c>
      <c r="D131" s="57" t="str">
        <f t="shared" si="6"/>
        <v>18 - Viticulture-Hors climat Mediterranéen</v>
      </c>
      <c r="E131" s="80">
        <f>SUM(G$46:G$63)/19</f>
        <v>5.947368421052631</v>
      </c>
    </row>
    <row r="132" spans="1:5" ht="15">
      <c r="A132" s="79">
        <v>19</v>
      </c>
      <c r="B132" s="57" t="s">
        <v>2</v>
      </c>
      <c r="C132" s="70" t="s">
        <v>6</v>
      </c>
      <c r="D132" s="57" t="str">
        <f t="shared" si="6"/>
        <v>19 - Viticulture-Hors climat Mediterranéen</v>
      </c>
      <c r="E132" s="80">
        <f>SUM(G$46:G$64)/20</f>
        <v>6.1949999999999994</v>
      </c>
    </row>
    <row r="133" spans="1:5" ht="15">
      <c r="A133" s="79">
        <v>20</v>
      </c>
      <c r="B133" s="57" t="s">
        <v>2</v>
      </c>
      <c r="C133" s="70" t="s">
        <v>6</v>
      </c>
      <c r="D133" s="57" t="str">
        <f t="shared" si="6"/>
        <v>20 - Viticulture-Hors climat Mediterranéen</v>
      </c>
      <c r="E133" s="80">
        <f>SUM(G$46:G$65)/21</f>
        <v>6.4238095238095223</v>
      </c>
    </row>
    <row r="134" spans="1:3" ht="15">
      <c r="A134" s="81"/>
      <c r="C134" s="69"/>
    </row>
    <row r="135" spans="1:3" ht="15">
      <c r="A135" s="81"/>
      <c r="C135" s="69"/>
    </row>
    <row r="136" spans="1:3" ht="15.75">
      <c r="A136" s="78" t="s">
        <v>71</v>
      </c>
      <c r="B136" s="78" t="s">
        <v>127</v>
      </c>
      <c r="C136" s="69"/>
    </row>
    <row r="137" spans="1:3" ht="15">
      <c r="A137" s="79" t="s">
        <v>72</v>
      </c>
      <c r="B137" s="82">
        <v>3023.6659187519999</v>
      </c>
      <c r="C137" s="69"/>
    </row>
    <row r="138" spans="1:3" ht="15">
      <c r="A138" s="79" t="s">
        <v>73</v>
      </c>
      <c r="B138" s="82">
        <v>3462.3325584952004</v>
      </c>
      <c r="C138" s="69"/>
    </row>
    <row r="139" spans="1:3" ht="15">
      <c r="A139" s="79" t="s">
        <v>74</v>
      </c>
      <c r="B139" s="82">
        <v>1051.9666372200002</v>
      </c>
      <c r="C139" s="69"/>
    </row>
    <row r="140" spans="1:3" ht="15">
      <c r="A140" s="79" t="s">
        <v>75</v>
      </c>
      <c r="B140" s="82">
        <v>680.11092420000011</v>
      </c>
      <c r="C140" s="69"/>
    </row>
    <row r="141" spans="1:3" ht="15">
      <c r="A141" s="79" t="s">
        <v>76</v>
      </c>
      <c r="B141" s="82">
        <v>3969.2165201334001</v>
      </c>
      <c r="C141" s="69"/>
    </row>
    <row r="142" spans="1:3" ht="15">
      <c r="A142" s="79" t="s">
        <v>77</v>
      </c>
      <c r="B142" s="82">
        <v>3120.9100082900004</v>
      </c>
      <c r="C142" s="69"/>
    </row>
    <row r="143" spans="1:3" ht="15">
      <c r="A143" s="79" t="s">
        <v>78</v>
      </c>
      <c r="B143" s="82">
        <v>3118.3572501499998</v>
      </c>
      <c r="C143" s="69"/>
    </row>
    <row r="144" spans="1:3" ht="15">
      <c r="A144" s="79" t="s">
        <v>79</v>
      </c>
      <c r="B144" s="82">
        <v>2602.140331525</v>
      </c>
      <c r="C144" s="69"/>
    </row>
    <row r="145" spans="1:2" ht="15">
      <c r="A145" s="79" t="s">
        <v>80</v>
      </c>
      <c r="B145" s="82">
        <v>4557.9951523</v>
      </c>
    </row>
    <row r="146" spans="1:2" ht="15">
      <c r="A146" s="79" t="s">
        <v>81</v>
      </c>
      <c r="B146" s="82">
        <v>3047.448611238</v>
      </c>
    </row>
    <row r="147" spans="1:2" ht="15">
      <c r="A147" s="79" t="s">
        <v>82</v>
      </c>
      <c r="B147" s="82">
        <v>740.69039574999999</v>
      </c>
    </row>
    <row r="148" spans="1:2" ht="15">
      <c r="A148" s="79" t="s">
        <v>83</v>
      </c>
      <c r="B148" s="82">
        <v>897.80714540400004</v>
      </c>
    </row>
    <row r="149" spans="1:2" ht="15">
      <c r="A149" s="79" t="s">
        <v>84</v>
      </c>
      <c r="B149" s="82">
        <v>883.16209499700005</v>
      </c>
    </row>
    <row r="150" spans="1:2" ht="15">
      <c r="A150" s="79" t="s">
        <v>85</v>
      </c>
      <c r="B150" s="82">
        <v>1019.94225066</v>
      </c>
    </row>
    <row r="151" spans="1:2" ht="15">
      <c r="A151" s="79" t="s">
        <v>86</v>
      </c>
      <c r="B151" s="82">
        <v>889.46139315170001</v>
      </c>
    </row>
    <row r="152" spans="1:2" ht="15">
      <c r="A152" s="79" t="s">
        <v>87</v>
      </c>
      <c r="B152" s="82">
        <v>752.72081800977992</v>
      </c>
    </row>
    <row r="153" spans="1:2" ht="15">
      <c r="A153" s="79" t="s">
        <v>88</v>
      </c>
      <c r="B153" s="82">
        <v>946.9611047855999</v>
      </c>
    </row>
    <row r="154" spans="1:2" ht="15">
      <c r="A154" s="79" t="s">
        <v>89</v>
      </c>
      <c r="B154" s="82">
        <v>1074.1029483240002</v>
      </c>
    </row>
    <row r="155" spans="1:2" ht="15">
      <c r="A155" s="79" t="s">
        <v>90</v>
      </c>
      <c r="B155" s="82">
        <v>1420.210775454</v>
      </c>
    </row>
    <row r="156" spans="1:2" ht="15">
      <c r="A156" s="79" t="s">
        <v>91</v>
      </c>
      <c r="B156" s="82">
        <v>774.61553566148007</v>
      </c>
    </row>
    <row r="157" spans="1:2" ht="15">
      <c r="A157" s="79" t="s">
        <v>92</v>
      </c>
      <c r="B157" s="82">
        <v>765.12397890409</v>
      </c>
    </row>
    <row r="158" spans="1:2" ht="15">
      <c r="A158" s="79" t="s">
        <v>93</v>
      </c>
      <c r="B158" s="82">
        <v>1001.1849360304</v>
      </c>
    </row>
    <row r="159" spans="1:2" ht="15">
      <c r="A159" s="79" t="s">
        <v>94</v>
      </c>
      <c r="B159" s="82">
        <v>1279.8013208596001</v>
      </c>
    </row>
    <row r="160" spans="1:2" ht="15">
      <c r="A160" s="79" t="s">
        <v>95</v>
      </c>
      <c r="B160" s="82">
        <v>723.80564597088994</v>
      </c>
    </row>
    <row r="161" spans="1:2" ht="15">
      <c r="A161" s="79" t="s">
        <v>96</v>
      </c>
      <c r="B161" s="82">
        <v>1232.6787939830401</v>
      </c>
    </row>
    <row r="162" spans="1:2" ht="15">
      <c r="A162" s="79" t="s">
        <v>97</v>
      </c>
      <c r="B162" s="82">
        <v>1788.5815223822999</v>
      </c>
    </row>
    <row r="163" spans="1:2" ht="15">
      <c r="A163" s="79" t="s">
        <v>98</v>
      </c>
      <c r="B163" s="82">
        <v>626.40579813411489</v>
      </c>
    </row>
    <row r="164" spans="1:2" ht="15">
      <c r="A164" s="79" t="s">
        <v>99</v>
      </c>
      <c r="B164" s="82">
        <v>1886.3492469093001</v>
      </c>
    </row>
    <row r="165" spans="1:2" ht="15">
      <c r="A165" s="79" t="s">
        <v>100</v>
      </c>
      <c r="B165" s="82">
        <v>1245.7052980295</v>
      </c>
    </row>
    <row r="166" spans="1:2" ht="15">
      <c r="A166" s="79" t="s">
        <v>101</v>
      </c>
      <c r="B166" s="82">
        <v>1283.4653141729998</v>
      </c>
    </row>
    <row r="167" spans="1:2" ht="15">
      <c r="A167" s="79" t="s">
        <v>102</v>
      </c>
      <c r="B167" s="82">
        <v>1487.4535399215001</v>
      </c>
    </row>
    <row r="168" spans="1:2" ht="15">
      <c r="A168" s="79" t="s">
        <v>103</v>
      </c>
      <c r="B168" s="82">
        <v>1457.6311863044998</v>
      </c>
    </row>
    <row r="169" spans="1:2" ht="15">
      <c r="A169" s="79" t="s">
        <v>104</v>
      </c>
      <c r="B169" s="82">
        <v>1441.472337333</v>
      </c>
    </row>
    <row r="170" spans="1:2" ht="15">
      <c r="A170" s="79" t="s">
        <v>105</v>
      </c>
      <c r="B170" s="82">
        <v>2444.8047991999997</v>
      </c>
    </row>
    <row r="171" spans="1:2" ht="15">
      <c r="A171" s="79" t="s">
        <v>106</v>
      </c>
      <c r="B171" s="82">
        <v>3601.9636359103997</v>
      </c>
    </row>
    <row r="172" spans="1:2" ht="15">
      <c r="A172" s="79" t="s">
        <v>347</v>
      </c>
      <c r="B172" s="82">
        <f>25000*0.17</f>
        <v>4250</v>
      </c>
    </row>
    <row r="173" spans="1:2" ht="15">
      <c r="A173" s="79" t="s">
        <v>107</v>
      </c>
      <c r="B173" s="82">
        <v>2724.2246671013995</v>
      </c>
    </row>
    <row r="174" spans="1:2" ht="15">
      <c r="A174" s="79" t="s">
        <v>108</v>
      </c>
      <c r="B174" s="82">
        <v>2678.1548398122004</v>
      </c>
    </row>
    <row r="175" spans="1:2" ht="15">
      <c r="A175" s="79" t="s">
        <v>109</v>
      </c>
      <c r="B175" s="82">
        <v>925.39090928000007</v>
      </c>
    </row>
    <row r="176" spans="1:2" ht="15">
      <c r="A176" s="79" t="s">
        <v>110</v>
      </c>
      <c r="B176" s="82">
        <v>832.84025582999993</v>
      </c>
    </row>
    <row r="177" spans="1:2" ht="15">
      <c r="A177" s="79" t="s">
        <v>111</v>
      </c>
      <c r="B177" s="82">
        <v>3847.6402921410004</v>
      </c>
    </row>
    <row r="178" spans="1:2" ht="15">
      <c r="A178" s="79" t="s">
        <v>112</v>
      </c>
      <c r="B178" s="82">
        <v>3849.2868810089999</v>
      </c>
    </row>
    <row r="179" spans="1:2" ht="15">
      <c r="A179" s="79" t="s">
        <v>113</v>
      </c>
      <c r="B179" s="82">
        <v>3453.8088875220001</v>
      </c>
    </row>
    <row r="180" spans="1:2" ht="15">
      <c r="A180" s="79" t="s">
        <v>114</v>
      </c>
      <c r="B180" s="82">
        <v>3391.1981881470001</v>
      </c>
    </row>
    <row r="181" spans="1:2" ht="15">
      <c r="A181" s="79" t="s">
        <v>115</v>
      </c>
      <c r="B181" s="82">
        <v>3759.2860042549196</v>
      </c>
    </row>
    <row r="182" spans="1:2" ht="15">
      <c r="A182" s="79" t="s">
        <v>116</v>
      </c>
      <c r="B182" s="82">
        <v>2658.9292517203125</v>
      </c>
    </row>
    <row r="183" spans="1:2" ht="15">
      <c r="A183" s="79" t="s">
        <v>117</v>
      </c>
      <c r="B183" s="82">
        <v>4303.8993272226562</v>
      </c>
    </row>
    <row r="184" spans="1:2" ht="15">
      <c r="A184" s="79" t="s">
        <v>118</v>
      </c>
      <c r="B184" s="82">
        <v>4054.8428879156254</v>
      </c>
    </row>
    <row r="185" spans="1:2" ht="15">
      <c r="A185" s="79" t="s">
        <v>119</v>
      </c>
      <c r="B185" s="82">
        <v>3165.3350675625002</v>
      </c>
    </row>
    <row r="186" spans="1:2" ht="15">
      <c r="A186" s="79" t="s">
        <v>120</v>
      </c>
      <c r="B186" s="82">
        <v>21727.520374600001</v>
      </c>
    </row>
    <row r="187" spans="1:2" ht="15">
      <c r="A187" s="79" t="s">
        <v>121</v>
      </c>
      <c r="B187" s="82">
        <v>763729.18826415588</v>
      </c>
    </row>
    <row r="188" spans="1:2" ht="15">
      <c r="A188" s="79" t="s">
        <v>122</v>
      </c>
      <c r="B188" s="82">
        <v>28201.949841089998</v>
      </c>
    </row>
    <row r="189" spans="1:2" ht="15">
      <c r="A189" s="79" t="s">
        <v>123</v>
      </c>
      <c r="B189" s="82">
        <v>745475.31653372501</v>
      </c>
    </row>
    <row r="190" spans="1:2" ht="15">
      <c r="A190" s="79" t="s">
        <v>124</v>
      </c>
      <c r="B190" s="82">
        <v>1313.2063369499999</v>
      </c>
    </row>
    <row r="191" spans="1:2" ht="15">
      <c r="A191" s="79" t="s">
        <v>125</v>
      </c>
      <c r="B191" s="82">
        <v>864.20333642999981</v>
      </c>
    </row>
    <row r="192" spans="1:2" ht="15">
      <c r="A192" s="79" t="s">
        <v>126</v>
      </c>
      <c r="B192" s="82">
        <v>2605.9006745199999</v>
      </c>
    </row>
    <row r="194" spans="1:2" ht="15">
      <c r="A194" s="40" t="s">
        <v>71</v>
      </c>
      <c r="B194" s="83" t="s">
        <v>127</v>
      </c>
    </row>
    <row r="195" spans="1:2" ht="15">
      <c r="A195" s="24" t="s">
        <v>128</v>
      </c>
      <c r="B195" s="84">
        <v>5895.9797374104</v>
      </c>
    </row>
    <row r="196" spans="1:2" ht="15">
      <c r="A196" s="24" t="s">
        <v>129</v>
      </c>
      <c r="B196" s="84">
        <v>2576.2094178333336</v>
      </c>
    </row>
    <row r="197" spans="1:2" ht="15">
      <c r="A197" s="24" t="s">
        <v>130</v>
      </c>
      <c r="B197" s="84">
        <v>4062.9965796000001</v>
      </c>
    </row>
    <row r="198" spans="1:2" ht="15">
      <c r="A198" s="24" t="s">
        <v>131</v>
      </c>
      <c r="B198" s="84">
        <v>4011.4789508640006</v>
      </c>
    </row>
    <row r="199" spans="1:2" ht="15">
      <c r="A199" s="24" t="s">
        <v>132</v>
      </c>
      <c r="B199" s="84">
        <v>2682.7232290992001</v>
      </c>
    </row>
    <row r="200" spans="1:2" ht="15">
      <c r="A200" s="24" t="s">
        <v>133</v>
      </c>
      <c r="B200" s="84">
        <v>2548.7495763313045</v>
      </c>
    </row>
    <row r="201" spans="1:2" ht="15">
      <c r="A201" s="24" t="s">
        <v>134</v>
      </c>
      <c r="B201" s="84">
        <v>3366.7024762240003</v>
      </c>
    </row>
    <row r="202" spans="1:2" ht="15">
      <c r="A202" s="24" t="s">
        <v>135</v>
      </c>
      <c r="B202" s="84">
        <v>3370.0393371360001</v>
      </c>
    </row>
    <row r="203" spans="1:2" ht="15">
      <c r="A203" s="24" t="s">
        <v>136</v>
      </c>
      <c r="B203" s="84">
        <v>3392.0923222031997</v>
      </c>
    </row>
    <row r="204" spans="1:2" ht="15">
      <c r="A204" s="24" t="s">
        <v>137</v>
      </c>
      <c r="B204" s="84">
        <v>3141.3860726075795</v>
      </c>
    </row>
    <row r="206" spans="1:2" ht="15">
      <c r="A206" s="40" t="s">
        <v>172</v>
      </c>
      <c r="B206" s="40" t="s">
        <v>24</v>
      </c>
    </row>
    <row r="207" spans="1:2" ht="15">
      <c r="A207" s="24" t="s">
        <v>153</v>
      </c>
      <c r="B207" s="24">
        <v>0.016</v>
      </c>
    </row>
    <row r="208" spans="1:2" ht="15">
      <c r="A208" s="24" t="s">
        <v>152</v>
      </c>
      <c r="B208" s="24">
        <v>0.0060000000000000001</v>
      </c>
    </row>
    <row r="209" spans="1:2" ht="15">
      <c r="A209" s="24" t="s">
        <v>156</v>
      </c>
      <c r="B209" s="85">
        <v>0.01</v>
      </c>
    </row>
    <row r="210" spans="1:2" ht="15">
      <c r="A210" s="24" t="s">
        <v>158</v>
      </c>
      <c r="B210" s="85">
        <v>0.010999999999999999</v>
      </c>
    </row>
    <row r="211" spans="1:2" ht="15">
      <c r="A211" s="24" t="s">
        <v>174</v>
      </c>
      <c r="B211" s="85">
        <v>0.057000000000000002</v>
      </c>
    </row>
    <row r="212" spans="1:2" ht="15">
      <c r="A212" s="24" t="s">
        <v>176</v>
      </c>
      <c r="B212" s="85">
        <v>4.51</v>
      </c>
    </row>
    <row r="213" spans="1:2" ht="15">
      <c r="A213" s="24" t="s">
        <v>177</v>
      </c>
      <c r="B213" s="85">
        <v>1.45</v>
      </c>
    </row>
    <row r="214" spans="1:2" ht="15">
      <c r="A214" s="24" t="s">
        <v>178</v>
      </c>
      <c r="B214" s="85">
        <v>0.71</v>
      </c>
    </row>
    <row r="215" spans="1:2" ht="15">
      <c r="A215" s="86" t="s">
        <v>180</v>
      </c>
      <c r="B215" s="85">
        <v>6.0090000000000003</v>
      </c>
    </row>
    <row r="216" spans="1:2" ht="15">
      <c r="A216" s="86" t="s">
        <v>181</v>
      </c>
      <c r="B216" s="85">
        <v>8.9849999999999994</v>
      </c>
    </row>
    <row r="217" spans="1:2" ht="15">
      <c r="A217" s="86" t="s">
        <v>182</v>
      </c>
      <c r="B217" s="85">
        <v>25.134</v>
      </c>
    </row>
    <row r="218" spans="1:2" ht="15">
      <c r="A218" s="87" t="s">
        <v>183</v>
      </c>
      <c r="B218" s="85">
        <v>8.4779999999999998</v>
      </c>
    </row>
    <row r="219" spans="1:1" ht="15">
      <c r="A219" s="88"/>
    </row>
    <row r="220" spans="1:2" ht="15">
      <c r="A220" s="24" t="s">
        <v>154</v>
      </c>
      <c r="B220" s="24">
        <v>0.11</v>
      </c>
    </row>
    <row r="221" spans="1:2" ht="15">
      <c r="A221" s="24" t="s">
        <v>155</v>
      </c>
      <c r="B221" s="24">
        <v>0.21</v>
      </c>
    </row>
    <row r="222" spans="1:2" ht="15">
      <c r="A222" s="89" t="s">
        <v>157</v>
      </c>
      <c r="B222" s="24">
        <v>0.24</v>
      </c>
    </row>
    <row r="224" spans="1:5" ht="15">
      <c r="A224" s="40" t="s">
        <v>159</v>
      </c>
      <c r="B224" s="40" t="s">
        <v>160</v>
      </c>
      <c r="C224" s="40" t="s">
        <v>161</v>
      </c>
      <c r="D224" s="40" t="s">
        <v>162</v>
      </c>
      <c r="E224" s="40" t="s">
        <v>163</v>
      </c>
    </row>
    <row r="225" spans="1:5" ht="15">
      <c r="A225" s="24" t="s">
        <v>164</v>
      </c>
      <c r="B225" s="24" t="s">
        <v>165</v>
      </c>
      <c r="C225" s="24">
        <f>D225+E225</f>
        <v>3.0680000000000001</v>
      </c>
      <c r="D225" s="24">
        <v>2.6459999999999999</v>
      </c>
      <c r="E225" s="24">
        <v>0.42199999999999999</v>
      </c>
    </row>
    <row r="226" spans="1:5" ht="15">
      <c r="A226" s="24" t="s">
        <v>166</v>
      </c>
      <c r="B226" s="24" t="s">
        <v>165</v>
      </c>
      <c r="C226" s="24">
        <f t="shared" si="7" ref="C226:C230">D226+E226</f>
        <v>3.0709999999999997</v>
      </c>
      <c r="D226" s="24">
        <v>2.6459999999999999</v>
      </c>
      <c r="E226" s="24">
        <v>0.425</v>
      </c>
    </row>
    <row r="227" spans="1:5" ht="15">
      <c r="A227" s="24" t="s">
        <v>167</v>
      </c>
      <c r="B227" s="24" t="s">
        <v>165</v>
      </c>
      <c r="C227" s="24">
        <f t="shared" si="7"/>
        <v>3.286</v>
      </c>
      <c r="D227" s="24">
        <v>2.698</v>
      </c>
      <c r="E227" s="24">
        <v>0.58799999999999997</v>
      </c>
    </row>
    <row r="228" spans="1:5" ht="15">
      <c r="A228" s="24" t="s">
        <v>168</v>
      </c>
      <c r="B228" s="24" t="s">
        <v>169</v>
      </c>
      <c r="C228" s="24">
        <f t="shared" si="7"/>
        <v>3.4169999999999998</v>
      </c>
      <c r="D228" s="24">
        <v>2.827</v>
      </c>
      <c r="E228" s="24">
        <v>0.59</v>
      </c>
    </row>
    <row r="229" spans="1:5" ht="15">
      <c r="A229" s="24" t="s">
        <v>168</v>
      </c>
      <c r="B229" s="24" t="s">
        <v>170</v>
      </c>
      <c r="C229" s="24">
        <f t="shared" si="7"/>
        <v>0.24819999999999998</v>
      </c>
      <c r="D229" s="24">
        <v>0.20519999999999999</v>
      </c>
      <c r="E229" s="24">
        <v>0.042999999999999997</v>
      </c>
    </row>
    <row r="230" spans="1:5" ht="15">
      <c r="A230" s="24" t="s">
        <v>171</v>
      </c>
      <c r="B230" s="24" t="s">
        <v>169</v>
      </c>
      <c r="C230" s="24">
        <f t="shared" si="7"/>
        <v>3.5430000000000001</v>
      </c>
      <c r="D230" s="24">
        <v>2.944</v>
      </c>
      <c r="E230" s="24">
        <v>0.59899999999999998</v>
      </c>
    </row>
    <row r="232" spans="1:2" ht="15">
      <c r="A232" s="24" t="s">
        <v>187</v>
      </c>
      <c r="B232" s="24">
        <v>265</v>
      </c>
    </row>
    <row r="235" spans="1:5" ht="15" customHeight="1">
      <c r="A235" s="57"/>
      <c r="B235" s="57" t="s">
        <v>202</v>
      </c>
      <c r="C235" s="57"/>
      <c r="D235" s="57" t="s">
        <v>203</v>
      </c>
      <c r="E235" s="57"/>
    </row>
    <row r="236" spans="1:5" ht="18">
      <c r="A236" s="57" t="s">
        <v>204</v>
      </c>
      <c r="B236" s="57" t="s">
        <v>214</v>
      </c>
      <c r="C236" s="57" t="s">
        <v>205</v>
      </c>
      <c r="D236" s="57" t="s">
        <v>214</v>
      </c>
      <c r="E236" s="57" t="s">
        <v>205</v>
      </c>
    </row>
    <row r="237" spans="1:5" ht="15">
      <c r="A237" s="57" t="s">
        <v>0</v>
      </c>
      <c r="B237" s="57">
        <v>0</v>
      </c>
      <c r="C237" s="57" t="s">
        <v>206</v>
      </c>
      <c r="D237" s="57">
        <v>0</v>
      </c>
      <c r="E237" s="57" t="s">
        <v>206</v>
      </c>
    </row>
    <row r="238" spans="1:5" ht="15">
      <c r="A238" s="57" t="s">
        <v>1</v>
      </c>
      <c r="B238" s="57">
        <v>0</v>
      </c>
      <c r="C238" s="57" t="s">
        <v>206</v>
      </c>
      <c r="D238" s="57">
        <v>0</v>
      </c>
      <c r="E238" s="57" t="s">
        <v>206</v>
      </c>
    </row>
    <row r="239" spans="1:5" ht="15">
      <c r="A239" s="57" t="s">
        <v>2</v>
      </c>
      <c r="B239" s="57">
        <v>5</v>
      </c>
      <c r="C239" s="57" t="s">
        <v>207</v>
      </c>
      <c r="D239" s="57">
        <v>9.90</v>
      </c>
      <c r="E239" s="57" t="s">
        <v>208</v>
      </c>
    </row>
    <row r="240" spans="1:5" ht="15">
      <c r="A240" s="57" t="s">
        <v>209</v>
      </c>
      <c r="B240" s="57">
        <v>16</v>
      </c>
      <c r="C240" s="57" t="s">
        <v>207</v>
      </c>
      <c r="D240" s="57">
        <v>14.30</v>
      </c>
      <c r="E240" s="57" t="s">
        <v>208</v>
      </c>
    </row>
    <row r="242" spans="1:3" ht="15" customHeight="1">
      <c r="A242" s="57"/>
      <c r="B242" s="57" t="s">
        <v>202</v>
      </c>
      <c r="C242" s="57" t="s">
        <v>203</v>
      </c>
    </row>
    <row r="243" spans="1:3" ht="18.75" customHeight="1">
      <c r="A243" s="57" t="s">
        <v>212</v>
      </c>
      <c r="B243" s="57" t="s">
        <v>213</v>
      </c>
      <c r="C243" s="57" t="s">
        <v>213</v>
      </c>
    </row>
    <row r="244" spans="1:3" ht="15">
      <c r="A244" s="57">
        <v>1</v>
      </c>
      <c r="B244" s="57">
        <v>2.70</v>
      </c>
      <c r="C244" s="57">
        <v>2.40</v>
      </c>
    </row>
    <row r="245" spans="1:3" ht="15">
      <c r="A245" s="57">
        <v>2</v>
      </c>
      <c r="B245" s="57">
        <v>4.20</v>
      </c>
      <c r="C245" s="57">
        <v>3.72</v>
      </c>
    </row>
    <row r="246" spans="1:3" ht="15">
      <c r="A246" s="57">
        <v>3</v>
      </c>
      <c r="B246" s="57">
        <v>5.60</v>
      </c>
      <c r="C246" s="57">
        <v>5.04</v>
      </c>
    </row>
    <row r="247" spans="1:3" ht="15">
      <c r="A247" s="57">
        <v>4</v>
      </c>
      <c r="B247" s="57">
        <v>7.10</v>
      </c>
      <c r="C247" s="57">
        <v>6.36</v>
      </c>
    </row>
    <row r="248" spans="1:3" ht="15">
      <c r="A248" s="57">
        <v>5</v>
      </c>
      <c r="B248" s="57">
        <v>7.40</v>
      </c>
      <c r="C248" s="57">
        <v>6.60</v>
      </c>
    </row>
    <row r="249" spans="1:3" ht="15">
      <c r="A249" s="57">
        <v>6</v>
      </c>
      <c r="B249" s="57">
        <v>8.60</v>
      </c>
      <c r="C249" s="57">
        <v>7.70</v>
      </c>
    </row>
    <row r="250" spans="1:3" ht="15">
      <c r="A250" s="57">
        <v>7</v>
      </c>
      <c r="B250" s="57">
        <v>9.8000000000000007</v>
      </c>
      <c r="C250" s="57">
        <v>8.8000000000000007</v>
      </c>
    </row>
    <row r="251" spans="1:3" ht="15">
      <c r="A251" s="57">
        <v>8</v>
      </c>
      <c r="B251" s="57">
        <v>11.10</v>
      </c>
      <c r="C251" s="57">
        <v>9.90</v>
      </c>
    </row>
    <row r="252" spans="1:3" ht="15">
      <c r="A252" s="57">
        <v>9</v>
      </c>
      <c r="B252" s="57">
        <v>12.30</v>
      </c>
      <c r="C252" s="57">
        <v>11</v>
      </c>
    </row>
    <row r="253" spans="1:3" ht="15">
      <c r="A253" s="57">
        <v>10</v>
      </c>
      <c r="B253" s="57">
        <v>13.50</v>
      </c>
      <c r="C253" s="57">
        <v>12.10</v>
      </c>
    </row>
    <row r="254" spans="1:3" ht="15">
      <c r="A254" s="57">
        <v>11</v>
      </c>
      <c r="B254" s="57">
        <v>13.90</v>
      </c>
      <c r="C254" s="57">
        <v>12.46</v>
      </c>
    </row>
    <row r="255" spans="1:3" ht="15">
      <c r="A255" s="57">
        <v>12</v>
      </c>
      <c r="B255" s="57">
        <v>14.30</v>
      </c>
      <c r="C255" s="57">
        <v>12.82</v>
      </c>
    </row>
    <row r="256" spans="1:3" ht="15">
      <c r="A256" s="57">
        <v>13</v>
      </c>
      <c r="B256" s="57">
        <v>14.70</v>
      </c>
      <c r="C256" s="57">
        <v>13.18</v>
      </c>
    </row>
    <row r="257" spans="1:3" ht="15">
      <c r="A257" s="57">
        <v>14</v>
      </c>
      <c r="B257" s="57">
        <v>15.10</v>
      </c>
      <c r="C257" s="57">
        <v>13.54</v>
      </c>
    </row>
    <row r="258" spans="1:3" ht="15">
      <c r="A258" s="57">
        <v>15</v>
      </c>
      <c r="B258" s="57">
        <v>15.60</v>
      </c>
      <c r="C258" s="57">
        <v>13.90</v>
      </c>
    </row>
    <row r="259" spans="1:3" ht="15">
      <c r="A259" s="57">
        <v>16</v>
      </c>
      <c r="B259" s="57">
        <v>15.60</v>
      </c>
      <c r="C259" s="57">
        <v>13.98</v>
      </c>
    </row>
    <row r="260" spans="1:3" ht="15">
      <c r="A260" s="57">
        <v>17</v>
      </c>
      <c r="B260" s="57">
        <v>15.70</v>
      </c>
      <c r="C260" s="57">
        <v>14.06</v>
      </c>
    </row>
    <row r="261" spans="1:3" ht="15">
      <c r="A261" s="57">
        <v>18</v>
      </c>
      <c r="B261" s="57">
        <v>15.80</v>
      </c>
      <c r="C261" s="57">
        <v>14.14</v>
      </c>
    </row>
    <row r="262" spans="1:3" ht="15">
      <c r="A262" s="57">
        <v>19</v>
      </c>
      <c r="B262" s="57">
        <v>15.90</v>
      </c>
      <c r="C262" s="57">
        <v>14.22</v>
      </c>
    </row>
    <row r="263" spans="1:3" ht="15">
      <c r="A263" s="57">
        <v>20</v>
      </c>
      <c r="B263" s="57">
        <v>16</v>
      </c>
      <c r="C263" s="57">
        <v>14.30</v>
      </c>
    </row>
    <row r="265" spans="1:3" ht="15" customHeight="1">
      <c r="A265" s="57" t="s">
        <v>8</v>
      </c>
      <c r="B265" s="57" t="s">
        <v>219</v>
      </c>
      <c r="C265" s="57" t="s">
        <v>220</v>
      </c>
    </row>
    <row r="266" spans="1:3" ht="15">
      <c r="A266" s="57" t="s">
        <v>2</v>
      </c>
      <c r="B266" s="90">
        <v>34.299999999999997</v>
      </c>
      <c r="C266" s="90">
        <v>34</v>
      </c>
    </row>
    <row r="267" spans="1:3" ht="15">
      <c r="A267" s="57" t="s">
        <v>1</v>
      </c>
      <c r="B267" s="90">
        <v>49.50</v>
      </c>
      <c r="C267" s="90">
        <v>85</v>
      </c>
    </row>
    <row r="268" spans="1:3" ht="15">
      <c r="A268" s="57" t="s">
        <v>0</v>
      </c>
      <c r="B268" s="90">
        <v>43.10</v>
      </c>
      <c r="C268" s="90">
        <v>52</v>
      </c>
    </row>
    <row r="269" spans="1:3" ht="15">
      <c r="A269" s="57" t="s">
        <v>216</v>
      </c>
      <c r="B269" s="57" t="s">
        <v>217</v>
      </c>
      <c r="C269" s="57" t="s">
        <v>218</v>
      </c>
    </row>
    <row r="271" spans="1:3" ht="15" customHeight="1">
      <c r="A271" s="57" t="s">
        <v>8</v>
      </c>
      <c r="B271" s="57" t="s">
        <v>221</v>
      </c>
      <c r="C271" s="57" t="s">
        <v>220</v>
      </c>
    </row>
    <row r="272" spans="1:3" ht="15">
      <c r="A272" s="57" t="s">
        <v>209</v>
      </c>
      <c r="B272" s="57">
        <v>41.50</v>
      </c>
      <c r="C272" s="57">
        <v>47</v>
      </c>
    </row>
    <row r="273" spans="1:3" ht="15">
      <c r="A273" s="57" t="s">
        <v>216</v>
      </c>
      <c r="B273" s="57" t="s">
        <v>217</v>
      </c>
      <c r="C273" s="57" t="s">
        <v>218</v>
      </c>
    </row>
    <row r="276" spans="1:2" ht="15">
      <c r="A276" s="57" t="s">
        <v>225</v>
      </c>
      <c r="B276" s="57">
        <v>0.49</v>
      </c>
    </row>
    <row r="278" spans="1:2" ht="15">
      <c r="A278" s="57" t="s">
        <v>228</v>
      </c>
      <c r="B278" s="57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orientation="portrait" paperSize="9" r:id="rId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GABORIT Léa</cp:lastModifiedBy>
  <dcterms:created xsi:type="dcterms:W3CDTF">2020-09-28T09:31:11Z</dcterms:created>
  <dcterms:modified xsi:type="dcterms:W3CDTF">2024-04-15T13:57:00Z</dcterms:modified>
  <cp:category/>
</cp:coreProperties>
</file>