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GRAND OUEST (PB)/2FREU-123b/"/>
    </mc:Choice>
  </mc:AlternateContent>
  <xr:revisionPtr revIDLastSave="58" documentId="8_{3F834E7D-210F-4F50-B60F-AE3793A6BACB}" xr6:coauthVersionLast="47" xr6:coauthVersionMax="47" xr10:uidLastSave="{0F26BFB9-4DA5-4460-AE42-C32FFA2B82F3}"/>
  <bookViews>
    <workbookView xWindow="-108" yWindow="-108" windowWidth="23256" windowHeight="1389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6" i="6" l="1"/>
  <c r="E174" i="6"/>
  <c r="E173" i="6"/>
  <c r="E175" i="6" s="1"/>
  <c r="E145" i="6"/>
  <c r="E143" i="6"/>
  <c r="E142" i="6"/>
  <c r="E144" i="6" s="1"/>
  <c r="E18" i="6" l="1"/>
  <c r="E111" i="6" l="1"/>
  <c r="E113" i="6" s="1"/>
  <c r="E112" i="6"/>
  <c r="E114" i="6"/>
  <c r="E80" i="6"/>
  <c r="E82" i="6" s="1"/>
  <c r="E81" i="6"/>
  <c r="E83" i="6"/>
  <c r="E49" i="6"/>
  <c r="E51" i="6" s="1"/>
  <c r="E50" i="6"/>
  <c r="E52" i="6"/>
  <c r="E19" i="6"/>
  <c r="E20" i="6"/>
  <c r="E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B9" i="4"/>
  <c r="U13" i="6"/>
  <c r="V13" i="6" s="1"/>
  <c r="D19" i="1"/>
  <c r="B14" i="4"/>
  <c r="V14" i="6" l="1"/>
  <c r="I20" i="6"/>
  <c r="I24" i="6"/>
  <c r="I22" i="6"/>
  <c r="U31" i="6" s="1"/>
  <c r="U30" i="6"/>
  <c r="V10" i="6"/>
  <c r="P67" i="6"/>
  <c r="H19" i="2"/>
  <c r="D20" i="2"/>
  <c r="G20" i="2" s="1"/>
  <c r="P40" i="6"/>
  <c r="U33" i="6" l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Y154" i="2"/>
  <c r="EA155" i="2"/>
  <c r="ED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DH156" i="2"/>
  <c r="EB156" i="2"/>
  <c r="EX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D157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D160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C162" i="2"/>
  <c r="ED161" i="2"/>
  <c r="EW162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EX164" i="2"/>
  <c r="DH164" i="2"/>
  <c r="DI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EX167" i="2"/>
  <c r="DG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W168" i="2"/>
  <c r="EB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B172" i="2"/>
  <c r="EW172" i="2"/>
  <c r="EV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Y175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D177" i="2"/>
  <c r="EA178" i="2"/>
  <c r="HH178" i="2"/>
  <c r="EW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DF179" i="2"/>
  <c r="HG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D184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Y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B195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EA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DN155" i="2" a="1"/>
  <c r="DN155" i="2" s="1"/>
  <c r="DN124" i="2" a="1"/>
  <c r="DN124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151" i="2" a="1"/>
  <c r="BC151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AX200" i="2"/>
  <c r="EI166" i="2" l="1" a="1"/>
  <c r="EI166" i="2" s="1"/>
  <c r="EI198" i="2" a="1"/>
  <c r="EI198" i="2" s="1"/>
  <c r="EI178" i="2" a="1"/>
  <c r="EI178" i="2" s="1"/>
  <c r="CS38" i="2" a="1"/>
  <c r="CS38" i="2" s="1"/>
  <c r="DN186" i="2" a="1"/>
  <c r="DN186" i="2" s="1"/>
  <c r="EI142" i="2" a="1"/>
  <c r="EI142" i="2" s="1"/>
  <c r="EY202" i="2"/>
  <c r="CS116" i="2" a="1"/>
  <c r="CS116" i="2" s="1"/>
  <c r="CS66" i="2" a="1"/>
  <c r="CS66" i="2" s="1"/>
  <c r="CS56" i="2" a="1"/>
  <c r="CS56" i="2" s="1"/>
  <c r="BX107" i="2" a="1"/>
  <c r="BX107" i="2" s="1"/>
  <c r="BC130" i="2" a="1"/>
  <c r="BC130" i="2" s="1"/>
  <c r="BC83" i="2" a="1"/>
  <c r="BC83" i="2" s="1"/>
  <c r="BC7" i="2" a="1"/>
  <c r="BC7" i="2" s="1"/>
  <c r="BD7" i="2" s="1"/>
  <c r="BC117" i="2" a="1"/>
  <c r="BC117" i="2" s="1"/>
  <c r="BC65" i="2" a="1"/>
  <c r="BC65" i="2" s="1"/>
  <c r="BC114" i="2" a="1"/>
  <c r="BC114" i="2" s="1"/>
  <c r="BC181" i="2" a="1"/>
  <c r="BC181" i="2" s="1"/>
  <c r="BC126" i="2" a="1"/>
  <c r="BC126" i="2" s="1"/>
  <c r="BC82" i="2" a="1"/>
  <c r="BC82" i="2" s="1"/>
  <c r="BC47" i="2" a="1"/>
  <c r="BC47" i="2" s="1"/>
  <c r="BC68" i="2" a="1"/>
  <c r="BC68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56" i="2" l="1"/>
  <c r="CY24" i="2"/>
  <c r="CY62" i="2"/>
  <c r="CY179" i="2"/>
  <c r="CY188" i="2"/>
  <c r="CY150" i="2"/>
  <c r="CY105" i="2"/>
  <c r="CY10" i="2"/>
  <c r="CY156" i="2"/>
  <c r="CY193" i="2"/>
  <c r="CY137" i="2"/>
  <c r="CY175" i="2"/>
  <c r="CY200" i="2"/>
  <c r="CY194" i="2"/>
  <c r="CY52" i="2"/>
  <c r="CY186" i="2"/>
  <c r="CY153" i="2"/>
  <c r="CY66" i="2"/>
  <c r="CY72" i="2"/>
  <c r="CY202" i="2"/>
  <c r="CY76" i="2"/>
  <c r="CY128" i="2"/>
  <c r="CY77" i="2"/>
  <c r="CY85" i="2"/>
  <c r="CY5" i="2"/>
  <c r="CY155" i="2"/>
  <c r="CY30" i="2"/>
  <c r="CY181" i="2"/>
  <c r="CY11" i="2"/>
  <c r="CY83" i="2"/>
  <c r="CY35" i="2"/>
  <c r="CY49" i="2"/>
  <c r="CY90" i="2"/>
  <c r="CY170" i="2"/>
  <c r="CY88" i="2"/>
  <c r="CY109" i="2"/>
  <c r="CY161" i="2"/>
  <c r="CY203" i="2"/>
  <c r="CY19" i="2"/>
  <c r="CY183" i="2"/>
  <c r="CY38" i="2"/>
  <c r="CY32" i="2"/>
  <c r="CY166" i="2"/>
  <c r="CY146" i="2"/>
  <c r="CY59" i="2"/>
  <c r="CY102" i="2"/>
  <c r="CY71" i="2"/>
  <c r="CY70" i="2"/>
  <c r="CY135" i="2"/>
  <c r="CY108" i="2"/>
  <c r="CY110" i="2"/>
  <c r="CY42" i="2"/>
  <c r="CY74" i="2"/>
  <c r="CY29" i="2"/>
  <c r="CY114" i="2"/>
  <c r="CY92" i="2"/>
  <c r="CY23" i="2"/>
  <c r="CY96" i="2"/>
  <c r="CY115" i="2"/>
  <c r="CY53" i="2"/>
  <c r="CY154" i="2"/>
  <c r="CY13" i="2"/>
  <c r="CY57" i="2"/>
  <c r="CY45" i="2"/>
  <c r="CY47" i="2"/>
  <c r="CY61" i="2"/>
  <c r="CY93" i="2"/>
  <c r="CY142" i="2"/>
  <c r="CY28" i="2"/>
  <c r="CY184" i="2"/>
  <c r="CY67" i="2"/>
  <c r="CY34" i="2"/>
  <c r="CY178" i="2"/>
  <c r="CY63" i="2"/>
  <c r="CY160" i="2"/>
  <c r="CY25" i="2"/>
  <c r="CY97" i="2"/>
  <c r="CY196" i="2"/>
  <c r="CY8" i="2"/>
  <c r="CY36" i="2"/>
  <c r="CY75" i="2"/>
  <c r="CY100" i="2"/>
  <c r="CY138" i="2"/>
  <c r="CY199" i="2"/>
  <c r="CY68" i="2"/>
  <c r="CY46" i="2"/>
  <c r="CY168" i="2"/>
  <c r="CY119" i="2"/>
  <c r="CY123" i="2"/>
  <c r="CY127" i="2"/>
  <c r="CY65" i="2"/>
  <c r="CY180" i="2"/>
  <c r="CY113" i="2"/>
  <c r="CY9" i="2"/>
  <c r="CY91" i="2"/>
  <c r="CY107" i="2"/>
  <c r="CY201" i="2"/>
  <c r="CY51" i="2"/>
  <c r="CY33" i="2"/>
  <c r="CY22" i="2"/>
  <c r="CY17" i="2"/>
  <c r="CY116" i="2"/>
  <c r="CY198" i="2"/>
  <c r="CY132" i="2"/>
  <c r="CY148" i="2"/>
  <c r="CY18" i="2"/>
  <c r="CY37" i="2"/>
  <c r="CY165" i="2"/>
  <c r="CY4" i="2"/>
  <c r="CY159" i="2"/>
  <c r="CY106" i="2"/>
  <c r="CY79" i="2"/>
  <c r="CY131" i="2"/>
  <c r="CY133" i="2"/>
  <c r="CY141" i="2"/>
  <c r="CY176" i="2"/>
  <c r="CY44" i="2"/>
  <c r="CY41" i="2"/>
  <c r="CY145" i="2"/>
  <c r="CY125" i="2"/>
  <c r="CY95" i="2"/>
  <c r="CY21" i="2"/>
  <c r="CY139" i="2"/>
  <c r="CY124" i="2"/>
  <c r="CY140" i="2"/>
  <c r="CY169" i="2"/>
  <c r="CY118" i="2"/>
  <c r="CY111" i="2"/>
  <c r="CY89" i="2"/>
  <c r="CY87" i="2"/>
  <c r="CY173" i="2"/>
  <c r="CY12" i="2"/>
  <c r="CY73" i="2"/>
  <c r="CY122" i="2"/>
  <c r="CY15" i="2"/>
  <c r="CY31" i="2"/>
  <c r="CY54" i="2"/>
  <c r="CY136" i="2"/>
  <c r="CY126" i="2"/>
  <c r="CY162" i="2"/>
  <c r="CY78" i="2"/>
  <c r="CY112" i="2"/>
  <c r="CY163" i="2"/>
  <c r="CY48" i="2"/>
  <c r="CY192" i="2"/>
  <c r="CY157" i="2"/>
  <c r="CY144" i="2"/>
  <c r="CY191" i="2"/>
  <c r="CY172" i="2"/>
  <c r="CY60" i="2"/>
  <c r="CY98" i="2"/>
  <c r="CY86" i="2"/>
  <c r="CY64" i="2"/>
  <c r="CY164" i="2"/>
  <c r="CY81" i="2"/>
  <c r="CY190" i="2"/>
  <c r="CY55" i="2"/>
  <c r="CY151" i="2"/>
  <c r="CY152" i="2"/>
  <c r="CY120" i="2"/>
  <c r="CY7" i="2"/>
  <c r="CY84" i="2"/>
  <c r="CY50" i="2"/>
  <c r="CY147" i="2"/>
  <c r="CY80" i="2"/>
  <c r="CY182" i="2"/>
  <c r="CY197" i="2"/>
  <c r="CY187" i="2"/>
  <c r="CY58" i="2"/>
  <c r="CY130" i="2"/>
  <c r="CY171" i="2"/>
  <c r="CY129" i="2"/>
  <c r="CY40" i="2"/>
  <c r="CY149" i="2"/>
  <c r="CY103" i="2"/>
  <c r="CY143" i="2"/>
  <c r="CY189" i="2"/>
  <c r="CY174" i="2"/>
  <c r="CY101" i="2"/>
  <c r="CY6" i="2"/>
  <c r="CY26" i="2"/>
  <c r="CY20" i="2"/>
  <c r="CY121" i="2"/>
  <c r="CY195" i="2"/>
  <c r="CY185" i="2"/>
  <c r="CY27" i="2"/>
  <c r="CY82" i="2"/>
  <c r="CY69" i="2"/>
  <c r="CY158" i="2"/>
  <c r="CY16" i="2"/>
  <c r="CY14" i="2"/>
  <c r="CY3" i="2"/>
  <c r="C10" i="4" s="1"/>
  <c r="E10" i="4" s="1"/>
  <c r="F10" i="4" s="1"/>
  <c r="G10" i="4" s="1"/>
  <c r="L10" i="4" s="1"/>
  <c r="M10" i="4" s="1"/>
  <c r="CY99" i="2"/>
  <c r="CY167" i="2"/>
  <c r="CY177" i="2"/>
  <c r="CY117" i="2"/>
  <c r="CY43" i="2"/>
  <c r="CY94" i="2"/>
  <c r="CY39" i="2"/>
  <c r="CY104" i="2"/>
  <c r="CY134" i="2"/>
  <c r="DT89" i="2"/>
  <c r="DT145" i="2"/>
  <c r="DT44" i="2"/>
  <c r="DT161" i="2"/>
  <c r="DT123" i="2"/>
  <c r="DT170" i="2"/>
  <c r="DT74" i="2"/>
  <c r="DT13" i="2"/>
  <c r="DT176" i="2"/>
  <c r="DT27" i="2"/>
  <c r="DT181" i="2"/>
  <c r="DT9" i="2"/>
  <c r="DT116" i="2"/>
  <c r="DT133" i="2"/>
  <c r="DT6" i="2"/>
  <c r="DT174" i="2"/>
  <c r="DT25" i="2"/>
  <c r="DT5" i="2"/>
  <c r="DT99" i="2"/>
  <c r="DT28" i="2"/>
  <c r="DT186" i="2"/>
  <c r="DT42" i="2"/>
  <c r="DT171" i="2"/>
  <c r="DT47" i="2"/>
  <c r="DT82" i="2"/>
  <c r="DT46" i="2"/>
  <c r="DT45" i="2"/>
  <c r="DT35" i="2"/>
  <c r="DT73" i="2"/>
  <c r="DT19" i="2"/>
  <c r="DT38" i="2"/>
  <c r="DT54" i="2"/>
  <c r="DT78" i="2"/>
  <c r="DT124" i="2"/>
  <c r="DT195" i="2"/>
  <c r="DT114" i="2"/>
  <c r="DT112" i="2"/>
  <c r="DT69" i="2"/>
  <c r="DT154" i="2"/>
  <c r="DT94" i="2"/>
  <c r="DT203" i="2"/>
  <c r="DT148" i="2"/>
  <c r="DT166" i="2"/>
  <c r="DT22" i="2"/>
  <c r="DT50" i="2"/>
  <c r="DT177" i="2"/>
  <c r="DT81" i="2"/>
  <c r="DT139" i="2"/>
  <c r="DT10" i="2"/>
  <c r="DT61" i="2"/>
  <c r="DT128" i="2"/>
  <c r="DT24" i="2"/>
  <c r="DT106" i="2"/>
  <c r="DT76" i="2"/>
  <c r="DT14" i="2"/>
  <c r="DT179" i="2"/>
  <c r="DT141" i="2"/>
  <c r="DT200" i="2"/>
  <c r="DT43" i="2"/>
  <c r="DT55" i="2"/>
  <c r="DT153" i="2"/>
  <c r="DT11" i="2"/>
  <c r="DT31" i="2"/>
  <c r="DT7" i="2"/>
  <c r="DT62" i="2"/>
  <c r="DT127" i="2"/>
  <c r="DT18" i="2"/>
  <c r="DT51" i="2"/>
  <c r="DT3" i="2"/>
  <c r="C11" i="4" s="1"/>
  <c r="E11" i="4" s="1"/>
  <c r="F11" i="4" s="1"/>
  <c r="G11" i="4" s="1"/>
  <c r="L11" i="4" s="1"/>
  <c r="M11" i="4" s="1"/>
  <c r="DT156" i="2"/>
  <c r="DT86" i="2"/>
  <c r="DT189" i="2"/>
  <c r="DT131" i="2"/>
  <c r="DT158" i="2"/>
  <c r="DT30" i="2"/>
  <c r="DT113" i="2"/>
  <c r="DT202" i="2"/>
  <c r="DT39" i="2"/>
  <c r="DT92" i="2"/>
  <c r="DT117" i="2"/>
  <c r="DT83" i="2"/>
  <c r="DT32" i="2"/>
  <c r="DT49" i="2"/>
  <c r="DT151" i="2"/>
  <c r="DT178" i="2"/>
  <c r="DT93" i="2"/>
  <c r="DT72" i="2"/>
  <c r="DT84" i="2"/>
  <c r="DT48" i="2"/>
  <c r="DT140" i="2"/>
  <c r="DT126" i="2"/>
  <c r="DT164" i="2"/>
  <c r="DT8" i="2"/>
  <c r="DT188" i="2"/>
  <c r="DT134" i="2"/>
  <c r="DT37" i="2"/>
  <c r="DT107" i="2"/>
  <c r="DT199" i="2"/>
  <c r="DT70" i="2"/>
  <c r="DT136" i="2"/>
  <c r="DT173" i="2"/>
  <c r="DT129" i="2"/>
  <c r="DT33" i="2"/>
  <c r="DT142" i="2"/>
  <c r="DT169" i="2"/>
  <c r="DT96" i="2"/>
  <c r="DT20" i="2"/>
  <c r="DT29" i="2"/>
  <c r="DT12" i="2"/>
  <c r="DT190" i="2"/>
  <c r="DT180" i="2"/>
  <c r="DT130" i="2"/>
  <c r="DT41" i="2"/>
  <c r="DT137" i="2"/>
  <c r="DT103" i="2"/>
  <c r="DT67" i="2"/>
  <c r="DT87" i="2"/>
  <c r="DT52" i="2"/>
  <c r="DT125" i="2"/>
  <c r="DT57" i="2"/>
  <c r="DT4" i="2"/>
  <c r="DT65" i="2"/>
  <c r="DT146" i="2"/>
  <c r="DT88" i="2"/>
  <c r="DT60" i="2"/>
  <c r="DT198" i="2"/>
  <c r="DT118" i="2"/>
  <c r="DT58" i="2"/>
  <c r="DT172" i="2"/>
  <c r="DT168" i="2"/>
  <c r="DT64" i="2"/>
  <c r="DT159" i="2"/>
  <c r="DT56" i="2"/>
  <c r="DT184" i="2"/>
  <c r="DT26" i="2"/>
  <c r="DT194" i="2"/>
  <c r="DT21" i="2"/>
  <c r="DT91" i="2"/>
  <c r="DT120" i="2"/>
  <c r="DT196" i="2"/>
  <c r="DT197" i="2"/>
  <c r="DT100" i="2"/>
  <c r="DT109" i="2"/>
  <c r="DT16" i="2"/>
  <c r="DT143" i="2"/>
  <c r="DT119" i="2"/>
  <c r="DT101" i="2"/>
  <c r="DT157" i="2"/>
  <c r="DT135" i="2"/>
  <c r="DT201" i="2"/>
  <c r="DT85" i="2"/>
  <c r="DT150" i="2"/>
  <c r="DT115" i="2"/>
  <c r="DT192" i="2"/>
  <c r="DT23" i="2"/>
  <c r="DT34" i="2"/>
  <c r="DT167" i="2"/>
  <c r="DT102" i="2"/>
  <c r="DT165" i="2"/>
  <c r="DT110" i="2"/>
  <c r="DT147" i="2"/>
  <c r="DT15" i="2"/>
  <c r="DT105" i="2"/>
  <c r="DT155" i="2"/>
  <c r="DT77" i="2"/>
  <c r="DT162" i="2"/>
  <c r="DT80" i="2"/>
  <c r="DT104" i="2"/>
  <c r="DT63" i="2"/>
  <c r="DT36" i="2"/>
  <c r="DT59" i="2"/>
  <c r="DT98" i="2"/>
  <c r="DT183" i="2"/>
  <c r="DT40" i="2"/>
  <c r="DT53" i="2"/>
  <c r="DT97" i="2"/>
  <c r="DT175" i="2"/>
  <c r="DT121" i="2"/>
  <c r="DT185" i="2"/>
  <c r="DT17" i="2"/>
  <c r="DT160" i="2"/>
  <c r="DT111" i="2"/>
  <c r="DT71" i="2"/>
  <c r="DT191" i="2"/>
  <c r="DT149" i="2"/>
  <c r="DT68" i="2"/>
  <c r="DT138" i="2"/>
  <c r="DT75" i="2"/>
  <c r="DT90" i="2"/>
  <c r="DT163" i="2"/>
  <c r="DT95" i="2"/>
  <c r="DT187" i="2"/>
  <c r="DT132" i="2"/>
  <c r="DT108" i="2"/>
  <c r="DT193" i="2"/>
  <c r="DT66" i="2"/>
  <c r="DT122" i="2"/>
  <c r="DT79" i="2"/>
  <c r="DT182" i="2"/>
  <c r="DT152" i="2"/>
  <c r="DT144" i="2"/>
  <c r="AN59" i="2"/>
  <c r="AN3" i="2"/>
  <c r="C7" i="4" s="1"/>
  <c r="E7" i="4" s="1"/>
  <c r="F7" i="4" s="1"/>
  <c r="G7" i="4" s="1"/>
  <c r="L7" i="4" s="1"/>
  <c r="M7" i="4" s="1"/>
  <c r="AN74" i="2"/>
  <c r="AN114" i="2"/>
  <c r="AN13" i="2"/>
  <c r="AN8" i="2"/>
  <c r="AN32" i="2"/>
  <c r="AN133" i="2"/>
  <c r="AN12" i="2"/>
  <c r="AN146" i="2"/>
  <c r="AN143" i="2"/>
  <c r="AN51" i="2"/>
  <c r="AN185" i="2"/>
  <c r="AN27" i="2"/>
  <c r="AN195" i="2"/>
  <c r="AN56" i="2"/>
  <c r="AN137" i="2"/>
  <c r="AN57" i="2"/>
  <c r="AN30" i="2"/>
  <c r="AN75" i="2"/>
  <c r="AN118" i="2"/>
  <c r="AN117" i="2"/>
  <c r="AN166" i="2"/>
  <c r="AN46" i="2"/>
  <c r="AN78" i="2"/>
  <c r="AN131" i="2"/>
  <c r="AN36" i="2"/>
  <c r="AN130" i="2"/>
  <c r="AN15" i="2"/>
  <c r="AN163" i="2"/>
  <c r="AN54" i="2"/>
  <c r="AN106" i="2"/>
  <c r="AN168" i="2"/>
  <c r="AN154" i="2"/>
  <c r="AN104" i="2"/>
  <c r="AN186" i="2"/>
  <c r="AN94" i="2"/>
  <c r="AN20" i="2"/>
  <c r="AN105" i="2"/>
  <c r="AN181" i="2"/>
  <c r="AN101" i="2"/>
  <c r="AN140" i="2"/>
  <c r="AN113" i="2"/>
  <c r="AN73" i="2"/>
  <c r="AN180" i="2"/>
  <c r="AN201" i="2"/>
  <c r="AN197" i="2"/>
  <c r="AN122" i="2"/>
  <c r="AN26" i="2"/>
  <c r="AN80" i="2"/>
  <c r="AN121" i="2"/>
  <c r="AN171" i="2"/>
  <c r="AN71" i="2"/>
  <c r="AN128" i="2"/>
  <c r="AN66" i="2"/>
  <c r="AN97" i="2"/>
  <c r="AN169" i="2"/>
  <c r="AN63" i="2"/>
  <c r="AN37" i="2"/>
  <c r="AN96" i="2"/>
  <c r="AN52" i="2"/>
  <c r="AN182" i="2"/>
  <c r="AN33" i="2"/>
  <c r="AN76" i="2"/>
  <c r="AN79" i="2"/>
  <c r="AN14" i="2"/>
  <c r="AN47" i="2"/>
  <c r="AN95" i="2"/>
  <c r="AN136" i="2"/>
  <c r="AN149" i="2"/>
  <c r="AN188" i="2"/>
  <c r="AN127" i="2"/>
  <c r="AN28" i="2"/>
  <c r="AN65" i="2"/>
  <c r="AN165" i="2"/>
  <c r="AN138" i="2"/>
  <c r="AN139" i="2"/>
  <c r="AN55" i="2"/>
  <c r="AN34" i="2"/>
  <c r="AN103" i="2"/>
  <c r="AN50" i="2"/>
  <c r="AN90" i="2"/>
  <c r="AN49" i="2"/>
  <c r="AN202" i="2"/>
  <c r="AN183" i="2"/>
  <c r="AN84" i="2"/>
  <c r="AN152" i="2"/>
  <c r="AN42" i="2"/>
  <c r="AN23" i="2"/>
  <c r="AN135" i="2"/>
  <c r="AN144" i="2"/>
  <c r="AN192" i="2"/>
  <c r="AN116" i="2"/>
  <c r="AN158" i="2"/>
  <c r="AN41" i="2"/>
  <c r="AN61" i="2"/>
  <c r="AN159" i="2"/>
  <c r="AN167" i="2"/>
  <c r="AN200" i="2"/>
  <c r="AN170" i="2"/>
  <c r="AN17" i="2"/>
  <c r="AN179" i="2"/>
  <c r="AN91" i="2"/>
  <c r="AN172" i="2"/>
  <c r="AN7" i="2"/>
  <c r="AN81" i="2"/>
  <c r="AN39" i="2"/>
  <c r="AN6" i="2"/>
  <c r="AN129" i="2"/>
  <c r="AN132" i="2"/>
  <c r="AN174" i="2"/>
  <c r="AN193" i="2"/>
  <c r="AN43" i="2"/>
  <c r="AN153" i="2"/>
  <c r="AN5" i="2"/>
  <c r="AN98" i="2"/>
  <c r="AN88" i="2"/>
  <c r="AN177" i="2"/>
  <c r="AN155" i="2"/>
  <c r="AN102" i="2"/>
  <c r="AN173" i="2"/>
  <c r="AN38" i="2"/>
  <c r="AN19" i="2"/>
  <c r="AN40" i="2"/>
  <c r="AN25" i="2"/>
  <c r="AN115" i="2"/>
  <c r="AN107" i="2"/>
  <c r="AN189" i="2"/>
  <c r="AN150" i="2"/>
  <c r="AN199" i="2"/>
  <c r="AN175" i="2"/>
  <c r="AN134" i="2"/>
  <c r="AN125" i="2"/>
  <c r="AN126" i="2"/>
  <c r="AN198" i="2"/>
  <c r="AN109" i="2"/>
  <c r="AN176" i="2"/>
  <c r="AN58" i="2"/>
  <c r="AN92" i="2"/>
  <c r="AN77" i="2"/>
  <c r="AN24" i="2"/>
  <c r="AN67" i="2"/>
  <c r="AN124" i="2"/>
  <c r="AN184" i="2"/>
  <c r="AN157" i="2"/>
  <c r="AN100" i="2"/>
  <c r="AN87" i="2"/>
  <c r="AN160" i="2"/>
  <c r="AN4" i="2"/>
  <c r="AN190" i="2"/>
  <c r="AN194" i="2"/>
  <c r="AN148" i="2"/>
  <c r="AN203" i="2"/>
  <c r="AN123" i="2"/>
  <c r="AN191" i="2"/>
  <c r="AN45" i="2"/>
  <c r="AN99" i="2"/>
  <c r="AN142" i="2"/>
  <c r="AN70" i="2"/>
  <c r="AN11" i="2"/>
  <c r="AN16" i="2"/>
  <c r="AN48" i="2"/>
  <c r="AN196" i="2"/>
  <c r="AN62" i="2"/>
  <c r="AN89" i="2"/>
  <c r="AN10" i="2"/>
  <c r="AN31" i="2"/>
  <c r="AN21" i="2"/>
  <c r="AN151" i="2"/>
  <c r="AN85" i="2"/>
  <c r="AN69" i="2"/>
  <c r="AN110" i="2"/>
  <c r="AN29" i="2"/>
  <c r="AN147" i="2"/>
  <c r="AN145" i="2"/>
  <c r="AN9" i="2"/>
  <c r="AN86" i="2"/>
  <c r="AN60" i="2"/>
  <c r="AN93" i="2"/>
  <c r="AN18" i="2"/>
  <c r="AN141" i="2"/>
  <c r="AN111" i="2"/>
  <c r="AN35" i="2"/>
  <c r="AN162" i="2"/>
  <c r="AN22" i="2"/>
  <c r="AN164" i="2"/>
  <c r="AN120" i="2"/>
  <c r="AN64" i="2"/>
  <c r="AN108" i="2"/>
  <c r="AN44" i="2"/>
  <c r="AN119" i="2"/>
  <c r="AN72" i="2"/>
  <c r="AN112" i="2"/>
  <c r="AN156" i="2"/>
  <c r="AN187" i="2"/>
  <c r="AN83" i="2"/>
  <c r="AN68" i="2"/>
  <c r="AN53" i="2"/>
  <c r="AN82" i="2"/>
  <c r="AN178" i="2"/>
  <c r="AN16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80" i="2" l="1"/>
  <c r="BI47" i="2"/>
  <c r="BI46" i="2"/>
  <c r="BI36" i="2"/>
  <c r="BI21" i="2"/>
  <c r="BI88" i="2"/>
  <c r="BI7" i="2"/>
  <c r="BI118" i="2"/>
  <c r="BI29" i="2"/>
  <c r="BI114" i="2"/>
  <c r="BI135" i="2"/>
  <c r="BI72" i="2"/>
  <c r="BI60" i="2"/>
  <c r="BI112" i="2"/>
  <c r="BI127" i="2"/>
  <c r="BI163" i="2"/>
  <c r="BI76" i="2"/>
  <c r="BI165" i="2"/>
  <c r="BI151" i="2"/>
  <c r="BI183" i="2"/>
  <c r="BI140" i="2"/>
  <c r="BI90" i="2"/>
  <c r="BI19" i="2"/>
  <c r="BI109" i="2"/>
  <c r="BI73" i="2"/>
  <c r="BI186" i="2"/>
  <c r="BI154" i="2"/>
  <c r="BI168" i="2"/>
  <c r="BI15" i="2"/>
  <c r="BI191" i="2"/>
  <c r="BI99" i="2"/>
  <c r="BI38" i="2"/>
  <c r="BI48" i="2"/>
  <c r="BI196" i="2"/>
  <c r="BI12" i="2"/>
  <c r="BI17" i="2"/>
  <c r="BI106" i="2"/>
  <c r="BI97" i="2"/>
  <c r="BI132" i="2"/>
  <c r="BI142" i="2"/>
  <c r="BI195" i="2"/>
  <c r="BI178" i="2"/>
  <c r="BI133" i="2"/>
  <c r="BI43" i="2"/>
  <c r="BI85" i="2"/>
  <c r="BI184" i="2"/>
  <c r="BI65" i="2"/>
  <c r="BI111" i="2"/>
  <c r="BI78" i="2"/>
  <c r="BI96" i="2"/>
  <c r="BI162" i="2"/>
  <c r="BI40" i="2"/>
  <c r="BI66" i="2"/>
  <c r="BI58" i="2"/>
  <c r="BI190" i="2"/>
  <c r="BI193" i="2"/>
  <c r="BI41" i="2"/>
  <c r="BI33" i="2"/>
  <c r="BI10" i="2"/>
  <c r="BI103" i="2"/>
  <c r="BI149" i="2"/>
  <c r="BI159" i="2"/>
  <c r="BI22" i="2"/>
  <c r="BI170" i="2"/>
  <c r="BI68" i="2"/>
  <c r="BI150" i="2"/>
  <c r="BI53" i="2"/>
  <c r="BI107" i="2"/>
  <c r="BI64" i="2"/>
  <c r="BI44" i="2"/>
  <c r="BI177" i="2"/>
  <c r="BI57" i="2"/>
  <c r="BI83" i="2"/>
  <c r="BI189" i="2"/>
  <c r="BI148" i="2"/>
  <c r="BI199" i="2"/>
  <c r="BI51" i="2"/>
  <c r="BI93" i="2"/>
  <c r="BI89" i="2"/>
  <c r="BI134" i="2"/>
  <c r="BI9" i="2"/>
  <c r="BI144" i="2"/>
  <c r="BI158" i="2"/>
  <c r="BI18" i="2"/>
  <c r="BI69" i="2"/>
  <c r="BI182" i="2"/>
  <c r="BI137" i="2"/>
  <c r="BI11" i="2"/>
  <c r="BI27" i="2"/>
  <c r="BI91" i="2"/>
  <c r="BI20" i="2"/>
  <c r="BI160" i="2"/>
  <c r="BI175" i="2"/>
  <c r="BI6" i="2"/>
  <c r="BI116" i="2"/>
  <c r="BI98" i="2"/>
  <c r="BI50" i="2"/>
  <c r="BI23" i="2"/>
  <c r="BI71" i="2"/>
  <c r="BI174" i="2"/>
  <c r="BI62" i="2"/>
  <c r="BI122" i="2"/>
  <c r="BI201" i="2"/>
  <c r="BI203" i="2"/>
  <c r="BI161" i="2"/>
  <c r="BI86" i="2"/>
  <c r="BI176" i="2"/>
  <c r="BI54" i="2"/>
  <c r="BI155" i="2"/>
  <c r="BI79" i="2"/>
  <c r="BI3" i="2"/>
  <c r="C8" i="4" s="1"/>
  <c r="E8" i="4" s="1"/>
  <c r="F8" i="4" s="1"/>
  <c r="G8" i="4" s="1"/>
  <c r="L8" i="4" s="1"/>
  <c r="M8" i="4" s="1"/>
  <c r="BI187" i="2"/>
  <c r="BI141" i="2"/>
  <c r="BI173" i="2"/>
  <c r="BI124" i="2"/>
  <c r="BI171" i="2"/>
  <c r="BI35" i="2"/>
  <c r="BI179" i="2"/>
  <c r="BI108" i="2"/>
  <c r="BI129" i="2"/>
  <c r="BI128" i="2"/>
  <c r="BI92" i="2"/>
  <c r="BI82" i="2"/>
  <c r="BI185" i="2"/>
  <c r="BI117" i="2"/>
  <c r="BI84" i="2"/>
  <c r="BI125" i="2"/>
  <c r="BI31" i="2"/>
  <c r="BI59" i="2"/>
  <c r="BI169" i="2"/>
  <c r="BI61" i="2"/>
  <c r="BI138" i="2"/>
  <c r="BI28" i="2"/>
  <c r="BI143" i="2"/>
  <c r="BI131" i="2"/>
  <c r="BI200" i="2"/>
  <c r="BI75" i="2"/>
  <c r="BI153" i="2"/>
  <c r="BI121" i="2"/>
  <c r="BI164" i="2"/>
  <c r="BI42" i="2"/>
  <c r="BI139" i="2"/>
  <c r="BI105" i="2"/>
  <c r="BI63" i="2"/>
  <c r="BI55" i="2"/>
  <c r="BI30" i="2"/>
  <c r="BI81" i="2"/>
  <c r="BI152" i="2"/>
  <c r="BI119" i="2"/>
  <c r="BI126" i="2"/>
  <c r="BI14" i="2"/>
  <c r="BI16" i="2"/>
  <c r="BI37" i="2"/>
  <c r="BI24" i="2"/>
  <c r="BI13" i="2"/>
  <c r="BI147" i="2"/>
  <c r="BI34" i="2"/>
  <c r="BI172" i="2"/>
  <c r="BI167" i="2"/>
  <c r="BI4" i="2"/>
  <c r="BI146" i="2"/>
  <c r="BI95" i="2"/>
  <c r="BI123" i="2"/>
  <c r="BI102" i="2"/>
  <c r="BI25" i="2"/>
  <c r="BI198" i="2"/>
  <c r="BI104" i="2"/>
  <c r="BI45" i="2"/>
  <c r="BI166" i="2"/>
  <c r="BI113" i="2"/>
  <c r="BI5" i="2"/>
  <c r="BI157" i="2"/>
  <c r="BI101" i="2"/>
  <c r="BI188" i="2"/>
  <c r="BI87" i="2"/>
  <c r="BI74" i="2"/>
  <c r="BI77" i="2"/>
  <c r="BI49" i="2"/>
  <c r="BI136" i="2"/>
  <c r="BI130" i="2"/>
  <c r="BI100" i="2"/>
  <c r="BI181" i="2"/>
  <c r="BI202" i="2"/>
  <c r="BI32" i="2"/>
  <c r="BI26" i="2"/>
  <c r="BI192" i="2"/>
  <c r="BI156" i="2"/>
  <c r="BI67" i="2"/>
  <c r="BI145" i="2"/>
  <c r="BI197" i="2"/>
  <c r="BI180" i="2"/>
  <c r="BI120" i="2"/>
  <c r="BI52" i="2"/>
  <c r="BI110" i="2"/>
  <c r="BI39" i="2"/>
  <c r="BI94" i="2"/>
  <c r="BI8" i="2"/>
  <c r="BI194" i="2"/>
  <c r="BI56" i="2"/>
  <c r="BI115" i="2"/>
  <c r="BI7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tc={2DDBE95B-D991-4898-9670-D4F13324EC31}</author>
    <author>tc={9AD5FF7B-F2A3-4D95-B9F9-A8D858B95E57}</author>
    <author>tc={D6E55C65-A27D-430F-8C47-61A1DA161EE2}</author>
    <author>tc={8C4AB574-5B9A-426A-ADE1-8DDA545EB364}</author>
    <author>tc={B7213BED-F7A7-42FD-BE50-C3BFAB1B6409}</author>
    <author>tc={348C3438-161A-4395-B4E7-637BD1883F52}</author>
    <author>tc={1CA53D21-A6CA-437D-B7C2-0BE1BA55436A}</author>
    <author>tc={1005D90C-049B-40A4-9C80-BB4A2B287663}</author>
    <author>tc={986C3ED0-3262-4961-B7EC-4B3C4FBFD589}</author>
    <author>tc={20C20C63-E04F-4FDC-9C91-AEE4BC3C059F}</author>
    <author>tc={083B0D46-AF0F-4B51-89B2-332E0BBCCE4D}</author>
    <author>tc={EA203914-782D-4EAE-B41D-674FFE1FB028}</author>
    <author>tc={1AF5771D-9BE5-4B60-8226-E9AE02190BCB}</author>
    <author>tc={05726494-5BAD-4F46-8D61-E7B16FC66747}</author>
    <author>tc={95857540-743A-43BF-8887-9385989B0D38}</author>
    <author>tc={1885077E-20C8-42BA-89FE-70573130560E}</author>
    <author>tc={6E7741B1-CD47-4375-BE19-4EC23C92F9D8}</author>
    <author>tc={A70DE854-9878-4B25-9B99-C8A598044CC0}</author>
    <author>tc={2D1C45C7-4E5F-4AE2-A029-52AE859333FC}</author>
    <author>tc={EA85D587-F1A0-426E-8410-97E8E7824428}</author>
    <author>tc={8B456F64-950A-4CAD-8C0D-D32F4578043C}</author>
    <author>tc={FFA5FB6E-728B-48E7-BAB0-26790361B1FF}</author>
    <author>tc={324B98FA-AF6E-4454-87E8-986891FB2AF3}</author>
    <author>tc={5099B5B6-FE71-49C5-9374-7818F0CE0272}</author>
    <author>tc={0291C25E-7400-47D9-AA08-F3083BCB7940}</author>
  </authors>
  <commentList>
    <comment ref="E19" authorId="0" shapeId="0" xr:uid="{2DDBE95B-D991-4898-9670-D4F13324EC3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19" authorId="1" shapeId="0" xr:uid="{9AD5FF7B-F2A3-4D95-B9F9-A8D858B95E5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2" shapeId="0" xr:uid="{D6E55C65-A27D-430F-8C47-61A1DA161EE2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20" authorId="3" shapeId="0" xr:uid="{8C4AB574-5B9A-426A-ADE1-8DDA545EB36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E21" authorId="4" shapeId="0" xr:uid="{B7213BED-F7A7-42FD-BE50-C3BFAB1B640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2" authorId="5" shapeId="0" xr:uid="{348C3438-161A-4395-B4E7-637BD1883F5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1CA53D21-A6CA-437D-B7C2-0BE1BA55436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50" authorId="7" shapeId="0" xr:uid="{1005D90C-049B-40A4-9C80-BB4A2B28766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1" authorId="8" shapeId="0" xr:uid="{986C3ED0-3262-4961-B7EC-4B3C4FBFD58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2" authorId="9" shapeId="0" xr:uid="{20C20C63-E04F-4FDC-9C91-AEE4BC3C059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0" shapeId="0" xr:uid="{083B0D46-AF0F-4B51-89B2-332E0BBCCE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2" authorId="11" shapeId="0" xr:uid="{EA203914-782D-4EAE-B41D-674FFE1FB02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3" authorId="12" shapeId="0" xr:uid="{1AF5771D-9BE5-4B60-8226-E9AE02190BC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3" shapeId="0" xr:uid="{05726494-5BAD-4F46-8D61-E7B16FC6674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3" authorId="14" shapeId="0" xr:uid="{95857540-743A-43BF-8887-9385989B0D3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4" authorId="15" shapeId="0" xr:uid="{1885077E-20C8-42BA-89FE-70573130560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6" shapeId="0" xr:uid="{6E7741B1-CD47-4375-BE19-4EC23C92F9D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4" authorId="17" shapeId="0" xr:uid="{A70DE854-9878-4B25-9B99-C8A598044CC0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5" authorId="18" shapeId="0" xr:uid="{2D1C45C7-4E5F-4AE2-A029-52AE859333F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4" authorId="19" shapeId="0" xr:uid="{EA85D587-F1A0-426E-8410-97E8E782442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5" authorId="20" shapeId="0" xr:uid="{8B456F64-950A-4CAD-8C0D-D32F4578043C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76" authorId="21" shapeId="0" xr:uid="{FFA5FB6E-728B-48E7-BAB0-26790361B1F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05" authorId="22" shapeId="0" xr:uid="{324B98FA-AF6E-4454-87E8-986891FB2AF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06" authorId="23" shapeId="0" xr:uid="{5099B5B6-FE71-49C5-9374-7818F0CE0272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207" authorId="24" shapeId="0" xr:uid="{0291C25E-7400-47D9-AA08-F3083BCB794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<sst xmlns="http://schemas.openxmlformats.org/spreadsheetml/2006/main" count="1181" uniqueCount="329">
  <si>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</si>
  <si>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</si>
  <si>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</si>
  <si>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</si>
  <si>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</si>
  <si>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</si>
  <si>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</si>
  <si>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</si>
  <si>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</si>
  <si>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NOM DU PROJET NEOSYLVA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</si>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</sst>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141DE8F8-2FA1-48B6-AC5D-A577D3CAD932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7.8416812518275494</c:v>
                </c:pt>
                <c:pt idx="2">
                  <c:v>15.334584394665216</c:v>
                </c:pt>
                <c:pt idx="3">
                  <c:v>22.714849715865025</c:v>
                </c:pt>
                <c:pt idx="4">
                  <c:v>30.025682463014238</c:v>
                </c:pt>
                <c:pt idx="5">
                  <c:v>37.286664670681112</c:v>
                </c:pt>
                <c:pt idx="6">
                  <c:v>44.508966748956091</c:v>
                </c:pt>
                <c:pt idx="7">
                  <c:v>51.699789829314369</c:v>
                </c:pt>
                <c:pt idx="8">
                  <c:v>58.864149784128841</c:v>
                </c:pt>
                <c:pt idx="9">
                  <c:v>66.005733343400635</c:v>
                </c:pt>
                <c:pt idx="10">
                  <c:v>73.127359901020441</c:v>
                </c:pt>
                <c:pt idx="11">
                  <c:v>80.231252341942835</c:v>
                </c:pt>
                <c:pt idx="12">
                  <c:v>87.319206208881965</c:v>
                </c:pt>
                <c:pt idx="13">
                  <c:v>94.392700722529355</c:v>
                </c:pt>
                <c:pt idx="14">
                  <c:v>101.45297460358488</c:v>
                </c:pt>
                <c:pt idx="15">
                  <c:v>108.50107958525473</c:v>
                </c:pt>
                <c:pt idx="16">
                  <c:v>115.53791923613043</c:v>
                </c:pt>
                <c:pt idx="17">
                  <c:v>122.56427779499695</c:v>
                </c:pt>
                <c:pt idx="18">
                  <c:v>129.58084202522676</c:v>
                </c:pt>
                <c:pt idx="19">
                  <c:v>136.58821807340979</c:v>
                </c:pt>
                <c:pt idx="20">
                  <c:v>143.58694467754751</c:v>
                </c:pt>
                <c:pt idx="21">
                  <c:v>150.57750365853744</c:v>
                </c:pt>
                <c:pt idx="22">
                  <c:v>157.56032835665889</c:v>
                </c:pt>
                <c:pt idx="23">
                  <c:v>164.5358104907921</c:v>
                </c:pt>
                <c:pt idx="24">
                  <c:v>171.50430579106953</c:v>
                </c:pt>
                <c:pt idx="25">
                  <c:v>178.46613866629886</c:v>
                </c:pt>
                <c:pt idx="26">
                  <c:v>185.42160610357715</c:v>
                </c:pt>
                <c:pt idx="27">
                  <c:v>192.3709809510899</c:v>
                </c:pt>
                <c:pt idx="28">
                  <c:v>199.31451470089735</c:v>
                </c:pt>
                <c:pt idx="29">
                  <c:v>206.25243986300856</c:v>
                </c:pt>
                <c:pt idx="30">
                  <c:v>213.18497200279739</c:v>
                </c:pt>
                <c:pt idx="31">
                  <c:v>220.11231149913181</c:v>
                </c:pt>
                <c:pt idx="32">
                  <c:v>227.03464506927492</c:v>
                </c:pt>
                <c:pt idx="33">
                  <c:v>233.95214709781916</c:v>
                </c:pt>
                <c:pt idx="34">
                  <c:v>240.86498080001115</c:v>
                </c:pt>
                <c:pt idx="35">
                  <c:v>247.77329924436927</c:v>
                </c:pt>
                <c:pt idx="36">
                  <c:v>254.677246255146</c:v>
                </c:pt>
                <c:pt idx="37">
                  <c:v>261.57695721169699</c:v>
                </c:pt>
                <c:pt idx="38">
                  <c:v>268.47255975900185</c:v>
                </c:pt>
                <c:pt idx="39">
                  <c:v>159.13424306647443</c:v>
                </c:pt>
                <c:pt idx="40">
                  <c:v>175.51556479645032</c:v>
                </c:pt>
                <c:pt idx="41">
                  <c:v>191.86098640807214</c:v>
                </c:pt>
                <c:pt idx="42">
                  <c:v>208.17399808399605</c:v>
                </c:pt>
                <c:pt idx="43">
                  <c:v>224.45749769106285</c:v>
                </c:pt>
                <c:pt idx="44">
                  <c:v>240.7139279284028</c:v>
                </c:pt>
                <c:pt idx="45">
                  <c:v>256.94537440132541</c:v>
                </c:pt>
                <c:pt idx="46">
                  <c:v>202.22829097191121</c:v>
                </c:pt>
                <c:pt idx="47">
                  <c:v>218.55599706941132</c:v>
                </c:pt>
                <c:pt idx="48">
                  <c:v>234.85567780270017</c:v>
                </c:pt>
                <c:pt idx="49">
                  <c:v>251.12955222049018</c:v>
                </c:pt>
                <c:pt idx="50">
                  <c:v>267.37952812778133</c:v>
                </c:pt>
                <c:pt idx="51">
                  <c:v>283.60726240907678</c:v>
                </c:pt>
                <c:pt idx="52">
                  <c:v>299.81420680494631</c:v>
                </c:pt>
                <c:pt idx="53">
                  <c:v>241.6852366162332</c:v>
                </c:pt>
                <c:pt idx="54">
                  <c:v>257.55058563444715</c:v>
                </c:pt>
                <c:pt idx="55">
                  <c:v>273.39384260859043</c:v>
                </c:pt>
                <c:pt idx="56">
                  <c:v>289.21646803530473</c:v>
                </c:pt>
                <c:pt idx="57">
                  <c:v>305.01974952062346</c:v>
                </c:pt>
                <c:pt idx="58">
                  <c:v>320.80483033300214</c:v>
                </c:pt>
                <c:pt idx="59">
                  <c:v>336.57273203877315</c:v>
                </c:pt>
                <c:pt idx="60">
                  <c:v>283.25886324647348</c:v>
                </c:pt>
                <c:pt idx="61">
                  <c:v>298.69552666245664</c:v>
                </c:pt>
                <c:pt idx="62">
                  <c:v>314.11441948835591</c:v>
                </c:pt>
                <c:pt idx="63">
                  <c:v>329.5165368153817</c:v>
                </c:pt>
                <c:pt idx="64">
                  <c:v>344.90277311048459</c:v>
                </c:pt>
                <c:pt idx="65">
                  <c:v>360.27393652075779</c:v>
                </c:pt>
                <c:pt idx="66">
                  <c:v>375.63076060827984</c:v>
                </c:pt>
                <c:pt idx="67">
                  <c:v>390.97391406527368</c:v>
                </c:pt>
                <c:pt idx="68">
                  <c:v>337.3982904915398</c:v>
                </c:pt>
                <c:pt idx="69">
                  <c:v>352.52277406224692</c:v>
                </c:pt>
                <c:pt idx="70">
                  <c:v>367.633038881017</c:v>
                </c:pt>
                <c:pt idx="71">
                  <c:v>382.72975159104658</c:v>
                </c:pt>
                <c:pt idx="72">
                  <c:v>397.81352195706603</c:v>
                </c:pt>
                <c:pt idx="73">
                  <c:v>412.88490973595452</c:v>
                </c:pt>
                <c:pt idx="74">
                  <c:v>427.94443049178523</c:v>
                </c:pt>
                <c:pt idx="75">
                  <c:v>442.99256054965764</c:v>
                </c:pt>
                <c:pt idx="76">
                  <c:v>387.99604929412675</c:v>
                </c:pt>
                <c:pt idx="77">
                  <c:v>402.71916140738546</c:v>
                </c:pt>
                <c:pt idx="78">
                  <c:v>417.43063383513555</c:v>
                </c:pt>
                <c:pt idx="79">
                  <c:v>432.13093449997854</c:v>
                </c:pt>
                <c:pt idx="80">
                  <c:v>446.82049689717434</c:v>
                </c:pt>
                <c:pt idx="81">
                  <c:v>461.49972369979611</c:v>
                </c:pt>
                <c:pt idx="82">
                  <c:v>476.16898988135159</c:v>
                </c:pt>
                <c:pt idx="83">
                  <c:v>490.8286454336303</c:v>
                </c:pt>
                <c:pt idx="84">
                  <c:v>426.05876215311855</c:v>
                </c:pt>
                <c:pt idx="85">
                  <c:v>440.35552328942782</c:v>
                </c:pt>
                <c:pt idx="86">
                  <c:v>454.64233594685237</c:v>
                </c:pt>
                <c:pt idx="87">
                  <c:v>468.91955672259991</c:v>
                </c:pt>
                <c:pt idx="88">
                  <c:v>483.18751873278489</c:v>
                </c:pt>
                <c:pt idx="89">
                  <c:v>497.44653382078923</c:v>
                </c:pt>
                <c:pt idx="90">
                  <c:v>511.69689449928336</c:v>
                </c:pt>
                <c:pt idx="91">
                  <c:v>525.93887566470653</c:v>
                </c:pt>
                <c:pt idx="92">
                  <c:v>540.17273611642679</c:v>
                </c:pt>
                <c:pt idx="93">
                  <c:v>554.39871990749418</c:v>
                </c:pt>
                <c:pt idx="94">
                  <c:v>462.45057577316379</c:v>
                </c:pt>
                <c:pt idx="95">
                  <c:v>476.2297193668951</c:v>
                </c:pt>
                <c:pt idx="96">
                  <c:v>490.00038431965748</c:v>
                </c:pt>
                <c:pt idx="97">
                  <c:v>503.76284242511315</c:v>
                </c:pt>
                <c:pt idx="98">
                  <c:v>517.51734941902237</c:v>
                </c:pt>
                <c:pt idx="99">
                  <c:v>531.26414633845241</c:v>
                </c:pt>
                <c:pt idx="100">
                  <c:v>545.00346073302319</c:v>
                </c:pt>
                <c:pt idx="101">
                  <c:v>558.73550774769456</c:v>
                </c:pt>
                <c:pt idx="102">
                  <c:v>572.46049109360445</c:v>
                </c:pt>
                <c:pt idx="103">
                  <c:v>586.17860392099487</c:v>
                </c:pt>
                <c:pt idx="104">
                  <c:v>494.39304365003255</c:v>
                </c:pt>
                <c:pt idx="105">
                  <c:v>507.69808885047905</c:v>
                </c:pt>
                <c:pt idx="106">
                  <c:v>520.99576594668645</c:v>
                </c:pt>
                <c:pt idx="107">
                  <c:v>534.28628945011303</c:v>
                </c:pt>
                <c:pt idx="108">
                  <c:v>547.56986233272289</c:v>
                </c:pt>
                <c:pt idx="109">
                  <c:v>560.84667691848119</c:v>
                </c:pt>
                <c:pt idx="110">
                  <c:v>574.11691568606932</c:v>
                </c:pt>
                <c:pt idx="111">
                  <c:v>587.38075199355023</c:v>
                </c:pt>
                <c:pt idx="112">
                  <c:v>600.63835073419614</c:v>
                </c:pt>
                <c:pt idx="113">
                  <c:v>613.88986893142953</c:v>
                </c:pt>
                <c:pt idx="114">
                  <c:v>521.12234181312056</c:v>
                </c:pt>
                <c:pt idx="115">
                  <c:v>534.29698035461945</c:v>
                </c:pt>
                <c:pt idx="116">
                  <c:v>547.46478909061773</c:v>
                </c:pt>
                <c:pt idx="117">
                  <c:v>560.62595539326617</c:v>
                </c:pt>
                <c:pt idx="118">
                  <c:v>573.78065712263424</c:v>
                </c:pt>
                <c:pt idx="119">
                  <c:v>586.92906332116638</c:v>
                </c:pt>
                <c:pt idx="120">
                  <c:v>600.07133484269514</c:v>
                </c:pt>
                <c:pt idx="121">
                  <c:v>613.20762492350696</c:v>
                </c:pt>
                <c:pt idx="122">
                  <c:v>626.33807970195176</c:v>
                </c:pt>
                <c:pt idx="123">
                  <c:v>639.46283869223191</c:v>
                </c:pt>
                <c:pt idx="124">
                  <c:v>333.6660506110839</c:v>
                </c:pt>
                <c:pt idx="125">
                  <c:v>341.01717737647567</c:v>
                </c:pt>
                <c:pt idx="126">
                  <c:v>236.43132973115257</c:v>
                </c:pt>
                <c:pt idx="127">
                  <c:v>241.4909819994119</c:v>
                </c:pt>
                <c:pt idx="128">
                  <c:v>173.26777390076953</c:v>
                </c:pt>
                <c:pt idx="129">
                  <c:v>177.0427019008545</c:v>
                </c:pt>
                <c:pt idx="130">
                  <c:v>180.81574144693499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3.0805225009345862E-12</c:v>
                </c:pt>
                <c:pt idx="92">
                  <c:v>3.0805225009345862E-12</c:v>
                </c:pt>
                <c:pt idx="93">
                  <c:v>3.0805225009345862E-12</c:v>
                </c:pt>
                <c:pt idx="94">
                  <c:v>3.0805225009345862E-12</c:v>
                </c:pt>
                <c:pt idx="95">
                  <c:v>3.0805225009345862E-12</c:v>
                </c:pt>
                <c:pt idx="96">
                  <c:v>3.0805225009345862E-12</c:v>
                </c:pt>
                <c:pt idx="97">
                  <c:v>3.0805225009345862E-12</c:v>
                </c:pt>
                <c:pt idx="98">
                  <c:v>3.0805225009345862E-12</c:v>
                </c:pt>
                <c:pt idx="99">
                  <c:v>3.0805225009345862E-12</c:v>
                </c:pt>
                <c:pt idx="100">
                  <c:v>3.0805225009345862E-12</c:v>
                </c:pt>
                <c:pt idx="101">
                  <c:v>3.0805225009345862E-12</c:v>
                </c:pt>
                <c:pt idx="102">
                  <c:v>3.0805225009345862E-12</c:v>
                </c:pt>
                <c:pt idx="103">
                  <c:v>3.0805225009345862E-12</c:v>
                </c:pt>
                <c:pt idx="104">
                  <c:v>3.0805225009345862E-12</c:v>
                </c:pt>
                <c:pt idx="105">
                  <c:v>3.0805225009345862E-12</c:v>
                </c:pt>
                <c:pt idx="106">
                  <c:v>3.0805225009345862E-12</c:v>
                </c:pt>
                <c:pt idx="107">
                  <c:v>3.0805225009345862E-12</c:v>
                </c:pt>
                <c:pt idx="108">
                  <c:v>3.0805225009345862E-12</c:v>
                </c:pt>
                <c:pt idx="109">
                  <c:v>3.0805225009345862E-12</c:v>
                </c:pt>
                <c:pt idx="110">
                  <c:v>3.0805225009345862E-12</c:v>
                </c:pt>
                <c:pt idx="111">
                  <c:v>3.0805225009345862E-12</c:v>
                </c:pt>
                <c:pt idx="112">
                  <c:v>3.0805225009345862E-12</c:v>
                </c:pt>
                <c:pt idx="113">
                  <c:v>3.0805225009345862E-12</c:v>
                </c:pt>
                <c:pt idx="114">
                  <c:v>3.0805225009345862E-12</c:v>
                </c:pt>
                <c:pt idx="115">
                  <c:v>3.0805225009345862E-12</c:v>
                </c:pt>
                <c:pt idx="116">
                  <c:v>3.0805225009345862E-12</c:v>
                </c:pt>
                <c:pt idx="117">
                  <c:v>3.0805225009345862E-12</c:v>
                </c:pt>
                <c:pt idx="118">
                  <c:v>3.0805225009345862E-12</c:v>
                </c:pt>
                <c:pt idx="119">
                  <c:v>3.0805225009345862E-12</c:v>
                </c:pt>
                <c:pt idx="120">
                  <c:v>3.0805225009345862E-12</c:v>
                </c:pt>
                <c:pt idx="121">
                  <c:v>3.0805225009345862E-12</c:v>
                </c:pt>
                <c:pt idx="122">
                  <c:v>3.0805225009345862E-12</c:v>
                </c:pt>
                <c:pt idx="123">
                  <c:v>3.0805225009345862E-12</c:v>
                </c:pt>
                <c:pt idx="124">
                  <c:v>3.0805225009345862E-12</c:v>
                </c:pt>
                <c:pt idx="125">
                  <c:v>3.0805225009345862E-12</c:v>
                </c:pt>
                <c:pt idx="126">
                  <c:v>3.0805225009345862E-12</c:v>
                </c:pt>
                <c:pt idx="127">
                  <c:v>3.0805225009345862E-12</c:v>
                </c:pt>
                <c:pt idx="128">
                  <c:v>3.0805225009345862E-12</c:v>
                </c:pt>
                <c:pt idx="129">
                  <c:v>3.0805225009345862E-12</c:v>
                </c:pt>
                <c:pt idx="130">
                  <c:v>3.0805225009345862E-12</c:v>
                </c:pt>
                <c:pt idx="131">
                  <c:v>3.0805225009345862E-12</c:v>
                </c:pt>
                <c:pt idx="132">
                  <c:v>3.0805225009345862E-12</c:v>
                </c:pt>
                <c:pt idx="133">
                  <c:v>3.0805225009345862E-12</c:v>
                </c:pt>
                <c:pt idx="134">
                  <c:v>3.0805225009345862E-12</c:v>
                </c:pt>
                <c:pt idx="135">
                  <c:v>3.0805225009345862E-12</c:v>
                </c:pt>
                <c:pt idx="136">
                  <c:v>3.0805225009345862E-12</c:v>
                </c:pt>
                <c:pt idx="137">
                  <c:v>3.0805225009345862E-12</c:v>
                </c:pt>
                <c:pt idx="138">
                  <c:v>3.0805225009345862E-12</c:v>
                </c:pt>
                <c:pt idx="139">
                  <c:v>3.0805225009345862E-12</c:v>
                </c:pt>
                <c:pt idx="140">
                  <c:v>3.0805225009345862E-12</c:v>
                </c:pt>
                <c:pt idx="141">
                  <c:v>3.0805225009345862E-12</c:v>
                </c:pt>
                <c:pt idx="142">
                  <c:v>3.0805225009345862E-12</c:v>
                </c:pt>
                <c:pt idx="143">
                  <c:v>3.0805225009345862E-12</c:v>
                </c:pt>
                <c:pt idx="144">
                  <c:v>3.0805225009345862E-12</c:v>
                </c:pt>
                <c:pt idx="145">
                  <c:v>3.0805225009345862E-12</c:v>
                </c:pt>
                <c:pt idx="146">
                  <c:v>3.0805225009345862E-12</c:v>
                </c:pt>
                <c:pt idx="147">
                  <c:v>3.0805225009345862E-12</c:v>
                </c:pt>
                <c:pt idx="148">
                  <c:v>3.0805225009345862E-12</c:v>
                </c:pt>
                <c:pt idx="149">
                  <c:v>3.0805225009345862E-12</c:v>
                </c:pt>
                <c:pt idx="150">
                  <c:v>3.0805225009345862E-12</c:v>
                </c:pt>
                <c:pt idx="151">
                  <c:v>3.0805225009345862E-12</c:v>
                </c:pt>
                <c:pt idx="152">
                  <c:v>3.0805225009345862E-12</c:v>
                </c:pt>
                <c:pt idx="153">
                  <c:v>3.0805225009345862E-12</c:v>
                </c:pt>
                <c:pt idx="154">
                  <c:v>3.0805225009345862E-12</c:v>
                </c:pt>
                <c:pt idx="155">
                  <c:v>3.0805225009345862E-12</c:v>
                </c:pt>
                <c:pt idx="156">
                  <c:v>3.0805225009345862E-12</c:v>
                </c:pt>
                <c:pt idx="157">
                  <c:v>3.0805225009345862E-12</c:v>
                </c:pt>
                <c:pt idx="158">
                  <c:v>3.0805225009345862E-12</c:v>
                </c:pt>
                <c:pt idx="159">
                  <c:v>3.0805225009345862E-12</c:v>
                </c:pt>
                <c:pt idx="160">
                  <c:v>3.0805225009345862E-12</c:v>
                </c:pt>
                <c:pt idx="161">
                  <c:v>3.0805225009345862E-12</c:v>
                </c:pt>
                <c:pt idx="162">
                  <c:v>3.0805225009345862E-12</c:v>
                </c:pt>
                <c:pt idx="163">
                  <c:v>3.0805225009345862E-12</c:v>
                </c:pt>
                <c:pt idx="164">
                  <c:v>3.0805225009345862E-12</c:v>
                </c:pt>
                <c:pt idx="165">
                  <c:v>3.0805225009345862E-12</c:v>
                </c:pt>
                <c:pt idx="166">
                  <c:v>3.0805225009345862E-12</c:v>
                </c:pt>
                <c:pt idx="167">
                  <c:v>3.0805225009345862E-12</c:v>
                </c:pt>
                <c:pt idx="168">
                  <c:v>3.0805225009345862E-12</c:v>
                </c:pt>
                <c:pt idx="169">
                  <c:v>3.0805225009345862E-12</c:v>
                </c:pt>
                <c:pt idx="170">
                  <c:v>3.0805225009345862E-12</c:v>
                </c:pt>
                <c:pt idx="171">
                  <c:v>3.0805225009345862E-12</c:v>
                </c:pt>
                <c:pt idx="172">
                  <c:v>3.0805225009345862E-12</c:v>
                </c:pt>
                <c:pt idx="173">
                  <c:v>3.0805225009345862E-12</c:v>
                </c:pt>
                <c:pt idx="174">
                  <c:v>3.0805225009345862E-12</c:v>
                </c:pt>
                <c:pt idx="175">
                  <c:v>3.0805225009345862E-12</c:v>
                </c:pt>
                <c:pt idx="176">
                  <c:v>3.0805225009345862E-12</c:v>
                </c:pt>
                <c:pt idx="177">
                  <c:v>3.0805225009345862E-12</c:v>
                </c:pt>
                <c:pt idx="178">
                  <c:v>3.0805225009345862E-12</c:v>
                </c:pt>
                <c:pt idx="179">
                  <c:v>3.0805225009345862E-12</c:v>
                </c:pt>
                <c:pt idx="180">
                  <c:v>3.0805225009345862E-12</c:v>
                </c:pt>
                <c:pt idx="181">
                  <c:v>3.0805225009345862E-12</c:v>
                </c:pt>
                <c:pt idx="182">
                  <c:v>3.0805225009345862E-12</c:v>
                </c:pt>
                <c:pt idx="183">
                  <c:v>3.0805225009345862E-12</c:v>
                </c:pt>
                <c:pt idx="184">
                  <c:v>3.0805225009345862E-12</c:v>
                </c:pt>
                <c:pt idx="185">
                  <c:v>3.0805225009345862E-12</c:v>
                </c:pt>
                <c:pt idx="186">
                  <c:v>3.0805225009345862E-12</c:v>
                </c:pt>
                <c:pt idx="187">
                  <c:v>3.0805225009345862E-12</c:v>
                </c:pt>
                <c:pt idx="188">
                  <c:v>3.0805225009345862E-12</c:v>
                </c:pt>
                <c:pt idx="189">
                  <c:v>3.0805225009345862E-12</c:v>
                </c:pt>
                <c:pt idx="190">
                  <c:v>3.0805225009345862E-12</c:v>
                </c:pt>
                <c:pt idx="191">
                  <c:v>3.0805225009345862E-12</c:v>
                </c:pt>
                <c:pt idx="192">
                  <c:v>3.0805225009345862E-12</c:v>
                </c:pt>
                <c:pt idx="193">
                  <c:v>3.0805225009345862E-12</c:v>
                </c:pt>
                <c:pt idx="194">
                  <c:v>3.0805225009345862E-12</c:v>
                </c:pt>
                <c:pt idx="195">
                  <c:v>3.0805225009345862E-12</c:v>
                </c:pt>
                <c:pt idx="196">
                  <c:v>3.0805225009345862E-12</c:v>
                </c:pt>
                <c:pt idx="197">
                  <c:v>3.0805225009345862E-12</c:v>
                </c:pt>
                <c:pt idx="198">
                  <c:v>3.0805225009345862E-12</c:v>
                </c:pt>
                <c:pt idx="199">
                  <c:v>3.0805225009345862E-12</c:v>
                </c:pt>
                <c:pt idx="200">
                  <c:v>3.0805225009345862E-12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839.26037775889756</c:v>
                </c:pt>
                <c:pt idx="126">
                  <c:v>857.46013500919116</c:v>
                </c:pt>
                <c:pt idx="127">
                  <c:v>875.65214814404089</c:v>
                </c:pt>
                <c:pt idx="128">
                  <c:v>893.83660052010089</c:v>
                </c:pt>
                <c:pt idx="129">
                  <c:v>912.01366743440576</c:v>
                </c:pt>
                <c:pt idx="130">
                  <c:v>930.18351663545093</c:v>
                </c:pt>
                <c:pt idx="131">
                  <c:v>948.34630879231224</c:v>
                </c:pt>
                <c:pt idx="132">
                  <c:v>966.50219792601331</c:v>
                </c:pt>
                <c:pt idx="133">
                  <c:v>984.65133180683051</c:v>
                </c:pt>
                <c:pt idx="134">
                  <c:v>1002.7938523208308</c:v>
                </c:pt>
                <c:pt idx="135">
                  <c:v>897.50638969514159</c:v>
                </c:pt>
                <c:pt idx="136">
                  <c:v>915.88239559779674</c:v>
                </c:pt>
                <c:pt idx="137">
                  <c:v>934.25105924881802</c:v>
                </c:pt>
                <c:pt idx="138">
                  <c:v>952.61254515586586</c:v>
                </c:pt>
                <c:pt idx="139">
                  <c:v>970.96701097617427</c:v>
                </c:pt>
                <c:pt idx="140">
                  <c:v>989.31460792852465</c:v>
                </c:pt>
                <c:pt idx="141">
                  <c:v>1007.655481173109</c:v>
                </c:pt>
                <c:pt idx="142">
                  <c:v>1025.989770162342</c:v>
                </c:pt>
                <c:pt idx="143">
                  <c:v>1044.3176089653236</c:v>
                </c:pt>
                <c:pt idx="144">
                  <c:v>1062.6391265683815</c:v>
                </c:pt>
                <c:pt idx="145">
                  <c:v>955.46774147647739</c:v>
                </c:pt>
                <c:pt idx="146">
                  <c:v>974.19446887125389</c:v>
                </c:pt>
                <c:pt idx="147">
                  <c:v>992.9140720569859</c:v>
                </c:pt>
                <c:pt idx="148">
                  <c:v>1011.626704081932</c:v>
                </c:pt>
                <c:pt idx="149">
                  <c:v>1030.3325118786743</c:v>
                </c:pt>
                <c:pt idx="150">
                  <c:v>1049.0316366173113</c:v>
                </c:pt>
                <c:pt idx="151">
                  <c:v>1067.7242140322026</c:v>
                </c:pt>
                <c:pt idx="152">
                  <c:v>1086.4103747246743</c:v>
                </c:pt>
                <c:pt idx="153">
                  <c:v>1105.0902444438475</c:v>
                </c:pt>
                <c:pt idx="154">
                  <c:v>1123.7639443475252</c:v>
                </c:pt>
                <c:pt idx="155">
                  <c:v>1018.9592872251741</c:v>
                </c:pt>
                <c:pt idx="156">
                  <c:v>1037.9275131152133</c:v>
                </c:pt>
                <c:pt idx="157">
                  <c:v>1056.8889224929817</c:v>
                </c:pt>
                <c:pt idx="158">
                  <c:v>1075.8436546984512</c:v>
                </c:pt>
                <c:pt idx="159">
                  <c:v>1094.7918437687465</c:v>
                </c:pt>
                <c:pt idx="160">
                  <c:v>1113.7336187300759</c:v>
                </c:pt>
                <c:pt idx="161">
                  <c:v>1132.6691038688009</c:v>
                </c:pt>
                <c:pt idx="162">
                  <c:v>1151.598418983466</c:v>
                </c:pt>
                <c:pt idx="163">
                  <c:v>1170.5216796194243</c:v>
                </c:pt>
                <c:pt idx="164">
                  <c:v>1189.4389972875249</c:v>
                </c:pt>
                <c:pt idx="165">
                  <c:v>1074.999666097814</c:v>
                </c:pt>
                <c:pt idx="166">
                  <c:v>1094.1792649882436</c:v>
                </c:pt>
                <c:pt idx="167">
                  <c:v>1113.3522881109047</c:v>
                </c:pt>
                <c:pt idx="168">
                  <c:v>1132.518864482892</c:v>
                </c:pt>
                <c:pt idx="169">
                  <c:v>1151.6791184052299</c:v>
                </c:pt>
                <c:pt idx="170">
                  <c:v>1170.8331697124213</c:v>
                </c:pt>
                <c:pt idx="171">
                  <c:v>1189.9811340048411</c:v>
                </c:pt>
                <c:pt idx="172">
                  <c:v>1209.1231228654231</c:v>
                </c:pt>
                <c:pt idx="173">
                  <c:v>1228.2592440619312</c:v>
                </c:pt>
                <c:pt idx="174">
                  <c:v>1247.3896017359975</c:v>
                </c:pt>
                <c:pt idx="175">
                  <c:v>776.74375886328278</c:v>
                </c:pt>
                <c:pt idx="176">
                  <c:v>788.91166508101742</c:v>
                </c:pt>
                <c:pt idx="177">
                  <c:v>801.07577688948459</c:v>
                </c:pt>
                <c:pt idx="178">
                  <c:v>547.42574104849564</c:v>
                </c:pt>
                <c:pt idx="179">
                  <c:v>554.83558256102708</c:v>
                </c:pt>
                <c:pt idx="180">
                  <c:v>562.24335111699042</c:v>
                </c:pt>
                <c:pt idx="181">
                  <c:v>389.29435812328035</c:v>
                </c:pt>
                <c:pt idx="182">
                  <c:v>393.77127654313722</c:v>
                </c:pt>
                <c:pt idx="183">
                  <c:v>398.24709148150777</c:v>
                </c:pt>
                <c:pt idx="184">
                  <c:v>1.213734449314598E-11</c:v>
                </c:pt>
                <c:pt idx="185">
                  <c:v>1.213734449314598E-11</c:v>
                </c:pt>
                <c:pt idx="186">
                  <c:v>1.213734449314598E-11</c:v>
                </c:pt>
                <c:pt idx="187">
                  <c:v>1.213734449314598E-11</c:v>
                </c:pt>
                <c:pt idx="188">
                  <c:v>1.213734449314598E-11</c:v>
                </c:pt>
                <c:pt idx="189">
                  <c:v>1.213734449314598E-11</c:v>
                </c:pt>
                <c:pt idx="190">
                  <c:v>1.213734449314598E-11</c:v>
                </c:pt>
                <c:pt idx="191">
                  <c:v>1.213734449314598E-11</c:v>
                </c:pt>
                <c:pt idx="192">
                  <c:v>1.213734449314598E-11</c:v>
                </c:pt>
                <c:pt idx="193">
                  <c:v>1.213734449314598E-11</c:v>
                </c:pt>
                <c:pt idx="194">
                  <c:v>1.213734449314598E-11</c:v>
                </c:pt>
                <c:pt idx="195">
                  <c:v>1.213734449314598E-11</c:v>
                </c:pt>
                <c:pt idx="196">
                  <c:v>1.213734449314598E-11</c:v>
                </c:pt>
                <c:pt idx="197">
                  <c:v>1.213734449314598E-11</c:v>
                </c:pt>
                <c:pt idx="198">
                  <c:v>1.213734449314598E-11</c:v>
                </c:pt>
                <c:pt idx="199">
                  <c:v>1.213734449314598E-11</c:v>
                </c:pt>
                <c:pt idx="200">
                  <c:v>1.213734449314598E-11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5997DB15-2137-4720-9056-4C6CAFDB89E8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9" dT="2024-11-27T17:07:34.75" personId="{5997DB15-2137-4720-9056-4C6CAFDB89E8}" id="{2DDBE95B-D991-4898-9670-D4F13324EC31}">
    <text>A recopier sur toutes les essences.
Correspond aux frais fixes d’entretien mécanique + répulsif gibier</text>
  </threadedComment>
  <threadedComment ref="I19" dT="2024-12-11T11:55:34.51" personId="{5997DB15-2137-4720-9056-4C6CAFDB89E8}" id="{9AD5FF7B-F2A3-4D95-B9F9-A8D858B95E57}">
    <text>Toutes les ans pendant la durée du contrat : frais de gardiennage 20€/ha/an</text>
  </threadedComment>
  <threadedComment ref="E20" dT="2024-11-27T17:08:05.48" personId="{5997DB15-2137-4720-9056-4C6CAFDB89E8}" id="{D6E55C65-A27D-430F-8C47-61A1DA161EE2}">
    <text xml:space="preserve">A recopier sur toutes les essences
Correspond aux frais fixes entretien manuel + répulsif gibier + regarnis
</text>
  </threadedComment>
  <threadedComment ref="I20" dT="2024-11-27T17:08:22.16" personId="{5997DB15-2137-4720-9056-4C6CAFDB89E8}" id="{8C4AB574-5B9A-426A-ADE1-8DDA545EB364}">
    <text>Année 1 : demande cas par cas + diagnostic gestionnaire</text>
  </threadedComment>
  <threadedComment ref="E21" dT="2024-11-27T17:07:34.75" personId="{5997DB15-2137-4720-9056-4C6CAFDB89E8}" id="{B7213BED-F7A7-42FD-BE50-C3BFAB1B6409}">
    <text>A recopier sur toutes les essences.
Correspond aux frais fixes d’entretien mécanique + répulsif gibier</text>
  </threadedComment>
  <threadedComment ref="I22" dT="2024-11-27T17:08:31.44" personId="{5997DB15-2137-4720-9056-4C6CAFDB89E8}" id="{348C3438-161A-4395-B4E7-637BD1883F52}">
    <text>Année 3 : rédaction DGD</text>
  </threadedComment>
  <threadedComment ref="I24" dT="2024-11-27T17:08:41.71" personId="{5997DB15-2137-4720-9056-4C6CAFDB89E8}" id="{1CA53D21-A6CA-437D-B7C2-0BE1BA55436A}">
    <text>Année 5 : facturation maitrise d'œuvre</text>
  </threadedComment>
  <threadedComment ref="E50" dT="2024-11-27T17:07:34.75" personId="{5997DB15-2137-4720-9056-4C6CAFDB89E8}" id="{1005D90C-049B-40A4-9C80-BB4A2B287663}">
    <text>A recopier sur toutes les essences.
Correspond aux frais fixes d’entretien mécanique + répulsif gibier</text>
  </threadedComment>
  <threadedComment ref="E51" dT="2024-11-27T17:08:05.48" personId="{5997DB15-2137-4720-9056-4C6CAFDB89E8}" id="{986C3ED0-3262-4961-B7EC-4B3C4FBFD589}">
    <text xml:space="preserve">A recopier sur toutes les essences
Correspond aux frais fixes entretien manuel + répulsif gibier + regarnis
</text>
  </threadedComment>
  <threadedComment ref="E52" dT="2024-11-27T17:07:34.75" personId="{5997DB15-2137-4720-9056-4C6CAFDB89E8}" id="{20C20C63-E04F-4FDC-9C91-AEE4BC3C059F}">
    <text>A recopier sur toutes les essences.
Correspond aux frais fixes d’entretien mécanique + répulsif gibier</text>
  </threadedComment>
  <threadedComment ref="E81" dT="2024-11-27T17:07:34.75" personId="{5997DB15-2137-4720-9056-4C6CAFDB89E8}" id="{083B0D46-AF0F-4B51-89B2-332E0BBCCE4D}">
    <text>A recopier sur toutes les essences.
Correspond aux frais fixes d’entretien mécanique + répulsif gibier</text>
  </threadedComment>
  <threadedComment ref="E82" dT="2024-11-27T17:08:05.48" personId="{5997DB15-2137-4720-9056-4C6CAFDB89E8}" id="{EA203914-782D-4EAE-B41D-674FFE1FB028}">
    <text xml:space="preserve">A recopier sur toutes les essences
Correspond aux frais fixes entretien manuel + répulsif gibier + regarnis
</text>
  </threadedComment>
  <threadedComment ref="E83" dT="2024-11-27T17:07:34.75" personId="{5997DB15-2137-4720-9056-4C6CAFDB89E8}" id="{1AF5771D-9BE5-4B60-8226-E9AE02190BCB}">
    <text>A recopier sur toutes les essences.
Correspond aux frais fixes d’entretien mécanique + répulsif gibier</text>
  </threadedComment>
  <threadedComment ref="E112" dT="2024-11-27T17:07:34.75" personId="{5997DB15-2137-4720-9056-4C6CAFDB89E8}" id="{05726494-5BAD-4F46-8D61-E7B16FC66747}">
    <text>A recopier sur toutes les essences.
Correspond aux frais fixes d’entretien mécanique + répulsif gibier</text>
  </threadedComment>
  <threadedComment ref="E113" dT="2024-11-27T17:08:05.48" personId="{5997DB15-2137-4720-9056-4C6CAFDB89E8}" id="{95857540-743A-43BF-8887-9385989B0D38}">
    <text xml:space="preserve">A recopier sur toutes les essences
Correspond aux frais fixes entretien manuel + répulsif gibier + regarnis
</text>
  </threadedComment>
  <threadedComment ref="E114" dT="2024-11-27T17:07:34.75" personId="{5997DB15-2137-4720-9056-4C6CAFDB89E8}" id="{1885077E-20C8-42BA-89FE-70573130560E}">
    <text>A recopier sur toutes les essences.
Correspond aux frais fixes d’entretien mécanique + répulsif gibier</text>
  </threadedComment>
  <threadedComment ref="E143" dT="2024-11-27T17:07:34.75" personId="{5997DB15-2137-4720-9056-4C6CAFDB89E8}" id="{6E7741B1-CD47-4375-BE19-4EC23C92F9D8}">
    <text>A recopier sur toutes les essences.
Correspond aux frais fixes d’entretien mécanique + répulsif gibier</text>
  </threadedComment>
  <threadedComment ref="E144" dT="2024-11-27T17:08:05.48" personId="{5997DB15-2137-4720-9056-4C6CAFDB89E8}" id="{A70DE854-9878-4B25-9B99-C8A598044CC0}">
    <text xml:space="preserve">A recopier sur toutes les essences
Correspond aux frais fixes entretien manuel + répulsif gibier + regarnis
</text>
  </threadedComment>
  <threadedComment ref="E145" dT="2024-11-27T17:07:34.75" personId="{5997DB15-2137-4720-9056-4C6CAFDB89E8}" id="{2D1C45C7-4E5F-4AE2-A029-52AE859333FC}">
    <text>A recopier sur toutes les essences.
Correspond aux frais fixes d’entretien mécanique + répulsif gibier</text>
  </threadedComment>
  <threadedComment ref="E174" dT="2024-11-27T17:07:34.75" personId="{5997DB15-2137-4720-9056-4C6CAFDB89E8}" id="{EA85D587-F1A0-426E-8410-97E8E7824428}">
    <text>A recopier sur toutes les essences.
Correspond aux frais fixes d’entretien mécanique + répulsif gibier</text>
  </threadedComment>
  <threadedComment ref="E175" dT="2024-11-27T17:08:05.48" personId="{5997DB15-2137-4720-9056-4C6CAFDB89E8}" id="{8B456F64-950A-4CAD-8C0D-D32F4578043C}">
    <text xml:space="preserve">A recopier sur toutes les essences
Correspond aux frais fixes entretien manuel + répulsif gibier + regarnis
</text>
  </threadedComment>
  <threadedComment ref="E176" dT="2024-11-27T17:07:34.75" personId="{5997DB15-2137-4720-9056-4C6CAFDB89E8}" id="{FFA5FB6E-728B-48E7-BAB0-26790361B1FF}">
    <text>A recopier sur toutes les essences.
Correspond aux frais fixes d’entretien mécanique + répulsif gibier</text>
  </threadedComment>
  <threadedComment ref="E205" dT="2024-11-27T17:07:34.75" personId="{5997DB15-2137-4720-9056-4C6CAFDB89E8}" id="{324B98FA-AF6E-4454-87E8-986891FB2AF3}">
    <text>A recopier sur toutes les essences.
Correspond aux frais fixes d’entretien mécanique + répulsif gibier</text>
  </threadedComment>
  <threadedComment ref="E206" dT="2024-11-27T17:08:05.48" personId="{5997DB15-2137-4720-9056-4C6CAFDB89E8}" id="{5099B5B6-FE71-49C5-9374-7818F0CE0272}">
    <text xml:space="preserve">A recopier sur toutes les essences
Correspond aux frais fixes entretien manuel + répulsif gibier + regarnis
</text>
  </threadedComment>
  <threadedComment ref="E207" dT="2024-11-27T17:07:34.75" personId="{5997DB15-2137-4720-9056-4C6CAFDB89E8}" id="{0291C25E-7400-47D9-AA08-F3083BCB7940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3" sqref="C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2.5099999999999998</v>
      </c>
      <c r="D5" s="269" t="s">
        <v>8</v>
      </c>
      <c r="E5" s="270"/>
      <c r="F5" s="90"/>
      <c r="G5" s="218"/>
      <c r="H5" s="218"/>
      <c r="I5" s="218" t="s">
        <v>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10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11</v>
      </c>
      <c r="C8" s="26" t="s">
        <v>12</v>
      </c>
      <c r="D8" s="27" t="s">
        <v>13</v>
      </c>
      <c r="E8" s="28" t="s">
        <v>14</v>
      </c>
      <c r="F8" s="29" t="s">
        <v>15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</v>
      </c>
      <c r="B9" s="31" t="s">
        <v>126</v>
      </c>
      <c r="C9" s="32">
        <v>0.30447637836579178</v>
      </c>
      <c r="D9" s="33">
        <f t="shared" ref="D9:D18" si="0">C9*$C$5</f>
        <v>0.76423570969813726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144</v>
      </c>
      <c r="C10" s="32">
        <v>0.25916341058374082</v>
      </c>
      <c r="D10" s="33">
        <f t="shared" si="0"/>
        <v>0.65050016056518944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19</v>
      </c>
      <c r="B11" s="31" t="s">
        <v>138</v>
      </c>
      <c r="C11" s="32">
        <v>0.20307386382536646</v>
      </c>
      <c r="D11" s="33">
        <f t="shared" si="0"/>
        <v>0.50971539820166978</v>
      </c>
      <c r="E11" s="34">
        <v>130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20</v>
      </c>
      <c r="B12" s="31" t="s">
        <v>116</v>
      </c>
      <c r="C12" s="32">
        <v>7.804891544931386E-2</v>
      </c>
      <c r="D12" s="33">
        <f t="shared" si="0"/>
        <v>0.19590277777777779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21</v>
      </c>
      <c r="B13" s="31" t="s">
        <v>106</v>
      </c>
      <c r="C13" s="32">
        <v>3.2999984647153195E-2</v>
      </c>
      <c r="D13" s="33">
        <f t="shared" si="0"/>
        <v>8.2829961464354507E-2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22</v>
      </c>
      <c r="B14" s="31" t="s">
        <v>150</v>
      </c>
      <c r="C14" s="32">
        <v>1.7893742947286E-2</v>
      </c>
      <c r="D14" s="33">
        <f t="shared" si="0"/>
        <v>4.491329479768786E-2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27</v>
      </c>
      <c r="C19" s="37">
        <f>SUM(C9:C18)</f>
        <v>0.89565629581865192</v>
      </c>
      <c r="D19" s="38">
        <f>SUM(D9:D18)</f>
        <v>2.2480973025048168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15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34</v>
      </c>
      <c r="B26" s="42" t="s">
        <v>35</v>
      </c>
      <c r="C26" s="43">
        <v>0.1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</v>
      </c>
      <c r="B32" s="47" t="str">
        <f>IF(B9="","",B9)</f>
        <v>Charme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42</v>
      </c>
      <c r="C34" s="259" t="s">
        <v>43</v>
      </c>
      <c r="D34" s="259"/>
      <c r="E34" s="260" t="s">
        <v>44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42</v>
      </c>
      <c r="B36" s="60">
        <v>163.26</v>
      </c>
      <c r="C36" s="60">
        <v>1</v>
      </c>
      <c r="D36" s="60">
        <v>43.21</v>
      </c>
      <c r="E36" s="51">
        <v>0.3</v>
      </c>
      <c r="F36" s="51">
        <v>0</v>
      </c>
      <c r="G36" s="51">
        <v>0</v>
      </c>
      <c r="H36" s="51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50</v>
      </c>
      <c r="B37" s="60">
        <v>195.02</v>
      </c>
      <c r="C37" s="60">
        <v>2</v>
      </c>
      <c r="D37" s="60">
        <v>35.58</v>
      </c>
      <c r="E37" s="51">
        <v>0.3</v>
      </c>
      <c r="F37" s="51">
        <v>0</v>
      </c>
      <c r="G37" s="51">
        <v>0</v>
      </c>
      <c r="H37" s="51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58</v>
      </c>
      <c r="B38" s="60">
        <v>235.87</v>
      </c>
      <c r="C38" s="60">
        <v>3</v>
      </c>
      <c r="D38" s="60">
        <v>44.93</v>
      </c>
      <c r="E38" s="51">
        <v>0.3</v>
      </c>
      <c r="F38" s="51">
        <v>0</v>
      </c>
      <c r="G38" s="51">
        <v>0</v>
      </c>
      <c r="H38" s="51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66</v>
      </c>
      <c r="B39" s="60">
        <v>264.95999999999998</v>
      </c>
      <c r="C39" s="60">
        <v>4</v>
      </c>
      <c r="D39" s="60">
        <v>49.91</v>
      </c>
      <c r="E39" s="51">
        <v>0.6</v>
      </c>
      <c r="F39" s="51">
        <v>0</v>
      </c>
      <c r="G39" s="51">
        <v>0</v>
      </c>
      <c r="H39" s="51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74</v>
      </c>
      <c r="B40" s="60">
        <v>285.98</v>
      </c>
      <c r="C40" s="60">
        <v>5</v>
      </c>
      <c r="D40" s="60">
        <v>47.4</v>
      </c>
      <c r="E40" s="51">
        <v>0.6</v>
      </c>
      <c r="F40" s="51">
        <v>0</v>
      </c>
      <c r="G40" s="51">
        <v>0</v>
      </c>
      <c r="H40" s="51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84</v>
      </c>
      <c r="B41" s="60">
        <v>325.35000000000002</v>
      </c>
      <c r="C41" s="60">
        <v>6</v>
      </c>
      <c r="D41" s="60">
        <v>61.47</v>
      </c>
      <c r="E41" s="51">
        <v>0.6</v>
      </c>
      <c r="F41" s="51">
        <v>0</v>
      </c>
      <c r="G41" s="51">
        <v>0</v>
      </c>
      <c r="H41" s="51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94</v>
      </c>
      <c r="B42" s="60">
        <v>346.79</v>
      </c>
      <c r="C42" s="60">
        <v>7</v>
      </c>
      <c r="D42" s="60">
        <v>61.85</v>
      </c>
      <c r="E42" s="51">
        <v>0.6</v>
      </c>
      <c r="F42" s="51">
        <v>0</v>
      </c>
      <c r="G42" s="51">
        <v>0</v>
      </c>
      <c r="H42" s="51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104</v>
      </c>
      <c r="B43" s="60">
        <v>365.41</v>
      </c>
      <c r="C43" s="60">
        <v>8</v>
      </c>
      <c r="D43" s="60">
        <v>60.19</v>
      </c>
      <c r="E43" s="51">
        <v>0.6</v>
      </c>
      <c r="F43" s="51">
        <v>0</v>
      </c>
      <c r="G43" s="51">
        <v>0</v>
      </c>
      <c r="H43" s="51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114</v>
      </c>
      <c r="B44" s="60">
        <v>384.57</v>
      </c>
      <c r="C44" s="60">
        <v>9</v>
      </c>
      <c r="D44" s="60">
        <v>56.07</v>
      </c>
      <c r="E44" s="51">
        <v>0.6</v>
      </c>
      <c r="F44" s="51">
        <v>0</v>
      </c>
      <c r="G44" s="51">
        <v>0</v>
      </c>
      <c r="H44" s="51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124</v>
      </c>
      <c r="B45" s="60">
        <v>408.42</v>
      </c>
      <c r="C45" s="60">
        <v>10</v>
      </c>
      <c r="D45" s="60">
        <v>52.53</v>
      </c>
      <c r="E45" s="51">
        <v>0.6</v>
      </c>
      <c r="F45" s="51">
        <v>0</v>
      </c>
      <c r="G45" s="51">
        <v>0</v>
      </c>
      <c r="H45" s="51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134</v>
      </c>
      <c r="B46" s="60">
        <v>436.59</v>
      </c>
      <c r="C46" s="60">
        <v>11</v>
      </c>
      <c r="D46" s="60">
        <v>54.95</v>
      </c>
      <c r="E46" s="51">
        <v>0.6</v>
      </c>
      <c r="F46" s="51">
        <v>0</v>
      </c>
      <c r="G46" s="51">
        <v>0</v>
      </c>
      <c r="H46" s="51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144</v>
      </c>
      <c r="B47" s="60">
        <v>463.23</v>
      </c>
      <c r="C47" s="60">
        <v>12</v>
      </c>
      <c r="D47" s="60">
        <v>56.01</v>
      </c>
      <c r="E47" s="51">
        <v>0.6</v>
      </c>
      <c r="F47" s="51">
        <v>0</v>
      </c>
      <c r="G47" s="51">
        <v>0</v>
      </c>
      <c r="H47" s="51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154</v>
      </c>
      <c r="B48" s="60">
        <v>490.47</v>
      </c>
      <c r="C48" s="60">
        <v>13</v>
      </c>
      <c r="D48" s="60">
        <v>55.13</v>
      </c>
      <c r="E48" s="51">
        <v>0.6</v>
      </c>
      <c r="F48" s="51">
        <v>0</v>
      </c>
      <c r="G48" s="51">
        <v>0</v>
      </c>
      <c r="H48" s="51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164</v>
      </c>
      <c r="B49" s="60">
        <v>519.77</v>
      </c>
      <c r="C49" s="60">
        <v>14</v>
      </c>
      <c r="D49" s="60">
        <v>59.58</v>
      </c>
      <c r="E49" s="51">
        <v>0.6</v>
      </c>
      <c r="F49" s="51">
        <v>0</v>
      </c>
      <c r="G49" s="51">
        <v>0</v>
      </c>
      <c r="H49" s="51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174</v>
      </c>
      <c r="B50" s="50">
        <v>545.65</v>
      </c>
      <c r="C50" s="50">
        <v>15</v>
      </c>
      <c r="D50" s="50">
        <v>214.77</v>
      </c>
      <c r="E50" s="51">
        <v>0.6</v>
      </c>
      <c r="F50" s="51">
        <v>0</v>
      </c>
      <c r="G50" s="51">
        <v>0</v>
      </c>
      <c r="H50" s="51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177</v>
      </c>
      <c r="B51" s="50">
        <v>347.04</v>
      </c>
      <c r="C51" s="50">
        <v>16</v>
      </c>
      <c r="D51" s="50">
        <v>115.19</v>
      </c>
      <c r="E51" s="51">
        <v>0.6</v>
      </c>
      <c r="F51" s="51">
        <v>0</v>
      </c>
      <c r="G51" s="51">
        <v>0</v>
      </c>
      <c r="H51" s="51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180</v>
      </c>
      <c r="B52" s="50">
        <v>241.62</v>
      </c>
      <c r="C52" s="50">
        <v>17</v>
      </c>
      <c r="D52" s="50">
        <v>77.72</v>
      </c>
      <c r="E52" s="51">
        <v>0.6</v>
      </c>
      <c r="F52" s="51">
        <v>0</v>
      </c>
      <c r="G52" s="51">
        <v>0</v>
      </c>
      <c r="H52" s="51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183</v>
      </c>
      <c r="B53" s="50">
        <v>169.76</v>
      </c>
      <c r="C53" s="50">
        <v>18</v>
      </c>
      <c r="D53" s="50">
        <v>169.76</v>
      </c>
      <c r="E53" s="51">
        <v>0.6</v>
      </c>
      <c r="F53" s="51">
        <v>0</v>
      </c>
      <c r="G53" s="51">
        <v>0</v>
      </c>
      <c r="H53" s="51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Chêne sessile</v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42</v>
      </c>
      <c r="C60" s="259" t="s">
        <v>43</v>
      </c>
      <c r="D60" s="259"/>
      <c r="E60" s="260" t="s">
        <v>44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19</v>
      </c>
      <c r="B84" s="52" t="str">
        <f>IF(B11="","",B11)</f>
        <v>Chêne pédonculé</v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42</v>
      </c>
      <c r="C86" s="259" t="s">
        <v>43</v>
      </c>
      <c r="D86" s="259"/>
      <c r="E86" s="260" t="s">
        <v>44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38</v>
      </c>
      <c r="B88" s="60">
        <v>144.83000000000001</v>
      </c>
      <c r="C88" s="60">
        <v>1</v>
      </c>
      <c r="D88" s="60">
        <v>69.08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3.8113157894736847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45</v>
      </c>
      <c r="B89" s="60">
        <v>138.46</v>
      </c>
      <c r="C89" s="60">
        <v>2</v>
      </c>
      <c r="D89" s="60">
        <v>39.119999999999997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8.9585714285714282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52</v>
      </c>
      <c r="B90" s="60">
        <v>162.18</v>
      </c>
      <c r="C90" s="60">
        <v>3</v>
      </c>
      <c r="D90" s="60">
        <v>40.9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8.9771428571428569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59</v>
      </c>
      <c r="B91" s="60">
        <v>182.58</v>
      </c>
      <c r="C91" s="60">
        <v>4</v>
      </c>
      <c r="D91" s="60">
        <v>38.119999999999997</v>
      </c>
      <c r="E91" s="87">
        <v>0.3</v>
      </c>
      <c r="F91" s="87">
        <v>0</v>
      </c>
      <c r="G91" s="87">
        <v>0</v>
      </c>
      <c r="H91" s="87">
        <v>0.7</v>
      </c>
      <c r="I91" s="53">
        <f t="shared" si="3"/>
        <v>8.757142857142858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67</v>
      </c>
      <c r="B92" s="60">
        <v>212.86</v>
      </c>
      <c r="C92" s="60">
        <v>5</v>
      </c>
      <c r="D92" s="60">
        <v>38.229999999999997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8.5500000000000007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75</v>
      </c>
      <c r="B93" s="60">
        <v>241.9</v>
      </c>
      <c r="C93" s="60">
        <v>6</v>
      </c>
      <c r="D93" s="60">
        <v>38.909999999999997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8.4087499999999977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83</v>
      </c>
      <c r="B94" s="60">
        <v>268.67</v>
      </c>
      <c r="C94" s="60">
        <v>7</v>
      </c>
      <c r="D94" s="60">
        <v>44.22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8.2100000000000009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93</v>
      </c>
      <c r="B95" s="60">
        <v>304.33</v>
      </c>
      <c r="C95" s="60">
        <v>8</v>
      </c>
      <c r="D95" s="60">
        <v>59.26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7.9879999999999969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103</v>
      </c>
      <c r="B96" s="60">
        <v>322.19</v>
      </c>
      <c r="C96" s="60">
        <v>9</v>
      </c>
      <c r="D96" s="60">
        <v>58.98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7.7120000000000006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113</v>
      </c>
      <c r="B97" s="60">
        <v>337.78</v>
      </c>
      <c r="C97" s="60">
        <v>10</v>
      </c>
      <c r="D97" s="60">
        <v>59.52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7.456999999999999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123</v>
      </c>
      <c r="B98" s="60">
        <v>352.18</v>
      </c>
      <c r="C98" s="60">
        <v>11</v>
      </c>
      <c r="D98" s="60">
        <v>175.3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7.3920000000000012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125</v>
      </c>
      <c r="B99" s="60">
        <v>185.05</v>
      </c>
      <c r="C99" s="60">
        <v>12</v>
      </c>
      <c r="D99" s="60">
        <v>60.7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4.085000000000008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127</v>
      </c>
      <c r="B100" s="60">
        <v>129.93</v>
      </c>
      <c r="C100" s="60">
        <v>13</v>
      </c>
      <c r="D100" s="60">
        <v>39.56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2.7899999999999991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130</v>
      </c>
      <c r="B101" s="60">
        <v>96.57</v>
      </c>
      <c r="C101" s="60">
        <v>14</v>
      </c>
      <c r="D101" s="60">
        <v>96.57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2.0666666666666629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20</v>
      </c>
      <c r="B110" s="52" t="str">
        <f>IF(B12="","",B12)</f>
        <v>Aulne glutineux</v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42</v>
      </c>
      <c r="C112" s="259" t="s">
        <v>43</v>
      </c>
      <c r="D112" s="259"/>
      <c r="E112" s="260" t="s">
        <v>44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9</v>
      </c>
      <c r="C114" s="50">
        <v>1</v>
      </c>
      <c r="D114" s="60">
        <v>1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0.9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36</v>
      </c>
      <c r="C115" s="50">
        <v>2</v>
      </c>
      <c r="D115" s="60">
        <v>3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84</v>
      </c>
      <c r="C116" s="50">
        <v>3</v>
      </c>
      <c r="D116" s="60">
        <v>9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25</v>
      </c>
      <c r="B117" s="60">
        <v>116</v>
      </c>
      <c r="C117" s="50">
        <v>4</v>
      </c>
      <c r="D117" s="60">
        <v>18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8.1999999999999993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137</v>
      </c>
      <c r="C118" s="50">
        <v>5</v>
      </c>
      <c r="D118" s="60">
        <v>20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35</v>
      </c>
      <c r="B119" s="60">
        <v>153</v>
      </c>
      <c r="C119" s="50">
        <v>6</v>
      </c>
      <c r="D119" s="60">
        <v>21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40</v>
      </c>
      <c r="B120" s="60">
        <v>167</v>
      </c>
      <c r="C120" s="60">
        <v>7</v>
      </c>
      <c r="D120" s="60">
        <v>22</v>
      </c>
      <c r="E120" s="87">
        <v>0</v>
      </c>
      <c r="F120" s="87">
        <v>0</v>
      </c>
      <c r="G120" s="87">
        <v>0</v>
      </c>
      <c r="H120" s="87">
        <v>1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45</v>
      </c>
      <c r="B121" s="60">
        <v>177</v>
      </c>
      <c r="C121" s="60">
        <v>8</v>
      </c>
      <c r="D121" s="60">
        <v>22</v>
      </c>
      <c r="E121" s="87">
        <v>0.3</v>
      </c>
      <c r="F121" s="87">
        <v>0</v>
      </c>
      <c r="G121" s="87">
        <v>0</v>
      </c>
      <c r="H121" s="87">
        <v>0.7</v>
      </c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50</v>
      </c>
      <c r="B122" s="60">
        <v>184</v>
      </c>
      <c r="C122" s="60">
        <v>9</v>
      </c>
      <c r="D122" s="60">
        <v>21</v>
      </c>
      <c r="E122" s="87">
        <v>0.3</v>
      </c>
      <c r="F122" s="87">
        <v>0</v>
      </c>
      <c r="G122" s="87">
        <v>0</v>
      </c>
      <c r="H122" s="87">
        <v>0.7</v>
      </c>
      <c r="I122" s="53">
        <f t="shared" si="4"/>
        <v>5.8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55</v>
      </c>
      <c r="B123" s="60">
        <v>191</v>
      </c>
      <c r="C123" s="60">
        <v>10</v>
      </c>
      <c r="D123" s="60">
        <v>20</v>
      </c>
      <c r="E123" s="87">
        <v>0.3</v>
      </c>
      <c r="F123" s="87">
        <v>0</v>
      </c>
      <c r="G123" s="87">
        <v>0</v>
      </c>
      <c r="H123" s="87">
        <v>0.7</v>
      </c>
      <c r="I123" s="53">
        <f t="shared" si="4"/>
        <v>5.6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60</v>
      </c>
      <c r="B124" s="60">
        <v>196</v>
      </c>
      <c r="C124" s="60">
        <v>11</v>
      </c>
      <c r="D124" s="60">
        <v>19</v>
      </c>
      <c r="E124" s="87">
        <v>0.3</v>
      </c>
      <c r="F124" s="87">
        <v>0</v>
      </c>
      <c r="G124" s="87">
        <v>0</v>
      </c>
      <c r="H124" s="87">
        <v>0.7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65</v>
      </c>
      <c r="B125" s="60">
        <v>201</v>
      </c>
      <c r="C125" s="60">
        <v>12</v>
      </c>
      <c r="D125" s="60">
        <v>18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4.8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70</v>
      </c>
      <c r="B126" s="60">
        <v>205</v>
      </c>
      <c r="C126" s="60">
        <v>13</v>
      </c>
      <c r="D126" s="60">
        <v>17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75</v>
      </c>
      <c r="B127" s="60">
        <v>208</v>
      </c>
      <c r="C127" s="60">
        <v>14</v>
      </c>
      <c r="D127" s="60">
        <v>16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211</v>
      </c>
      <c r="C128" s="50">
        <v>15</v>
      </c>
      <c r="D128" s="50">
        <v>15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3.8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85</v>
      </c>
      <c r="B129" s="50">
        <v>214</v>
      </c>
      <c r="C129" s="50">
        <v>16</v>
      </c>
      <c r="D129" s="50">
        <v>14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90</v>
      </c>
      <c r="B130" s="50">
        <v>217</v>
      </c>
      <c r="C130" s="50">
        <v>17</v>
      </c>
      <c r="D130" s="50">
        <v>217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21</v>
      </c>
      <c r="B136" s="52" t="str">
        <f>IF(B13="","",B13)</f>
        <v>Alisier torminal</v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42</v>
      </c>
      <c r="C138" s="259" t="s">
        <v>43</v>
      </c>
      <c r="D138" s="259"/>
      <c r="E138" s="260" t="s">
        <v>44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42</v>
      </c>
      <c r="B140" s="60">
        <v>163.26</v>
      </c>
      <c r="C140" s="50">
        <v>1</v>
      </c>
      <c r="D140" s="60">
        <v>43.21</v>
      </c>
      <c r="E140" s="51">
        <v>0.3</v>
      </c>
      <c r="F140" s="51">
        <v>0</v>
      </c>
      <c r="G140" s="51">
        <v>0</v>
      </c>
      <c r="H140" s="51">
        <v>0.7</v>
      </c>
      <c r="I140" s="57">
        <f>IFERROR(B140/A140,"")</f>
        <v>3.887142857142857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50</v>
      </c>
      <c r="B141" s="60">
        <v>195.02</v>
      </c>
      <c r="C141" s="50">
        <v>2</v>
      </c>
      <c r="D141" s="60">
        <v>35.58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5">IF(A141&lt;&gt;0,(B141-(B140-D140))/(A141-A140),"")</f>
        <v>9.3712500000000034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58</v>
      </c>
      <c r="B142" s="60">
        <v>235.87</v>
      </c>
      <c r="C142" s="50">
        <v>3</v>
      </c>
      <c r="D142" s="60">
        <v>44.93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5"/>
        <v>9.5537500000000009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66</v>
      </c>
      <c r="B143" s="60">
        <v>264.95999999999998</v>
      </c>
      <c r="C143" s="50">
        <v>4</v>
      </c>
      <c r="D143" s="60">
        <v>49.91</v>
      </c>
      <c r="E143" s="51">
        <v>0.6</v>
      </c>
      <c r="F143" s="51">
        <v>0</v>
      </c>
      <c r="G143" s="51">
        <v>0</v>
      </c>
      <c r="H143" s="51">
        <v>0.4</v>
      </c>
      <c r="I143" s="57">
        <f t="shared" si="5"/>
        <v>9.2524999999999977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74</v>
      </c>
      <c r="B144" s="60">
        <v>285.98</v>
      </c>
      <c r="C144" s="50">
        <v>5</v>
      </c>
      <c r="D144" s="60">
        <v>47.4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5"/>
        <v>8.8662500000000044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84</v>
      </c>
      <c r="B145" s="60">
        <v>325.35000000000002</v>
      </c>
      <c r="C145" s="50">
        <v>6</v>
      </c>
      <c r="D145" s="60">
        <v>61.47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5"/>
        <v>8.6770000000000014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94</v>
      </c>
      <c r="B146" s="60">
        <v>346.79</v>
      </c>
      <c r="C146" s="50">
        <v>7</v>
      </c>
      <c r="D146" s="60">
        <v>61.85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5"/>
        <v>8.2910000000000021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104</v>
      </c>
      <c r="B147" s="60">
        <v>365.41</v>
      </c>
      <c r="C147" s="50">
        <v>8</v>
      </c>
      <c r="D147" s="60">
        <v>60.19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8.0470000000000024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114</v>
      </c>
      <c r="B148" s="60">
        <v>384.57</v>
      </c>
      <c r="C148" s="50">
        <v>9</v>
      </c>
      <c r="D148" s="60">
        <v>56.07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5"/>
        <v>7.9349999999999969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124</v>
      </c>
      <c r="B149" s="60">
        <v>408.42</v>
      </c>
      <c r="C149" s="50">
        <v>10</v>
      </c>
      <c r="D149" s="60">
        <v>52.53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5"/>
        <v>7.9920000000000018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134</v>
      </c>
      <c r="B150" s="60">
        <v>436.59</v>
      </c>
      <c r="C150" s="50">
        <v>11</v>
      </c>
      <c r="D150" s="60">
        <v>54.95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8.0699999999999985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144</v>
      </c>
      <c r="B151" s="60">
        <v>463.23</v>
      </c>
      <c r="C151" s="50">
        <v>12</v>
      </c>
      <c r="D151" s="60">
        <v>56.01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8.1590000000000025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154</v>
      </c>
      <c r="B152" s="60">
        <v>490.47</v>
      </c>
      <c r="C152" s="50">
        <v>13</v>
      </c>
      <c r="D152" s="60">
        <v>55.13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8.3249999999999993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164</v>
      </c>
      <c r="B153" s="60">
        <v>519.77</v>
      </c>
      <c r="C153" s="50">
        <v>14</v>
      </c>
      <c r="D153" s="60">
        <v>59.58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8.4429999999999943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174</v>
      </c>
      <c r="B154" s="56">
        <v>545.65</v>
      </c>
      <c r="C154" s="50">
        <v>15</v>
      </c>
      <c r="D154" s="50">
        <v>214.77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5"/>
        <v>8.5459999999999976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177</v>
      </c>
      <c r="B155" s="56">
        <v>347.04</v>
      </c>
      <c r="C155" s="50">
        <v>16</v>
      </c>
      <c r="D155" s="50">
        <v>115.19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5"/>
        <v>5.3866666666666747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180</v>
      </c>
      <c r="B156" s="56">
        <v>241.62</v>
      </c>
      <c r="C156" s="50">
        <v>17</v>
      </c>
      <c r="D156" s="50">
        <v>77.72</v>
      </c>
      <c r="E156" s="54">
        <v>0.6</v>
      </c>
      <c r="F156" s="54">
        <v>0</v>
      </c>
      <c r="G156" s="54">
        <v>0</v>
      </c>
      <c r="H156" s="54">
        <v>0.4</v>
      </c>
      <c r="I156" s="57">
        <f t="shared" si="5"/>
        <v>3.2566666666666606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183</v>
      </c>
      <c r="B157" s="56">
        <v>169.76</v>
      </c>
      <c r="C157" s="50">
        <v>18</v>
      </c>
      <c r="D157" s="50">
        <v>169.76</v>
      </c>
      <c r="E157" s="54">
        <v>0.6</v>
      </c>
      <c r="F157" s="54">
        <v>0</v>
      </c>
      <c r="G157" s="54">
        <v>0</v>
      </c>
      <c r="H157" s="54">
        <v>0.4</v>
      </c>
      <c r="I157" s="57">
        <f t="shared" si="5"/>
        <v>1.9533333333333285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22</v>
      </c>
      <c r="B162" s="52" t="str">
        <f>IF(B14="","",B14)</f>
        <v>Cormier</v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42</v>
      </c>
      <c r="C164" s="259" t="s">
        <v>43</v>
      </c>
      <c r="D164" s="259"/>
      <c r="E164" s="260" t="s">
        <v>44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42</v>
      </c>
      <c r="B166" s="60">
        <v>163.26</v>
      </c>
      <c r="C166" s="60">
        <v>1</v>
      </c>
      <c r="D166" s="60">
        <v>43.21</v>
      </c>
      <c r="E166" s="51">
        <v>0.3</v>
      </c>
      <c r="F166" s="51">
        <v>0</v>
      </c>
      <c r="G166" s="51">
        <v>0</v>
      </c>
      <c r="H166" s="51">
        <v>0.7</v>
      </c>
      <c r="I166" s="49">
        <f>IFERROR(B166/A166,"")</f>
        <v>3.887142857142857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50</v>
      </c>
      <c r="B167" s="60">
        <v>195.02</v>
      </c>
      <c r="C167" s="60">
        <v>2</v>
      </c>
      <c r="D167" s="60">
        <v>35.58</v>
      </c>
      <c r="E167" s="51">
        <v>0.3</v>
      </c>
      <c r="F167" s="51">
        <v>0</v>
      </c>
      <c r="G167" s="51">
        <v>0</v>
      </c>
      <c r="H167" s="51">
        <v>0.7</v>
      </c>
      <c r="I167" s="49">
        <f t="shared" ref="I167:I185" si="6">IF(A167&lt;&gt;0,(B167-(B166-D166))/(A167-A166),"")</f>
        <v>9.3712500000000034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58</v>
      </c>
      <c r="B168" s="60">
        <v>235.87</v>
      </c>
      <c r="C168" s="60">
        <v>3</v>
      </c>
      <c r="D168" s="60">
        <v>44.93</v>
      </c>
      <c r="E168" s="51">
        <v>0.3</v>
      </c>
      <c r="F168" s="51">
        <v>0</v>
      </c>
      <c r="G168" s="51">
        <v>0</v>
      </c>
      <c r="H168" s="51">
        <v>0.7</v>
      </c>
      <c r="I168" s="49">
        <f t="shared" si="6"/>
        <v>9.5537500000000009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66</v>
      </c>
      <c r="B169" s="60">
        <v>264.95999999999998</v>
      </c>
      <c r="C169" s="60">
        <v>4</v>
      </c>
      <c r="D169" s="60">
        <v>49.91</v>
      </c>
      <c r="E169" s="51">
        <v>0.6</v>
      </c>
      <c r="F169" s="51">
        <v>0</v>
      </c>
      <c r="G169" s="51">
        <v>0</v>
      </c>
      <c r="H169" s="51">
        <v>0.4</v>
      </c>
      <c r="I169" s="49">
        <f t="shared" si="6"/>
        <v>9.2524999999999977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74</v>
      </c>
      <c r="B170" s="60">
        <v>285.98</v>
      </c>
      <c r="C170" s="60">
        <v>5</v>
      </c>
      <c r="D170" s="60">
        <v>47.4</v>
      </c>
      <c r="E170" s="51">
        <v>0.6</v>
      </c>
      <c r="F170" s="51">
        <v>0</v>
      </c>
      <c r="G170" s="51">
        <v>0</v>
      </c>
      <c r="H170" s="51">
        <v>0.4</v>
      </c>
      <c r="I170" s="49">
        <f t="shared" si="6"/>
        <v>8.8662500000000044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84</v>
      </c>
      <c r="B171" s="60">
        <v>325.35000000000002</v>
      </c>
      <c r="C171" s="60">
        <v>6</v>
      </c>
      <c r="D171" s="60">
        <v>61.47</v>
      </c>
      <c r="E171" s="51">
        <v>0.6</v>
      </c>
      <c r="F171" s="51">
        <v>0</v>
      </c>
      <c r="G171" s="51">
        <v>0</v>
      </c>
      <c r="H171" s="51">
        <v>0.4</v>
      </c>
      <c r="I171" s="49">
        <f t="shared" si="6"/>
        <v>8.6770000000000014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94</v>
      </c>
      <c r="B172" s="60">
        <v>346.79</v>
      </c>
      <c r="C172" s="60">
        <v>7</v>
      </c>
      <c r="D172" s="60">
        <v>61.85</v>
      </c>
      <c r="E172" s="51">
        <v>0.6</v>
      </c>
      <c r="F172" s="51">
        <v>0</v>
      </c>
      <c r="G172" s="51">
        <v>0</v>
      </c>
      <c r="H172" s="51">
        <v>0.4</v>
      </c>
      <c r="I172" s="49">
        <f t="shared" si="6"/>
        <v>8.2910000000000021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104</v>
      </c>
      <c r="B173" s="50">
        <v>365.41</v>
      </c>
      <c r="C173" s="50">
        <v>8</v>
      </c>
      <c r="D173" s="50">
        <v>60.19</v>
      </c>
      <c r="E173" s="51">
        <v>0.6</v>
      </c>
      <c r="F173" s="51">
        <v>0</v>
      </c>
      <c r="G173" s="51">
        <v>0</v>
      </c>
      <c r="H173" s="51">
        <v>0.4</v>
      </c>
      <c r="I173" s="49">
        <f t="shared" si="6"/>
        <v>8.0470000000000024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114</v>
      </c>
      <c r="B174" s="50">
        <v>384.57</v>
      </c>
      <c r="C174" s="50">
        <v>9</v>
      </c>
      <c r="D174" s="50">
        <v>56.07</v>
      </c>
      <c r="E174" s="51">
        <v>0.6</v>
      </c>
      <c r="F174" s="51">
        <v>0</v>
      </c>
      <c r="G174" s="51">
        <v>0</v>
      </c>
      <c r="H174" s="51">
        <v>0.4</v>
      </c>
      <c r="I174" s="49">
        <f t="shared" si="6"/>
        <v>7.9349999999999969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124</v>
      </c>
      <c r="B175" s="50">
        <v>408.42</v>
      </c>
      <c r="C175" s="50">
        <v>10</v>
      </c>
      <c r="D175" s="50">
        <v>52.53</v>
      </c>
      <c r="E175" s="51">
        <v>0.6</v>
      </c>
      <c r="F175" s="51">
        <v>0</v>
      </c>
      <c r="G175" s="51">
        <v>0</v>
      </c>
      <c r="H175" s="51">
        <v>0.4</v>
      </c>
      <c r="I175" s="49">
        <f t="shared" si="6"/>
        <v>7.9920000000000018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134</v>
      </c>
      <c r="B176" s="50">
        <v>436.59</v>
      </c>
      <c r="C176" s="50">
        <v>11</v>
      </c>
      <c r="D176" s="50">
        <v>54.95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8.0699999999999985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144</v>
      </c>
      <c r="B177" s="50">
        <v>463.23</v>
      </c>
      <c r="C177" s="50">
        <v>12</v>
      </c>
      <c r="D177" s="50">
        <v>56.01</v>
      </c>
      <c r="E177" s="51">
        <v>0.6</v>
      </c>
      <c r="F177" s="51">
        <v>0</v>
      </c>
      <c r="G177" s="51">
        <v>0</v>
      </c>
      <c r="H177" s="51">
        <v>0.4</v>
      </c>
      <c r="I177" s="49">
        <f t="shared" si="6"/>
        <v>8.1590000000000025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154</v>
      </c>
      <c r="B178" s="50">
        <v>490.47</v>
      </c>
      <c r="C178" s="50">
        <v>13</v>
      </c>
      <c r="D178" s="50">
        <v>55.13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8.3249999999999993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164</v>
      </c>
      <c r="B179" s="50">
        <v>519.77</v>
      </c>
      <c r="C179" s="50">
        <v>14</v>
      </c>
      <c r="D179" s="50">
        <v>59.58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8.4429999999999943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174</v>
      </c>
      <c r="B180" s="50">
        <v>545.65</v>
      </c>
      <c r="C180" s="50">
        <v>15</v>
      </c>
      <c r="D180" s="50">
        <v>214.77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8.5459999999999976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177</v>
      </c>
      <c r="B181" s="50">
        <v>347.04</v>
      </c>
      <c r="C181" s="50">
        <v>16</v>
      </c>
      <c r="D181" s="50">
        <v>115.19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5.3866666666666747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180</v>
      </c>
      <c r="B182" s="50">
        <v>241.62</v>
      </c>
      <c r="C182" s="50">
        <v>17</v>
      </c>
      <c r="D182" s="50">
        <v>77.72</v>
      </c>
      <c r="E182" s="51">
        <v>0.6</v>
      </c>
      <c r="F182" s="51">
        <v>0</v>
      </c>
      <c r="G182" s="51">
        <v>0</v>
      </c>
      <c r="H182" s="51">
        <v>0.4</v>
      </c>
      <c r="I182" s="49">
        <f t="shared" si="6"/>
        <v>3.2566666666666606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183</v>
      </c>
      <c r="B183" s="50">
        <v>169.76</v>
      </c>
      <c r="C183" s="50">
        <v>18</v>
      </c>
      <c r="D183" s="50">
        <v>169.76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6"/>
        <v>1.9533333333333285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42</v>
      </c>
      <c r="C190" s="259" t="s">
        <v>43</v>
      </c>
      <c r="D190" s="259"/>
      <c r="E190" s="260" t="s">
        <v>44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42</v>
      </c>
      <c r="C216" s="259" t="s">
        <v>43</v>
      </c>
      <c r="D216" s="259"/>
      <c r="E216" s="260" t="s">
        <v>44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42</v>
      </c>
      <c r="C242" s="259" t="s">
        <v>43</v>
      </c>
      <c r="D242" s="259"/>
      <c r="E242" s="260" t="s">
        <v>44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42</v>
      </c>
      <c r="C268" s="259" t="s">
        <v>43</v>
      </c>
      <c r="D268" s="259"/>
      <c r="E268" s="260" t="s">
        <v>44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54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56</v>
      </c>
      <c r="C7" s="100" t="s">
        <v>57</v>
      </c>
      <c r="D7" s="215"/>
      <c r="E7" s="101"/>
      <c r="F7" s="26" t="s">
        <v>56</v>
      </c>
      <c r="G7" s="100" t="s">
        <v>58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59</v>
      </c>
      <c r="D8" s="23"/>
      <c r="E8" s="105">
        <v>4</v>
      </c>
      <c r="F8" s="61">
        <v>1</v>
      </c>
      <c r="G8" s="102" t="s">
        <v>60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61</v>
      </c>
      <c r="D9" s="23"/>
      <c r="E9" s="105">
        <v>5</v>
      </c>
      <c r="F9" s="61">
        <v>0</v>
      </c>
      <c r="G9" s="103" t="s">
        <v>62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63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64</v>
      </c>
      <c r="D13" s="216"/>
      <c r="E13" s="99"/>
      <c r="F13" s="107"/>
      <c r="G13" s="98" t="s">
        <v>65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66</v>
      </c>
      <c r="D14" s="216"/>
      <c r="E14" s="99"/>
      <c r="F14" s="107"/>
      <c r="G14" s="98" t="s">
        <v>67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56</v>
      </c>
      <c r="C15" s="4"/>
      <c r="D15" s="23"/>
      <c r="E15" s="4"/>
      <c r="F15" s="4"/>
      <c r="G15" s="2" t="s">
        <v>219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69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M1" zoomScaleNormal="100" workbookViewId="0">
      <selection activeCell="BB3" sqref="BB3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72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Charme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pédonculé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Aulne glutineux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Alisier torminal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73</v>
      </c>
      <c r="B2" s="72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  <c r="H2" s="66" t="s">
        <v>80</v>
      </c>
      <c r="I2" s="68" t="s">
        <v>77</v>
      </c>
      <c r="J2" s="69" t="s">
        <v>78</v>
      </c>
      <c r="K2" s="6" t="s">
        <v>81</v>
      </c>
      <c r="L2" s="6" t="s">
        <v>82</v>
      </c>
      <c r="M2" s="6" t="s">
        <v>82</v>
      </c>
      <c r="N2" s="6" t="s">
        <v>83</v>
      </c>
      <c r="O2" s="6" t="s">
        <v>84</v>
      </c>
      <c r="P2" s="6" t="s">
        <v>85</v>
      </c>
      <c r="Q2" s="6" t="s">
        <v>79</v>
      </c>
      <c r="R2" s="6" t="s">
        <v>86</v>
      </c>
      <c r="S2" s="6" t="s">
        <v>87</v>
      </c>
      <c r="T2" s="6" t="s">
        <v>88</v>
      </c>
      <c r="U2" s="7" t="s">
        <v>89</v>
      </c>
      <c r="V2" s="8" t="s">
        <v>90</v>
      </c>
      <c r="W2" s="7" t="s">
        <v>49</v>
      </c>
      <c r="X2" s="7" t="s">
        <v>50</v>
      </c>
      <c r="Y2" s="7" t="s">
        <v>91</v>
      </c>
      <c r="Z2" s="8" t="s">
        <v>92</v>
      </c>
      <c r="AA2" s="8" t="s">
        <v>93</v>
      </c>
      <c r="AB2" s="8" t="s">
        <v>94</v>
      </c>
      <c r="AC2" s="9" t="s">
        <v>95</v>
      </c>
      <c r="AD2" s="69" t="s">
        <v>77</v>
      </c>
      <c r="AE2" s="69" t="s">
        <v>78</v>
      </c>
      <c r="AF2" s="6" t="s">
        <v>81</v>
      </c>
      <c r="AG2" s="6" t="s">
        <v>82</v>
      </c>
      <c r="AH2" s="6" t="s">
        <v>82</v>
      </c>
      <c r="AI2" s="6" t="s">
        <v>83</v>
      </c>
      <c r="AJ2" s="6" t="s">
        <v>84</v>
      </c>
      <c r="AK2" s="6" t="s">
        <v>85</v>
      </c>
      <c r="AL2" s="6" t="s">
        <v>79</v>
      </c>
      <c r="AM2" s="6" t="s">
        <v>86</v>
      </c>
      <c r="AN2" s="6" t="s">
        <v>87</v>
      </c>
      <c r="AO2" s="6" t="s">
        <v>88</v>
      </c>
      <c r="AP2" s="7" t="s">
        <v>89</v>
      </c>
      <c r="AQ2" s="8" t="s">
        <v>90</v>
      </c>
      <c r="AR2" s="7" t="s">
        <v>49</v>
      </c>
      <c r="AS2" s="7" t="s">
        <v>50</v>
      </c>
      <c r="AT2" s="8" t="s">
        <v>96</v>
      </c>
      <c r="AU2" s="8" t="s">
        <v>92</v>
      </c>
      <c r="AV2" s="8" t="s">
        <v>93</v>
      </c>
      <c r="AW2" s="8" t="s">
        <v>94</v>
      </c>
      <c r="AX2" s="8" t="s">
        <v>95</v>
      </c>
      <c r="AY2" s="68" t="s">
        <v>77</v>
      </c>
      <c r="AZ2" s="69" t="s">
        <v>78</v>
      </c>
      <c r="BA2" s="6" t="s">
        <v>81</v>
      </c>
      <c r="BB2" s="6" t="s">
        <v>82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79</v>
      </c>
      <c r="BH2" s="6" t="s">
        <v>86</v>
      </c>
      <c r="BI2" s="6" t="s">
        <v>87</v>
      </c>
      <c r="BJ2" s="6" t="s">
        <v>88</v>
      </c>
      <c r="BK2" s="7" t="s">
        <v>89</v>
      </c>
      <c r="BL2" s="8" t="s">
        <v>90</v>
      </c>
      <c r="BM2" s="7" t="s">
        <v>49</v>
      </c>
      <c r="BN2" s="7" t="s">
        <v>50</v>
      </c>
      <c r="BO2" s="8" t="s">
        <v>96</v>
      </c>
      <c r="BP2" s="8" t="s">
        <v>92</v>
      </c>
      <c r="BQ2" s="8" t="s">
        <v>93</v>
      </c>
      <c r="BR2" s="8" t="s">
        <v>94</v>
      </c>
      <c r="BS2" s="9" t="s">
        <v>95</v>
      </c>
      <c r="BT2" s="68" t="s">
        <v>77</v>
      </c>
      <c r="BU2" s="69" t="s">
        <v>78</v>
      </c>
      <c r="BV2" s="6" t="s">
        <v>81</v>
      </c>
      <c r="BW2" s="6" t="s">
        <v>82</v>
      </c>
      <c r="BX2" s="6" t="s">
        <v>82</v>
      </c>
      <c r="BY2" s="6" t="s">
        <v>83</v>
      </c>
      <c r="BZ2" s="6" t="s">
        <v>84</v>
      </c>
      <c r="CA2" s="6" t="s">
        <v>85</v>
      </c>
      <c r="CB2" s="6" t="s">
        <v>79</v>
      </c>
      <c r="CC2" s="6" t="s">
        <v>86</v>
      </c>
      <c r="CD2" s="6" t="s">
        <v>87</v>
      </c>
      <c r="CE2" s="6" t="s">
        <v>88</v>
      </c>
      <c r="CF2" s="7" t="s">
        <v>89</v>
      </c>
      <c r="CG2" s="8" t="s">
        <v>90</v>
      </c>
      <c r="CH2" s="7" t="s">
        <v>49</v>
      </c>
      <c r="CI2" s="7" t="s">
        <v>50</v>
      </c>
      <c r="CJ2" s="8" t="s">
        <v>96</v>
      </c>
      <c r="CK2" s="8" t="s">
        <v>92</v>
      </c>
      <c r="CL2" s="8" t="s">
        <v>93</v>
      </c>
      <c r="CM2" s="8" t="s">
        <v>94</v>
      </c>
      <c r="CN2" s="9" t="s">
        <v>95</v>
      </c>
      <c r="CO2" s="68" t="s">
        <v>77</v>
      </c>
      <c r="CP2" s="69" t="s">
        <v>78</v>
      </c>
      <c r="CQ2" s="6" t="s">
        <v>81</v>
      </c>
      <c r="CR2" s="6" t="s">
        <v>82</v>
      </c>
      <c r="CS2" s="6" t="s">
        <v>82</v>
      </c>
      <c r="CT2" s="6" t="s">
        <v>83</v>
      </c>
      <c r="CU2" s="6" t="s">
        <v>84</v>
      </c>
      <c r="CV2" s="6" t="s">
        <v>85</v>
      </c>
      <c r="CW2" s="6" t="s">
        <v>79</v>
      </c>
      <c r="CX2" s="6" t="s">
        <v>86</v>
      </c>
      <c r="CY2" s="6" t="s">
        <v>87</v>
      </c>
      <c r="CZ2" s="6" t="s">
        <v>88</v>
      </c>
      <c r="DA2" s="7" t="s">
        <v>89</v>
      </c>
      <c r="DB2" s="8" t="s">
        <v>90</v>
      </c>
      <c r="DC2" s="7" t="s">
        <v>49</v>
      </c>
      <c r="DD2" s="7" t="s">
        <v>50</v>
      </c>
      <c r="DE2" s="8" t="s">
        <v>96</v>
      </c>
      <c r="DF2" s="8" t="s">
        <v>92</v>
      </c>
      <c r="DG2" s="8" t="s">
        <v>93</v>
      </c>
      <c r="DH2" s="8" t="s">
        <v>94</v>
      </c>
      <c r="DI2" s="9" t="s">
        <v>95</v>
      </c>
      <c r="DJ2" s="68" t="s">
        <v>77</v>
      </c>
      <c r="DK2" s="69" t="s">
        <v>78</v>
      </c>
      <c r="DL2" s="6" t="s">
        <v>81</v>
      </c>
      <c r="DM2" s="6" t="s">
        <v>82</v>
      </c>
      <c r="DN2" s="6" t="s">
        <v>82</v>
      </c>
      <c r="DO2" s="6" t="s">
        <v>83</v>
      </c>
      <c r="DP2" s="6" t="s">
        <v>84</v>
      </c>
      <c r="DQ2" s="6" t="s">
        <v>85</v>
      </c>
      <c r="DR2" s="6" t="s">
        <v>79</v>
      </c>
      <c r="DS2" s="6" t="s">
        <v>86</v>
      </c>
      <c r="DT2" s="6" t="s">
        <v>87</v>
      </c>
      <c r="DU2" s="6" t="s">
        <v>88</v>
      </c>
      <c r="DV2" s="7" t="s">
        <v>89</v>
      </c>
      <c r="DW2" s="8" t="s">
        <v>90</v>
      </c>
      <c r="DX2" s="7" t="s">
        <v>49</v>
      </c>
      <c r="DY2" s="7" t="s">
        <v>50</v>
      </c>
      <c r="DZ2" s="8" t="s">
        <v>96</v>
      </c>
      <c r="EA2" s="8" t="s">
        <v>92</v>
      </c>
      <c r="EB2" s="8" t="s">
        <v>93</v>
      </c>
      <c r="EC2" s="8" t="s">
        <v>94</v>
      </c>
      <c r="ED2" s="9" t="s">
        <v>95</v>
      </c>
      <c r="EE2" s="68" t="s">
        <v>77</v>
      </c>
      <c r="EF2" s="69" t="s">
        <v>78</v>
      </c>
      <c r="EG2" s="6" t="s">
        <v>81</v>
      </c>
      <c r="EH2" s="6" t="s">
        <v>82</v>
      </c>
      <c r="EI2" s="6" t="s">
        <v>82</v>
      </c>
      <c r="EJ2" s="6" t="s">
        <v>83</v>
      </c>
      <c r="EK2" s="6" t="s">
        <v>84</v>
      </c>
      <c r="EL2" s="6" t="s">
        <v>85</v>
      </c>
      <c r="EM2" s="6" t="s">
        <v>79</v>
      </c>
      <c r="EN2" s="6" t="s">
        <v>86</v>
      </c>
      <c r="EO2" s="6" t="s">
        <v>87</v>
      </c>
      <c r="EP2" s="6" t="s">
        <v>88</v>
      </c>
      <c r="EQ2" s="7" t="s">
        <v>89</v>
      </c>
      <c r="ER2" s="8" t="s">
        <v>90</v>
      </c>
      <c r="ES2" s="7" t="s">
        <v>49</v>
      </c>
      <c r="ET2" s="7" t="s">
        <v>50</v>
      </c>
      <c r="EU2" s="8" t="s">
        <v>96</v>
      </c>
      <c r="EV2" s="8" t="s">
        <v>92</v>
      </c>
      <c r="EW2" s="8" t="s">
        <v>93</v>
      </c>
      <c r="EX2" s="8" t="s">
        <v>94</v>
      </c>
      <c r="EY2" s="9" t="s">
        <v>95</v>
      </c>
      <c r="EZ2" s="68" t="s">
        <v>77</v>
      </c>
      <c r="FA2" s="69" t="s">
        <v>78</v>
      </c>
      <c r="FB2" s="6" t="s">
        <v>81</v>
      </c>
      <c r="FC2" s="6" t="s">
        <v>82</v>
      </c>
      <c r="FD2" s="6" t="s">
        <v>82</v>
      </c>
      <c r="FE2" s="6" t="s">
        <v>83</v>
      </c>
      <c r="FF2" s="6" t="s">
        <v>84</v>
      </c>
      <c r="FG2" s="6" t="s">
        <v>85</v>
      </c>
      <c r="FH2" s="6" t="s">
        <v>79</v>
      </c>
      <c r="FI2" s="6" t="s">
        <v>86</v>
      </c>
      <c r="FJ2" s="6" t="s">
        <v>87</v>
      </c>
      <c r="FK2" s="6" t="s">
        <v>88</v>
      </c>
      <c r="FL2" s="7" t="s">
        <v>89</v>
      </c>
      <c r="FM2" s="8" t="s">
        <v>90</v>
      </c>
      <c r="FN2" s="7" t="s">
        <v>49</v>
      </c>
      <c r="FO2" s="7" t="s">
        <v>50</v>
      </c>
      <c r="FP2" s="8" t="s">
        <v>97</v>
      </c>
      <c r="FQ2" s="8" t="s">
        <v>92</v>
      </c>
      <c r="FR2" s="8" t="s">
        <v>93</v>
      </c>
      <c r="FS2" s="8" t="s">
        <v>94</v>
      </c>
      <c r="FT2" s="9" t="s">
        <v>95</v>
      </c>
      <c r="FU2" s="68" t="s">
        <v>77</v>
      </c>
      <c r="FV2" s="69" t="s">
        <v>78</v>
      </c>
      <c r="FW2" s="6" t="s">
        <v>81</v>
      </c>
      <c r="FX2" s="6" t="s">
        <v>82</v>
      </c>
      <c r="FY2" s="6" t="s">
        <v>82</v>
      </c>
      <c r="FZ2" s="6" t="s">
        <v>83</v>
      </c>
      <c r="GA2" s="6" t="s">
        <v>84</v>
      </c>
      <c r="GB2" s="6" t="s">
        <v>85</v>
      </c>
      <c r="GC2" s="6" t="s">
        <v>79</v>
      </c>
      <c r="GD2" s="6" t="s">
        <v>86</v>
      </c>
      <c r="GE2" s="6" t="s">
        <v>87</v>
      </c>
      <c r="GF2" s="6" t="s">
        <v>88</v>
      </c>
      <c r="GG2" s="7" t="s">
        <v>89</v>
      </c>
      <c r="GH2" s="8" t="s">
        <v>90</v>
      </c>
      <c r="GI2" s="7" t="s">
        <v>49</v>
      </c>
      <c r="GJ2" s="7" t="s">
        <v>50</v>
      </c>
      <c r="GK2" s="8" t="s">
        <v>96</v>
      </c>
      <c r="GL2" s="8" t="s">
        <v>92</v>
      </c>
      <c r="GM2" s="8" t="s">
        <v>93</v>
      </c>
      <c r="GN2" s="8" t="s">
        <v>94</v>
      </c>
      <c r="GO2" s="8" t="s">
        <v>95</v>
      </c>
      <c r="GP2" s="68" t="s">
        <v>77</v>
      </c>
      <c r="GQ2" s="69" t="s">
        <v>78</v>
      </c>
      <c r="GR2" s="6" t="s">
        <v>81</v>
      </c>
      <c r="GS2" s="6" t="s">
        <v>82</v>
      </c>
      <c r="GT2" s="6" t="s">
        <v>82</v>
      </c>
      <c r="GU2" s="6" t="s">
        <v>83</v>
      </c>
      <c r="GV2" s="6" t="s">
        <v>84</v>
      </c>
      <c r="GW2" s="6" t="s">
        <v>85</v>
      </c>
      <c r="GX2" s="6" t="s">
        <v>79</v>
      </c>
      <c r="GY2" s="6" t="s">
        <v>86</v>
      </c>
      <c r="GZ2" s="6" t="s">
        <v>87</v>
      </c>
      <c r="HA2" s="6" t="s">
        <v>88</v>
      </c>
      <c r="HB2" s="7" t="s">
        <v>89</v>
      </c>
      <c r="HC2" s="8" t="s">
        <v>90</v>
      </c>
      <c r="HD2" s="7" t="s">
        <v>49</v>
      </c>
      <c r="HE2" s="7" t="s">
        <v>50</v>
      </c>
      <c r="HF2" s="8" t="s">
        <v>96</v>
      </c>
      <c r="HG2" s="8" t="s">
        <v>92</v>
      </c>
      <c r="HH2" s="8" t="s">
        <v>93</v>
      </c>
      <c r="HI2" s="8" t="s">
        <v>94</v>
      </c>
      <c r="HJ2" s="9" t="s">
        <v>95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457.88065872594228</v>
      </c>
      <c r="T3" s="59">
        <f>IF('Données projet'!E9&gt;30,$R$33-$H$33,LOOKUP('Données projet'!$E$9,$A$3:$A$203,R3:R203)-LOOKUP('Données projet'!$E$9,$A$3:$A$203,$H$3:$H$203))</f>
        <v>204.62439362068329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430.16825592717629</v>
      </c>
      <c r="AO3" s="59">
        <f>IF('Données projet'!E10&gt;30,$AM$33-$H$33,LOOKUP('Données projet'!$E$10,$A$3:$A$203,AM3:AM203)-LOOKUP('Données projet'!$E$10,$A$3:$A$203,$H$3:$H$203))</f>
        <v>192.87542067077248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243.94505553629301</v>
      </c>
      <c r="BJ3" s="59">
        <f>IF('Données projet'!E11&gt;30,$BH$33-$H$33,LOOKUP('Données projet'!$E$11,$A$3:$A$203,BH3:BH203)-LOOKUP('Données projet'!$E$11,$A$3:$A$203,$H$3:$H$203))</f>
        <v>173.05364940250229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140.9558843244115</v>
      </c>
      <c r="CE3" s="59">
        <f>IF('Données projet'!E12&gt;30,$CC$33-$H$33,LOOKUP('Données projet'!$E$12,$A$3:$A$203,CC3:CC203)-LOOKUP('Données projet'!$E$12,$A$3:$A$203,$H$3:$H$203))</f>
        <v>158.88947216184619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467.11196088914556</v>
      </c>
      <c r="CZ3" s="59">
        <f>IF('Données projet'!E13&gt;30,$CX$33-$H$33,LOOKUP('Données projet'!$E$13,$A$3:$A$203,CX3:CX203)-LOOKUP('Données projet'!$E$13,$A$3:$A$203,$H$3:$H$203))</f>
        <v>208.53783609106262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531.65020827367698</v>
      </c>
      <c r="DU3" s="59">
        <f>IF('Données projet'!E14&gt;30,$DS$33-$H$33,LOOKUP('Données projet'!$E$14,$A$3:$A$203,DS3:DS203)-LOOKUP('Données projet'!$E$14,$A$3:$A$203,$H$3:$H$203))</f>
        <v>235.89413420278396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4" s="11">
        <f>IFERROR(EXP(-1.0587+0.8836*LN(C4)+0.284),0)</f>
        <v>0.28356981728235242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6.6445389404251776</v>
      </c>
      <c r="H4" s="67">
        <f t="shared" ref="H4:H67" si="1">(B4+E4+F4)*44/12+(C4+D4)*0.475*44/12</f>
        <v>294.83250743176677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3.6990051428571427</v>
      </c>
      <c r="P4" s="13">
        <f>EXP(-1.0587+0.8836*LN(O4)+0.284)</f>
        <v>1.4639016946999945</v>
      </c>
      <c r="Q4" s="20">
        <f t="shared" ref="Q4:Q34" si="2">(O4+P4)*0.475*44/12</f>
        <v>8.9920627420786783</v>
      </c>
      <c r="R4" s="59">
        <f t="shared" si="0"/>
        <v>302.32539607541202</v>
      </c>
      <c r="S4" s="59">
        <f ca="1">AVERAGE(OFFSET($R$3,0,0,'Données projet'!$E$9+1,1))-AVERAGE(OFFSET($H$3,0,0,'Données projet'!$E$9+1,1))</f>
        <v>457.88065872594228</v>
      </c>
      <c r="T4" s="59">
        <f>$T$3</f>
        <v>204.62439362068329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301.89743597072413</v>
      </c>
      <c r="AN4" s="59">
        <f ca="1">AVERAGE(OFFSET($AM$3,0,0,'Données projet'!$E$10+1,1))-AVERAGE(OFFSET($H$3,0,0,'Données projet'!$E$10+1,1))</f>
        <v>430.16825592717629</v>
      </c>
      <c r="AO4" s="59">
        <f>$AO$3</f>
        <v>192.87542067077248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3.8113157894736847</v>
      </c>
      <c r="BD4" s="12">
        <f>IF('Données projet'!$A$88&gt;35,BD3+BC4-BL3,IF(A4&lt;'Données projet'!$A$88,$BA$205^A4,IF(A4='Données projet'!$A$88,'Données projet'!$B$88,BD3+BC4-BL3)))</f>
        <v>3.8113157894736847</v>
      </c>
      <c r="BE4" s="13">
        <f>BD4*VLOOKUP('Données projet'!$B$11,Paramètres!$A$1:$I$89,3,0)*VLOOKUP('Données projet'!$B$11,Paramètres!$A$1:$I$89,5,0)</f>
        <v>3.2106524210526319</v>
      </c>
      <c r="BF4" s="13">
        <f>EXP(-1.0587+0.8836*LN(BE4)+0.284)</f>
        <v>1.2917482977000276</v>
      </c>
      <c r="BG4" s="20">
        <f t="shared" ref="BG4:BG67" si="7">(BE4+BF4)*0.475*44/12</f>
        <v>7.8416812518275494</v>
      </c>
      <c r="BH4" s="59">
        <f t="shared" ref="BH4:BH67" si="8">BG4+(AY4+AZ4)*44/12</f>
        <v>301.17501458516085</v>
      </c>
      <c r="BI4" s="59">
        <f ca="1">AVERAGE(OFFSET($BH$3,0,0,'Données projet'!$E$11+1,1))-AVERAGE(OFFSET($H$3,0,0,'Données projet'!$E$11+1,1))</f>
        <v>243.94505553629301</v>
      </c>
      <c r="BJ4" s="59">
        <f>$BJ$3</f>
        <v>173.05364940250229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0.9</v>
      </c>
      <c r="BY4" s="12">
        <f>IF('Données projet'!$A$114&gt;35,BY3+BX4-CG3,IF(A4&lt;'Données projet'!$A$114,$BV$205^A4,IF(A4='Données projet'!$A$114,'Données projet'!$B$114,BY3+BX4-CG3)))</f>
        <v>1.2457309396155174</v>
      </c>
      <c r="BZ4" s="13">
        <f>BY4*VLOOKUP('Données projet'!$B$12,Paramètres!$A$1:$I$89,3,0)*VLOOKUP('Données projet'!$B$12,Paramètres!$A$1:$I$89,5,0)</f>
        <v>0.81620291163608694</v>
      </c>
      <c r="CA4" s="13">
        <f>EXP(-1.0587+0.8836*LN(BZ4)+0.284)</f>
        <v>0.38513847027569503</v>
      </c>
      <c r="CB4" s="20">
        <f t="shared" ref="CB4:CB67" si="10">(BZ4+CA4)*0.475*44/12</f>
        <v>2.0923362401630201</v>
      </c>
      <c r="CC4" s="59">
        <f t="shared" ref="CC4:CC67" si="11">CB4+(BT4+BU4)*44/12</f>
        <v>295.42566957349635</v>
      </c>
      <c r="CD4" s="59">
        <f ca="1">AVERAGE(OFFSET($CC$3,0,0,'Données projet'!$E$12+1,1))-AVERAGE(OFFSET($H$3,0,0,'Données projet'!$E$12+1,1))</f>
        <v>140.9558843244115</v>
      </c>
      <c r="CE4" s="59">
        <f>$CE$3</f>
        <v>158.88947216184619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3.887142857142857</v>
      </c>
      <c r="CT4" s="12">
        <f>IF('Données projet'!$A$140&gt;35,CT3+CS4-DB3,IF(A4&lt;'Données projet'!$A$140,$CQ$205^A4,IF(A4='Données projet'!$A$140,'Données projet'!$B$140,CT3+CS4-DB3)))</f>
        <v>3.887142857142857</v>
      </c>
      <c r="CU4" s="17">
        <f>CT4*VLOOKUP('Données projet'!$B$13,Paramètres!$A$1:$I$89,3,0)*VLOOKUP('Données projet'!$B$13,Paramètres!$A$1:$I$89,5,0)</f>
        <v>3.7596445714285713</v>
      </c>
      <c r="CV4" s="13">
        <f>EXP(-1.0587+0.8836*LN(CU4)+0.284)</f>
        <v>1.4850865614549704</v>
      </c>
      <c r="CW4" s="20">
        <f t="shared" ref="CW4:CW67" si="13">(CU4+CV4)*0.475*44/12</f>
        <v>9.1345733897721697</v>
      </c>
      <c r="CX4" s="59">
        <f t="shared" ref="CX4:CX67" si="14">CW4+(CO4+CP4)*44/12</f>
        <v>302.4679067231055</v>
      </c>
      <c r="CY4" s="59">
        <f ca="1">AVERAGE(OFFSET($CX$3,0,0,'Données projet'!$E$13+1,1))-AVERAGE(OFFSET($H$3,0,0,'Données projet'!$E$13+1,1))</f>
        <v>467.11196088914556</v>
      </c>
      <c r="CZ4" s="59">
        <f>$CZ$3</f>
        <v>208.53783609106262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3.887142857142857</v>
      </c>
      <c r="DO4" s="12">
        <f>IF('Données projet'!$A$166&gt;35,DO3+DN4-DW3,IF(A4&lt;'Données projet'!$A$166,$DL$205^A4,IF(A4='Données projet'!$A$166,'Données projet'!$B$166,DO3+DN4-DW3)))</f>
        <v>3.887142857142857</v>
      </c>
      <c r="DP4" s="17">
        <f>DO4*VLOOKUP('Données projet'!$B$14,Paramètres!$A$1:$I$89,3,0)*VLOOKUP('Données projet'!$B$14,Paramètres!$A$1:$I$89,5,0)</f>
        <v>4.1841205714285712</v>
      </c>
      <c r="DQ4" s="13">
        <f>EXP(-1.0587+0.8836*LN(DP4)+0.284)</f>
        <v>1.6323058154975432</v>
      </c>
      <c r="DR4" s="20">
        <f t="shared" ref="DR4:DR67" si="16">(DP4+DQ4)*0.475*44/12</f>
        <v>10.130275957229648</v>
      </c>
      <c r="DS4" s="59">
        <f t="shared" ref="DS4:DS67" si="17">DR4+(DJ4+DK4)*44/12</f>
        <v>303.46360929056294</v>
      </c>
      <c r="DT4" s="59">
        <f ca="1">AVERAGE(OFFSET($DS$3,0,0,'Données projet'!$E$14+1,1))-AVERAGE(OFFSET($H$3,0,0,'Données projet'!$E$14+1,1))</f>
        <v>531.65020827367698</v>
      </c>
      <c r="DU4" s="59">
        <f>$DU$3</f>
        <v>235.89413420278396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5" s="11">
        <f t="shared" ref="D5:D68" si="32">IFERROR(EXP(-1.0587+0.8836*LN(C5)+0.284),0)</f>
        <v>0.52317876401603369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12.949730809948333</v>
      </c>
      <c r="H5" s="67">
        <f t="shared" si="1"/>
        <v>296.25511634732788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7.3980102857142853</v>
      </c>
      <c r="P5" s="13">
        <f t="shared" ref="P5:P68" si="33">EXP(-1.0587+0.8836*LN(O5)+0.284)</f>
        <v>2.7008596564123262</v>
      </c>
      <c r="Q5" s="20">
        <f t="shared" si="2"/>
        <v>17.588865149203851</v>
      </c>
      <c r="R5" s="59">
        <f t="shared" si="0"/>
        <v>310.92219848253717</v>
      </c>
      <c r="S5" s="59">
        <f ca="1">AVERAGE(OFFSET($R$3,0,0,'Données projet'!$E$9+1,1))-AVERAGE(OFFSET($H$3,0,0,'Données projet'!$E$9+1,1))</f>
        <v>457.88065872594228</v>
      </c>
      <c r="T5" s="59">
        <f t="shared" ref="T5:T68" si="34">$T$3</f>
        <v>204.62439362068329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310.08350469025856</v>
      </c>
      <c r="AN5" s="59">
        <f ca="1">AVERAGE(OFFSET($AM$3,0,0,'Données projet'!$E$10+1,1))-AVERAGE(OFFSET($H$3,0,0,'Données projet'!$E$10+1,1))</f>
        <v>430.16825592717629</v>
      </c>
      <c r="AO5" s="59">
        <f t="shared" ref="AO5:AO68" si="36">$AO$3</f>
        <v>192.87542067077248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3.8113157894736847</v>
      </c>
      <c r="BD5" s="12">
        <f>IF('Données projet'!$A$88&gt;35,BD4+BC5-BL4,IF(A5&lt;'Données projet'!$A$88,$BA$205^A5,IF(A5='Données projet'!$A$88,'Données projet'!$B$88,BD4+BC5-BL4)))</f>
        <v>7.6226315789473693</v>
      </c>
      <c r="BE5" s="13">
        <f>BD5*VLOOKUP('Données projet'!$B$11,Paramètres!$A$1:$I$89,3,0)*VLOOKUP('Données projet'!$B$11,Paramètres!$A$1:$I$89,5,0)</f>
        <v>6.4213048421052639</v>
      </c>
      <c r="BF5" s="13">
        <f t="shared" ref="BF5:BF68" si="37">EXP(-1.0587+0.8836*LN(BE5)+0.284)</f>
        <v>2.3832412218173489</v>
      </c>
      <c r="BG5" s="20">
        <f t="shared" si="7"/>
        <v>15.334584394665216</v>
      </c>
      <c r="BH5" s="59">
        <f t="shared" si="8"/>
        <v>308.66791772799854</v>
      </c>
      <c r="BI5" s="59">
        <f ca="1">AVERAGE(OFFSET($BH$3,0,0,'Données projet'!$E$11+1,1))-AVERAGE(OFFSET($H$3,0,0,'Données projet'!$E$11+1,1))</f>
        <v>243.94505553629301</v>
      </c>
      <c r="BJ5" s="59">
        <f t="shared" ref="BJ5:BJ68" si="38">$BJ$3</f>
        <v>173.05364940250229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0.9</v>
      </c>
      <c r="BY5" s="12">
        <f>IF('Données projet'!$A$114&gt;35,BY4+BX5-CG4,IF(A5&lt;'Données projet'!$A$114,$BV$205^A5,IF(A5='Données projet'!$A$114,'Données projet'!$B$114,BY4+BX5-CG4)))</f>
        <v>1.5518455739153598</v>
      </c>
      <c r="BZ5" s="13">
        <f>BY5*VLOOKUP('Données projet'!$B$12,Paramètres!$A$1:$I$89,3,0)*VLOOKUP('Données projet'!$B$12,Paramètres!$A$1:$I$89,5,0)</f>
        <v>1.0167692200293437</v>
      </c>
      <c r="CA5" s="13">
        <f t="shared" ref="CA5:CA68" si="39">EXP(-1.0587+0.8836*LN(BZ5)+0.284)</f>
        <v>0.46766381619902025</v>
      </c>
      <c r="CB5" s="20">
        <f t="shared" si="10"/>
        <v>2.5853875380977338</v>
      </c>
      <c r="CC5" s="59">
        <f t="shared" si="11"/>
        <v>295.91872087143105</v>
      </c>
      <c r="CD5" s="59">
        <f ca="1">AVERAGE(OFFSET($CC$3,0,0,'Données projet'!$E$12+1,1))-AVERAGE(OFFSET($H$3,0,0,'Données projet'!$E$12+1,1))</f>
        <v>140.9558843244115</v>
      </c>
      <c r="CE5" s="59">
        <f t="shared" ref="CE5:CE68" si="40">$CE$3</f>
        <v>158.88947216184619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3.887142857142857</v>
      </c>
      <c r="CT5" s="12">
        <f>IF('Données projet'!$A$140&gt;35,CT4+CS5-DB4,IF(A5&lt;'Données projet'!$A$140,$CQ$205^A5,IF(A5='Données projet'!$A$140,'Données projet'!$B$140,CT4+CS5-DB4)))</f>
        <v>7.774285714285714</v>
      </c>
      <c r="CU5" s="17">
        <f>CT5*VLOOKUP('Données projet'!$B$13,Paramètres!$A$1:$I$89,3,0)*VLOOKUP('Données projet'!$B$13,Paramètres!$A$1:$I$89,5,0)</f>
        <v>7.5192891428571427</v>
      </c>
      <c r="CV5" s="13">
        <f t="shared" ref="CV5:CV68" si="41">EXP(-1.0587+0.8836*LN(CU5)+0.284)</f>
        <v>2.7399451716160708</v>
      </c>
      <c r="CW5" s="20">
        <f t="shared" si="13"/>
        <v>17.868166431040844</v>
      </c>
      <c r="CX5" s="59">
        <f t="shared" si="14"/>
        <v>311.20149976437415</v>
      </c>
      <c r="CY5" s="59">
        <f ca="1">AVERAGE(OFFSET($CX$3,0,0,'Données projet'!$E$13+1,1))-AVERAGE(OFFSET($H$3,0,0,'Données projet'!$E$13+1,1))</f>
        <v>467.11196088914556</v>
      </c>
      <c r="CZ5" s="59">
        <f t="shared" ref="CZ5:CZ68" si="42">$CZ$3</f>
        <v>208.53783609106262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3.887142857142857</v>
      </c>
      <c r="DO5" s="12">
        <f>IF('Données projet'!$A$166&gt;35,DO4+DN5-DW4,IF(A5&lt;'Données projet'!$A$166,$DL$205^A5,IF(A5='Données projet'!$A$166,'Données projet'!$B$166,DO4+DN5-DW4)))</f>
        <v>7.774285714285714</v>
      </c>
      <c r="DP5" s="17">
        <f>DO5*VLOOKUP('Données projet'!$B$14,Paramètres!$A$1:$I$89,3,0)*VLOOKUP('Données projet'!$B$14,Paramètres!$A$1:$I$89,5,0)</f>
        <v>8.3682411428571424</v>
      </c>
      <c r="DQ5" s="13">
        <f t="shared" ref="DQ5:DQ68" si="43">EXP(-1.0587+0.8836*LN(DP5)+0.284)</f>
        <v>3.0115607762227636</v>
      </c>
      <c r="DR5" s="20">
        <f t="shared" si="16"/>
        <v>19.819821675730836</v>
      </c>
      <c r="DS5" s="59">
        <f t="shared" si="17"/>
        <v>313.15315500906416</v>
      </c>
      <c r="DT5" s="59">
        <f ca="1">AVERAGE(OFFSET($DS$3,0,0,'Données projet'!$E$14+1,1))-AVERAGE(OFFSET($H$3,0,0,'Données projet'!$E$14+1,1))</f>
        <v>531.65020827367698</v>
      </c>
      <c r="DU5" s="59">
        <f t="shared" ref="DU5:DU68" si="44">$DU$3</f>
        <v>235.89413420278396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1.7316000000000003</v>
      </c>
      <c r="D6" s="11">
        <f t="shared" si="32"/>
        <v>0.74859055626015358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19.145330609727505</v>
      </c>
      <c r="H6" s="67">
        <f t="shared" si="1"/>
        <v>297.65299855215306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11.097015428571428</v>
      </c>
      <c r="P6" s="13">
        <f t="shared" si="33"/>
        <v>3.8645261842324077</v>
      </c>
      <c r="Q6" s="20">
        <f t="shared" si="2"/>
        <v>26.05801830896668</v>
      </c>
      <c r="R6" s="59">
        <f t="shared" si="0"/>
        <v>319.39135164229998</v>
      </c>
      <c r="S6" s="59">
        <f ca="1">AVERAGE(OFFSET($R$3,0,0,'Données projet'!$E$9+1,1))-AVERAGE(OFFSET($H$3,0,0,'Données projet'!$E$9+1,1))</f>
        <v>457.88065872594228</v>
      </c>
      <c r="T6" s="59">
        <f t="shared" si="34"/>
        <v>204.62439362068329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318.147487430441</v>
      </c>
      <c r="AN6" s="59">
        <f ca="1">AVERAGE(OFFSET($AM$3,0,0,'Données projet'!$E$10+1,1))-AVERAGE(OFFSET($H$3,0,0,'Données projet'!$E$10+1,1))</f>
        <v>430.16825592717629</v>
      </c>
      <c r="AO6" s="59">
        <f t="shared" si="36"/>
        <v>192.87542067077248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3.8113157894736847</v>
      </c>
      <c r="BD6" s="12">
        <f>IF('Données projet'!$A$88&gt;35,BD5+BC6-BL5,IF(A6&lt;'Données projet'!$A$88,$BA$205^A6,IF(A6='Données projet'!$A$88,'Données projet'!$B$88,BD5+BC6-BL5)))</f>
        <v>11.433947368421054</v>
      </c>
      <c r="BE6" s="13">
        <f>BD6*VLOOKUP('Données projet'!$B$11,Paramètres!$A$1:$I$89,3,0)*VLOOKUP('Données projet'!$B$11,Paramètres!$A$1:$I$89,5,0)</f>
        <v>9.6319572631578971</v>
      </c>
      <c r="BF6" s="13">
        <f t="shared" si="37"/>
        <v>3.410061712458385</v>
      </c>
      <c r="BG6" s="20">
        <f t="shared" si="7"/>
        <v>22.714849715865025</v>
      </c>
      <c r="BH6" s="59">
        <f t="shared" si="8"/>
        <v>316.04818304919831</v>
      </c>
      <c r="BI6" s="59">
        <f ca="1">AVERAGE(OFFSET($BH$3,0,0,'Données projet'!$E$11+1,1))-AVERAGE(OFFSET($H$3,0,0,'Données projet'!$E$11+1,1))</f>
        <v>243.94505553629301</v>
      </c>
      <c r="BJ6" s="59">
        <f t="shared" si="38"/>
        <v>173.05364940250229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0.9</v>
      </c>
      <c r="BY6" s="12">
        <f>IF('Données projet'!$A$114&gt;35,BY5+BX6-CG5,IF(A6&lt;'Données projet'!$A$114,$BV$205^A6,IF(A6='Données projet'!$A$114,'Données projet'!$B$114,BY5+BX6-CG5)))</f>
        <v>1.9331820449317632</v>
      </c>
      <c r="BZ6" s="13">
        <f>BY6*VLOOKUP('Données projet'!$B$12,Paramètres!$A$1:$I$89,3,0)*VLOOKUP('Données projet'!$B$12,Paramètres!$A$1:$I$89,5,0)</f>
        <v>1.2666208758392912</v>
      </c>
      <c r="CA6" s="13">
        <f t="shared" si="39"/>
        <v>0.56787223780909624</v>
      </c>
      <c r="CB6" s="20">
        <f t="shared" si="10"/>
        <v>3.1950755062709413</v>
      </c>
      <c r="CC6" s="59">
        <f t="shared" si="11"/>
        <v>296.52840883960425</v>
      </c>
      <c r="CD6" s="59">
        <f ca="1">AVERAGE(OFFSET($CC$3,0,0,'Données projet'!$E$12+1,1))-AVERAGE(OFFSET($H$3,0,0,'Données projet'!$E$12+1,1))</f>
        <v>140.9558843244115</v>
      </c>
      <c r="CE6" s="59">
        <f t="shared" si="40"/>
        <v>158.88947216184619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3.887142857142857</v>
      </c>
      <c r="CT6" s="12">
        <f>IF('Données projet'!$A$140&gt;35,CT5+CS6-DB5,IF(A6&lt;'Données projet'!$A$140,$CQ$205^A6,IF(A6='Données projet'!$A$140,'Données projet'!$B$140,CT5+CS6-DB5)))</f>
        <v>11.661428571428571</v>
      </c>
      <c r="CU6" s="17">
        <f>CT6*VLOOKUP('Données projet'!$B$13,Paramètres!$A$1:$I$89,3,0)*VLOOKUP('Données projet'!$B$13,Paramètres!$A$1:$I$89,5,0)</f>
        <v>11.278933714285714</v>
      </c>
      <c r="CV6" s="13">
        <f t="shared" si="41"/>
        <v>3.9204517102294627</v>
      </c>
      <c r="CW6" s="20">
        <f t="shared" si="13"/>
        <v>26.472262947697264</v>
      </c>
      <c r="CX6" s="59">
        <f t="shared" si="14"/>
        <v>319.8055962810306</v>
      </c>
      <c r="CY6" s="59">
        <f ca="1">AVERAGE(OFFSET($CX$3,0,0,'Données projet'!$E$13+1,1))-AVERAGE(OFFSET($H$3,0,0,'Données projet'!$E$13+1,1))</f>
        <v>467.11196088914556</v>
      </c>
      <c r="CZ6" s="59">
        <f t="shared" si="42"/>
        <v>208.53783609106262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3.887142857142857</v>
      </c>
      <c r="DO6" s="12">
        <f>IF('Données projet'!$A$166&gt;35,DO5+DN6-DW5,IF(A6&lt;'Données projet'!$A$166,$DL$205^A6,IF(A6='Données projet'!$A$166,'Données projet'!$B$166,DO5+DN6-DW5)))</f>
        <v>11.661428571428571</v>
      </c>
      <c r="DP6" s="17">
        <f>DO6*VLOOKUP('Données projet'!$B$14,Paramètres!$A$1:$I$89,3,0)*VLOOKUP('Données projet'!$B$14,Paramètres!$A$1:$I$89,5,0)</f>
        <v>12.552361714285714</v>
      </c>
      <c r="DQ6" s="13">
        <f t="shared" si="43"/>
        <v>4.3090930132148255</v>
      </c>
      <c r="DR6" s="20">
        <f t="shared" si="16"/>
        <v>29.367033650396774</v>
      </c>
      <c r="DS6" s="59">
        <f t="shared" si="17"/>
        <v>322.70036698373008</v>
      </c>
      <c r="DT6" s="59">
        <f ca="1">AVERAGE(OFFSET($DS$3,0,0,'Données projet'!$E$14+1,1))-AVERAGE(OFFSET($H$3,0,0,'Données projet'!$E$14+1,1))</f>
        <v>531.65020827367698</v>
      </c>
      <c r="DU6" s="59">
        <f t="shared" si="44"/>
        <v>235.89413420278396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7" s="11">
        <f t="shared" si="32"/>
        <v>0.96525089214556192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25.273375307790303</v>
      </c>
      <c r="H7" s="67">
        <f t="shared" si="1"/>
        <v>299.03563863715351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14.796020571428571</v>
      </c>
      <c r="P7" s="13">
        <f t="shared" si="33"/>
        <v>4.9830141668977559</v>
      </c>
      <c r="Q7" s="20">
        <f t="shared" si="2"/>
        <v>34.448485502585022</v>
      </c>
      <c r="R7" s="59">
        <f t="shared" si="0"/>
        <v>327.78181883591833</v>
      </c>
      <c r="S7" s="59">
        <f ca="1">AVERAGE(OFFSET($R$3,0,0,'Données projet'!$E$9+1,1))-AVERAGE(OFFSET($H$3,0,0,'Données projet'!$E$9+1,1))</f>
        <v>457.88065872594228</v>
      </c>
      <c r="T7" s="59">
        <f t="shared" si="34"/>
        <v>204.62439362068329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326.13621353232344</v>
      </c>
      <c r="AN7" s="59">
        <f ca="1">AVERAGE(OFFSET($AM$3,0,0,'Données projet'!$E$10+1,1))-AVERAGE(OFFSET($H$3,0,0,'Données projet'!$E$10+1,1))</f>
        <v>430.16825592717629</v>
      </c>
      <c r="AO7" s="59">
        <f t="shared" si="36"/>
        <v>192.87542067077248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3.8113157894736847</v>
      </c>
      <c r="BD7" s="12">
        <f>IF('Données projet'!$A$88&gt;35,BD6+BC7-BL6,IF(A7&lt;'Données projet'!$A$88,$BA$205^A7,IF(A7='Données projet'!$A$88,'Données projet'!$B$88,BD6+BC7-BL6)))</f>
        <v>15.245263157894739</v>
      </c>
      <c r="BE7" s="13">
        <f>BD7*VLOOKUP('Données projet'!$B$11,Paramètres!$A$1:$I$89,3,0)*VLOOKUP('Données projet'!$B$11,Paramètres!$A$1:$I$89,5,0)</f>
        <v>12.842609684210528</v>
      </c>
      <c r="BF7" s="13">
        <f t="shared" si="37"/>
        <v>4.397016610343103</v>
      </c>
      <c r="BG7" s="20">
        <f t="shared" si="7"/>
        <v>30.025682463014238</v>
      </c>
      <c r="BH7" s="59">
        <f t="shared" si="8"/>
        <v>323.35901579634753</v>
      </c>
      <c r="BI7" s="59">
        <f ca="1">AVERAGE(OFFSET($BH$3,0,0,'Données projet'!$E$11+1,1))-AVERAGE(OFFSET($H$3,0,0,'Données projet'!$E$11+1,1))</f>
        <v>243.94505553629301</v>
      </c>
      <c r="BJ7" s="59">
        <f t="shared" si="38"/>
        <v>173.05364940250229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0.9</v>
      </c>
      <c r="BY7" s="12">
        <f>IF('Données projet'!$A$114&gt;35,BY6+BX7-CG6,IF(A7&lt;'Données projet'!$A$114,$BV$205^A7,IF(A7='Données projet'!$A$114,'Données projet'!$B$114,BY6+BX7-CG6)))</f>
        <v>2.4082246852806923</v>
      </c>
      <c r="BZ7" s="13">
        <f>BY7*VLOOKUP('Données projet'!$B$12,Paramètres!$A$1:$I$89,3,0)*VLOOKUP('Données projet'!$B$12,Paramètres!$A$1:$I$89,5,0)</f>
        <v>1.5778688137959096</v>
      </c>
      <c r="CA7" s="13">
        <f t="shared" si="39"/>
        <v>0.68955276697540291</v>
      </c>
      <c r="CB7" s="20">
        <f t="shared" si="10"/>
        <v>3.9490925865100355</v>
      </c>
      <c r="CC7" s="59">
        <f t="shared" si="11"/>
        <v>297.28242591984338</v>
      </c>
      <c r="CD7" s="59">
        <f ca="1">AVERAGE(OFFSET($CC$3,0,0,'Données projet'!$E$12+1,1))-AVERAGE(OFFSET($H$3,0,0,'Données projet'!$E$12+1,1))</f>
        <v>140.9558843244115</v>
      </c>
      <c r="CE7" s="59">
        <f t="shared" si="40"/>
        <v>158.88947216184619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3.887142857142857</v>
      </c>
      <c r="CT7" s="12">
        <f>IF('Données projet'!$A$140&gt;35,CT6+CS7-DB6,IF(A7&lt;'Données projet'!$A$140,$CQ$205^A7,IF(A7='Données projet'!$A$140,'Données projet'!$B$140,CT6+CS7-DB6)))</f>
        <v>15.548571428571428</v>
      </c>
      <c r="CU7" s="17">
        <f>CT7*VLOOKUP('Données projet'!$B$13,Paramètres!$A$1:$I$89,3,0)*VLOOKUP('Données projet'!$B$13,Paramètres!$A$1:$I$89,5,0)</f>
        <v>15.038578285714285</v>
      </c>
      <c r="CV7" s="13">
        <f t="shared" si="41"/>
        <v>5.0551259019589807</v>
      </c>
      <c r="CW7" s="20">
        <f t="shared" si="13"/>
        <v>34.996534793530941</v>
      </c>
      <c r="CX7" s="59">
        <f t="shared" si="14"/>
        <v>328.32986812686426</v>
      </c>
      <c r="CY7" s="59">
        <f ca="1">AVERAGE(OFFSET($CX$3,0,0,'Données projet'!$E$13+1,1))-AVERAGE(OFFSET($H$3,0,0,'Données projet'!$E$13+1,1))</f>
        <v>467.11196088914556</v>
      </c>
      <c r="CZ7" s="59">
        <f t="shared" si="42"/>
        <v>208.53783609106262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3.887142857142857</v>
      </c>
      <c r="DO7" s="12">
        <f>IF('Données projet'!$A$166&gt;35,DO6+DN7-DW6,IF(A7&lt;'Données projet'!$A$166,$DL$205^A7,IF(A7='Données projet'!$A$166,'Données projet'!$B$166,DO6+DN7-DW6)))</f>
        <v>15.548571428571428</v>
      </c>
      <c r="DP7" s="17">
        <f>DO7*VLOOKUP('Données projet'!$B$14,Paramètres!$A$1:$I$89,3,0)*VLOOKUP('Données projet'!$B$14,Paramètres!$A$1:$I$89,5,0)</f>
        <v>16.736482285714285</v>
      </c>
      <c r="DQ7" s="13">
        <f t="shared" si="43"/>
        <v>5.55624946181974</v>
      </c>
      <c r="DR7" s="20">
        <f t="shared" si="16"/>
        <v>38.826507793621758</v>
      </c>
      <c r="DS7" s="59">
        <f t="shared" si="17"/>
        <v>332.15984112695509</v>
      </c>
      <c r="DT7" s="59">
        <f ca="1">AVERAGE(OFFSET($DS$3,0,0,'Données projet'!$E$14+1,1))-AVERAGE(OFFSET($H$3,0,0,'Données projet'!$E$14+1,1))</f>
        <v>531.65020827367698</v>
      </c>
      <c r="DU7" s="59">
        <f t="shared" si="44"/>
        <v>235.89413420278396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8" s="11">
        <f t="shared" si="32"/>
        <v>1.1756279405869499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31.352917436109792</v>
      </c>
      <c r="H8" s="67">
        <f t="shared" si="1"/>
        <v>300.40733532985558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18.495025714285713</v>
      </c>
      <c r="P8" s="13">
        <f t="shared" si="33"/>
        <v>6.0690652871856443</v>
      </c>
      <c r="Q8" s="20">
        <f t="shared" si="2"/>
        <v>42.782458494229274</v>
      </c>
      <c r="R8" s="59">
        <f t="shared" si="0"/>
        <v>336.11579182756259</v>
      </c>
      <c r="S8" s="59">
        <f ca="1">AVERAGE(OFFSET($R$3,0,0,'Données projet'!$E$9+1,1))-AVERAGE(OFFSET($H$3,0,0,'Données projet'!$E$9+1,1))</f>
        <v>457.88065872594228</v>
      </c>
      <c r="T8" s="59">
        <f t="shared" si="34"/>
        <v>204.62439362068329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334.07090758843799</v>
      </c>
      <c r="AN8" s="59">
        <f ca="1">AVERAGE(OFFSET($AM$3,0,0,'Données projet'!$E$10+1,1))-AVERAGE(OFFSET($H$3,0,0,'Données projet'!$E$10+1,1))</f>
        <v>430.16825592717629</v>
      </c>
      <c r="AO8" s="59">
        <f t="shared" si="36"/>
        <v>192.87542067077248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3.8113157894736847</v>
      </c>
      <c r="BD8" s="12">
        <f>IF('Données projet'!$A$88&gt;35,BD7+BC8-BL7,IF(A8&lt;'Données projet'!$A$88,$BA$205^A8,IF(A8='Données projet'!$A$88,'Données projet'!$B$88,BD7+BC8-BL7)))</f>
        <v>19.056578947368422</v>
      </c>
      <c r="BE8" s="13">
        <f>BD8*VLOOKUP('Données projet'!$B$11,Paramètres!$A$1:$I$89,3,0)*VLOOKUP('Données projet'!$B$11,Paramètres!$A$1:$I$89,5,0)</f>
        <v>16.053262105263162</v>
      </c>
      <c r="BF8" s="13">
        <f t="shared" si="37"/>
        <v>5.3553491889078098</v>
      </c>
      <c r="BG8" s="20">
        <f t="shared" si="7"/>
        <v>37.286664670681112</v>
      </c>
      <c r="BH8" s="59">
        <f t="shared" si="8"/>
        <v>330.61999800401441</v>
      </c>
      <c r="BI8" s="59">
        <f ca="1">AVERAGE(OFFSET($BH$3,0,0,'Données projet'!$E$11+1,1))-AVERAGE(OFFSET($H$3,0,0,'Données projet'!$E$11+1,1))</f>
        <v>243.94505553629301</v>
      </c>
      <c r="BJ8" s="59">
        <f t="shared" si="38"/>
        <v>173.05364940250229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0.9</v>
      </c>
      <c r="BY8" s="12">
        <f>IF('Données projet'!$A$114&gt;35,BY7+BX8-CG7,IF(A8&lt;'Données projet'!$A$114,$BV$205^A8,IF(A8='Données projet'!$A$114,'Données projet'!$B$114,BY7+BX8-CG7)))</f>
        <v>3.0000000000000004</v>
      </c>
      <c r="BZ8" s="13">
        <f>BY8*VLOOKUP('Données projet'!$B$12,Paramètres!$A$1:$I$89,3,0)*VLOOKUP('Données projet'!$B$12,Paramètres!$A$1:$I$89,5,0)</f>
        <v>1.9656000000000005</v>
      </c>
      <c r="CA8" s="13">
        <f t="shared" si="39"/>
        <v>0.83730632840564978</v>
      </c>
      <c r="CB8" s="20">
        <f t="shared" si="10"/>
        <v>4.8817285219731739</v>
      </c>
      <c r="CC8" s="59">
        <f t="shared" si="11"/>
        <v>298.21506185530649</v>
      </c>
      <c r="CD8" s="59">
        <f ca="1">AVERAGE(OFFSET($CC$3,0,0,'Données projet'!$E$12+1,1))-AVERAGE(OFFSET($H$3,0,0,'Données projet'!$E$12+1,1))</f>
        <v>140.9558843244115</v>
      </c>
      <c r="CE8" s="59">
        <f t="shared" si="40"/>
        <v>158.88947216184619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3.887142857142857</v>
      </c>
      <c r="CT8" s="12">
        <f>IF('Données projet'!$A$140&gt;35,CT7+CS8-DB7,IF(A8&lt;'Données projet'!$A$140,$CQ$205^A8,IF(A8='Données projet'!$A$140,'Données projet'!$B$140,CT7+CS8-DB7)))</f>
        <v>19.435714285714283</v>
      </c>
      <c r="CU8" s="17">
        <f>CT8*VLOOKUP('Données projet'!$B$13,Paramètres!$A$1:$I$89,3,0)*VLOOKUP('Données projet'!$B$13,Paramètres!$A$1:$I$89,5,0)</f>
        <v>18.798222857142854</v>
      </c>
      <c r="CV8" s="13">
        <f t="shared" si="41"/>
        <v>6.1568938209606667</v>
      </c>
      <c r="CW8" s="20">
        <f t="shared" si="13"/>
        <v>43.4634948810303</v>
      </c>
      <c r="CX8" s="59">
        <f t="shared" si="14"/>
        <v>336.79682821436359</v>
      </c>
      <c r="CY8" s="59">
        <f ca="1">AVERAGE(OFFSET($CX$3,0,0,'Données projet'!$E$13+1,1))-AVERAGE(OFFSET($H$3,0,0,'Données projet'!$E$13+1,1))</f>
        <v>467.11196088914556</v>
      </c>
      <c r="CZ8" s="59">
        <f t="shared" si="42"/>
        <v>208.53783609106262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3.887142857142857</v>
      </c>
      <c r="DO8" s="12">
        <f>IF('Données projet'!$A$166&gt;35,DO7+DN8-DW7,IF(A8&lt;'Données projet'!$A$166,$DL$205^A8,IF(A8='Données projet'!$A$166,'Données projet'!$B$166,DO7+DN8-DW7)))</f>
        <v>19.435714285714283</v>
      </c>
      <c r="DP8" s="17">
        <f>DO8*VLOOKUP('Données projet'!$B$14,Paramètres!$A$1:$I$89,3,0)*VLOOKUP('Données projet'!$B$14,Paramètres!$A$1:$I$89,5,0)</f>
        <v>20.920602857142853</v>
      </c>
      <c r="DQ8" s="13">
        <f t="shared" si="43"/>
        <v>6.767237580756813</v>
      </c>
      <c r="DR8" s="20">
        <f t="shared" si="16"/>
        <v>48.22298876267525</v>
      </c>
      <c r="DS8" s="59">
        <f t="shared" si="17"/>
        <v>341.55632209600856</v>
      </c>
      <c r="DT8" s="59">
        <f ca="1">AVERAGE(OFFSET($DS$3,0,0,'Données projet'!$E$14+1,1))-AVERAGE(OFFSET($H$3,0,0,'Données projet'!$E$14+1,1))</f>
        <v>531.65020827367698</v>
      </c>
      <c r="DU8" s="59">
        <f t="shared" si="44"/>
        <v>235.89413420278396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9" s="11">
        <f t="shared" si="32"/>
        <v>1.3811296481821862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37.394825354388807</v>
      </c>
      <c r="H9" s="67">
        <f t="shared" si="1"/>
        <v>301.7705408039173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22.194030857142852</v>
      </c>
      <c r="P9" s="13">
        <f t="shared" si="33"/>
        <v>7.1299479329323407</v>
      </c>
      <c r="Q9" s="20">
        <f t="shared" si="2"/>
        <v>51.072596392714296</v>
      </c>
      <c r="R9" s="59">
        <f t="shared" si="0"/>
        <v>344.40592972604759</v>
      </c>
      <c r="S9" s="59">
        <f ca="1">AVERAGE(OFFSET($R$3,0,0,'Données projet'!$E$9+1,1))-AVERAGE(OFFSET($H$3,0,0,'Données projet'!$E$9+1,1))</f>
        <v>457.88065872594228</v>
      </c>
      <c r="T9" s="59">
        <f t="shared" si="34"/>
        <v>204.62439362068329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341.96367699251653</v>
      </c>
      <c r="AN9" s="59">
        <f ca="1">AVERAGE(OFFSET($AM$3,0,0,'Données projet'!$E$10+1,1))-AVERAGE(OFFSET($H$3,0,0,'Données projet'!$E$10+1,1))</f>
        <v>430.16825592717629</v>
      </c>
      <c r="AO9" s="59">
        <f t="shared" si="36"/>
        <v>192.87542067077248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3.8113157894736847</v>
      </c>
      <c r="BD9" s="12">
        <f>IF('Données projet'!$A$88&gt;35,BD8+BC9-BL8,IF(A9&lt;'Données projet'!$A$88,$BA$205^A9,IF(A9='Données projet'!$A$88,'Données projet'!$B$88,BD8+BC9-BL8)))</f>
        <v>22.867894736842107</v>
      </c>
      <c r="BE9" s="13">
        <f>BD9*VLOOKUP('Données projet'!$B$11,Paramètres!$A$1:$I$89,3,0)*VLOOKUP('Données projet'!$B$11,Paramètres!$A$1:$I$89,5,0)</f>
        <v>19.263914526315794</v>
      </c>
      <c r="BF9" s="13">
        <f t="shared" si="37"/>
        <v>6.2914730807403405</v>
      </c>
      <c r="BG9" s="20">
        <f t="shared" si="7"/>
        <v>44.508966748956091</v>
      </c>
      <c r="BH9" s="59">
        <f t="shared" si="8"/>
        <v>337.8423000822894</v>
      </c>
      <c r="BI9" s="59">
        <f ca="1">AVERAGE(OFFSET($BH$3,0,0,'Données projet'!$E$11+1,1))-AVERAGE(OFFSET($H$3,0,0,'Données projet'!$E$11+1,1))</f>
        <v>243.94505553629301</v>
      </c>
      <c r="BJ9" s="59">
        <f t="shared" si="38"/>
        <v>173.05364940250229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0.9</v>
      </c>
      <c r="BY9" s="12">
        <f>IF('Données projet'!$A$114&gt;35,BY8+BX9-CG8,IF(A9&lt;'Données projet'!$A$114,$BV$205^A9,IF(A9='Données projet'!$A$114,'Données projet'!$B$114,BY8+BX9-CG8)))</f>
        <v>3.7371928188465526</v>
      </c>
      <c r="BZ9" s="13">
        <f>BY9*VLOOKUP('Données projet'!$B$12,Paramètres!$A$1:$I$89,3,0)*VLOOKUP('Données projet'!$B$12,Paramètres!$A$1:$I$89,5,0)</f>
        <v>2.448608734908261</v>
      </c>
      <c r="CA9" s="13">
        <f t="shared" si="39"/>
        <v>1.0167197075625076</v>
      </c>
      <c r="CB9" s="20">
        <f t="shared" si="10"/>
        <v>6.035447037303256</v>
      </c>
      <c r="CC9" s="59">
        <f t="shared" si="11"/>
        <v>299.36878037063656</v>
      </c>
      <c r="CD9" s="59">
        <f ca="1">AVERAGE(OFFSET($CC$3,0,0,'Données projet'!$E$12+1,1))-AVERAGE(OFFSET($H$3,0,0,'Données projet'!$E$12+1,1))</f>
        <v>140.9558843244115</v>
      </c>
      <c r="CE9" s="59">
        <f t="shared" si="40"/>
        <v>158.88947216184619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3.887142857142857</v>
      </c>
      <c r="CT9" s="12">
        <f>IF('Données projet'!$A$140&gt;35,CT8+CS9-DB8,IF(A9&lt;'Données projet'!$A$140,$CQ$205^A9,IF(A9='Données projet'!$A$140,'Données projet'!$B$140,CT8+CS9-DB8)))</f>
        <v>23.322857142857139</v>
      </c>
      <c r="CU9" s="17">
        <f>CT9*VLOOKUP('Données projet'!$B$13,Paramètres!$A$1:$I$89,3,0)*VLOOKUP('Données projet'!$B$13,Paramètres!$A$1:$I$89,5,0)</f>
        <v>22.557867428571427</v>
      </c>
      <c r="CV9" s="13">
        <f t="shared" si="41"/>
        <v>7.2331290396118018</v>
      </c>
      <c r="CW9" s="20">
        <f t="shared" si="13"/>
        <v>51.885985515419122</v>
      </c>
      <c r="CX9" s="59">
        <f t="shared" si="14"/>
        <v>345.21931884875244</v>
      </c>
      <c r="CY9" s="59">
        <f ca="1">AVERAGE(OFFSET($CX$3,0,0,'Données projet'!$E$13+1,1))-AVERAGE(OFFSET($H$3,0,0,'Données projet'!$E$13+1,1))</f>
        <v>467.11196088914556</v>
      </c>
      <c r="CZ9" s="59">
        <f t="shared" si="42"/>
        <v>208.53783609106262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3.887142857142857</v>
      </c>
      <c r="DO9" s="12">
        <f>IF('Données projet'!$A$166&gt;35,DO8+DN9-DW8,IF(A9&lt;'Données projet'!$A$166,$DL$205^A9,IF(A9='Données projet'!$A$166,'Données projet'!$B$166,DO8+DN9-DW8)))</f>
        <v>23.322857142857139</v>
      </c>
      <c r="DP9" s="17">
        <f>DO9*VLOOKUP('Données projet'!$B$14,Paramètres!$A$1:$I$89,3,0)*VLOOKUP('Données projet'!$B$14,Paramètres!$A$1:$I$89,5,0)</f>
        <v>25.104723428571422</v>
      </c>
      <c r="DQ9" s="13">
        <f t="shared" si="43"/>
        <v>7.9501618976574999</v>
      </c>
      <c r="DR9" s="20">
        <f t="shared" si="16"/>
        <v>57.570591943182031</v>
      </c>
      <c r="DS9" s="59">
        <f t="shared" si="17"/>
        <v>350.90392527651534</v>
      </c>
      <c r="DT9" s="59">
        <f ca="1">AVERAGE(OFFSET($DS$3,0,0,'Données projet'!$E$14+1,1))-AVERAGE(OFFSET($H$3,0,0,'Données projet'!$E$14+1,1))</f>
        <v>531.65020827367698</v>
      </c>
      <c r="DU9" s="59">
        <f t="shared" si="44"/>
        <v>235.89413420278396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10" s="11">
        <f t="shared" si="32"/>
        <v>1.5826636636638696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43.406105473896538</v>
      </c>
      <c r="H10" s="67">
        <f t="shared" si="1"/>
        <v>303.12683588088123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25.893035999999995</v>
      </c>
      <c r="P10" s="13">
        <f t="shared" si="33"/>
        <v>8.1703477527395769</v>
      </c>
      <c r="Q10" s="20">
        <f t="shared" si="2"/>
        <v>59.327060036021408</v>
      </c>
      <c r="R10" s="59">
        <f t="shared" si="0"/>
        <v>352.66039336935472</v>
      </c>
      <c r="S10" s="59">
        <f ca="1">AVERAGE(OFFSET($R$3,0,0,'Données projet'!$E$9+1,1))-AVERAGE(OFFSET($H$3,0,0,'Données projet'!$E$9+1,1))</f>
        <v>457.88065872594228</v>
      </c>
      <c r="T10" s="59">
        <f t="shared" si="34"/>
        <v>204.62439362068329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349.82232691315858</v>
      </c>
      <c r="AN10" s="59">
        <f ca="1">AVERAGE(OFFSET($AM$3,0,0,'Données projet'!$E$10+1,1))-AVERAGE(OFFSET($H$3,0,0,'Données projet'!$E$10+1,1))</f>
        <v>430.16825592717629</v>
      </c>
      <c r="AO10" s="59">
        <f t="shared" si="36"/>
        <v>192.87542067077248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3.8113157894736847</v>
      </c>
      <c r="BD10" s="12">
        <f>IF('Données projet'!$A$88&gt;35,BD9+BC10-BL9,IF(A10&lt;'Données projet'!$A$88,$BA$205^A10,IF(A10='Données projet'!$A$88,'Données projet'!$B$88,BD9+BC10-BL9)))</f>
        <v>26.679210526315792</v>
      </c>
      <c r="BE10" s="13">
        <f>BD10*VLOOKUP('Données projet'!$B$11,Paramètres!$A$1:$I$89,3,0)*VLOOKUP('Données projet'!$B$11,Paramètres!$A$1:$I$89,5,0)</f>
        <v>22.474566947368427</v>
      </c>
      <c r="BF10" s="13">
        <f t="shared" si="37"/>
        <v>7.2095229067833655</v>
      </c>
      <c r="BG10" s="20">
        <f t="shared" si="7"/>
        <v>51.699789829314369</v>
      </c>
      <c r="BH10" s="59">
        <f t="shared" si="8"/>
        <v>345.03312316264771</v>
      </c>
      <c r="BI10" s="59">
        <f ca="1">AVERAGE(OFFSET($BH$3,0,0,'Données projet'!$E$11+1,1))-AVERAGE(OFFSET($H$3,0,0,'Données projet'!$E$11+1,1))</f>
        <v>243.94505553629301</v>
      </c>
      <c r="BJ10" s="59">
        <f t="shared" si="38"/>
        <v>173.05364940250229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0.9</v>
      </c>
      <c r="BY10" s="12">
        <f>IF('Données projet'!$A$114&gt;35,BY9+BX10-CG9,IF(A10&lt;'Données projet'!$A$114,$BV$205^A10,IF(A10='Données projet'!$A$114,'Données projet'!$B$114,BY9+BX10-CG9)))</f>
        <v>4.6555367217460804</v>
      </c>
      <c r="BZ10" s="13">
        <f>BY10*VLOOKUP('Données projet'!$B$12,Paramètres!$A$1:$I$89,3,0)*VLOOKUP('Données projet'!$B$12,Paramètres!$A$1:$I$89,5,0)</f>
        <v>3.0503076600880319</v>
      </c>
      <c r="CA10" s="13">
        <f t="shared" si="39"/>
        <v>1.2345767954654534</v>
      </c>
      <c r="CB10" s="20">
        <f t="shared" si="10"/>
        <v>7.4628404267556538</v>
      </c>
      <c r="CC10" s="59">
        <f t="shared" si="11"/>
        <v>300.79617376008895</v>
      </c>
      <c r="CD10" s="59">
        <f ca="1">AVERAGE(OFFSET($CC$3,0,0,'Données projet'!$E$12+1,1))-AVERAGE(OFFSET($H$3,0,0,'Données projet'!$E$12+1,1))</f>
        <v>140.9558843244115</v>
      </c>
      <c r="CE10" s="59">
        <f t="shared" si="40"/>
        <v>158.88947216184619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3.887142857142857</v>
      </c>
      <c r="CT10" s="12">
        <f>IF('Données projet'!$A$140&gt;35,CT9+CS10-DB9,IF(A10&lt;'Données projet'!$A$140,$CQ$205^A10,IF(A10='Données projet'!$A$140,'Données projet'!$B$140,CT9+CS10-DB9)))</f>
        <v>27.209999999999994</v>
      </c>
      <c r="CU10" s="17">
        <f>CT10*VLOOKUP('Données projet'!$B$13,Paramètres!$A$1:$I$89,3,0)*VLOOKUP('Données projet'!$B$13,Paramètres!$A$1:$I$89,5,0)</f>
        <v>26.317511999999997</v>
      </c>
      <c r="CV10" s="13">
        <f t="shared" si="41"/>
        <v>8.288585014920681</v>
      </c>
      <c r="CW10" s="20">
        <f t="shared" si="13"/>
        <v>60.272285634320177</v>
      </c>
      <c r="CX10" s="59">
        <f t="shared" si="14"/>
        <v>353.60561896765347</v>
      </c>
      <c r="CY10" s="59">
        <f ca="1">AVERAGE(OFFSET($CX$3,0,0,'Données projet'!$E$13+1,1))-AVERAGE(OFFSET($H$3,0,0,'Données projet'!$E$13+1,1))</f>
        <v>467.11196088914556</v>
      </c>
      <c r="CZ10" s="59">
        <f t="shared" si="42"/>
        <v>208.53783609106262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3.887142857142857</v>
      </c>
      <c r="DO10" s="12">
        <f>IF('Données projet'!$A$166&gt;35,DO9+DN10-DW9,IF(A10&lt;'Données projet'!$A$166,$DL$205^A10,IF(A10='Données projet'!$A$166,'Données projet'!$B$166,DO9+DN10-DW9)))</f>
        <v>27.209999999999994</v>
      </c>
      <c r="DP10" s="17">
        <f>DO10*VLOOKUP('Données projet'!$B$14,Paramètres!$A$1:$I$89,3,0)*VLOOKUP('Données projet'!$B$14,Paramètres!$A$1:$I$89,5,0)</f>
        <v>29.288843999999994</v>
      </c>
      <c r="DQ10" s="13">
        <f t="shared" si="43"/>
        <v>9.1102470881196833</v>
      </c>
      <c r="DR10" s="20">
        <f t="shared" si="16"/>
        <v>66.878416978475101</v>
      </c>
      <c r="DS10" s="59">
        <f t="shared" si="17"/>
        <v>360.21175031180843</v>
      </c>
      <c r="DT10" s="59">
        <f ca="1">AVERAGE(OFFSET($DS$3,0,0,'Données projet'!$E$14+1,1))-AVERAGE(OFFSET($H$3,0,0,'Données projet'!$E$14+1,1))</f>
        <v>531.65020827367698</v>
      </c>
      <c r="DU10" s="59">
        <f t="shared" si="44"/>
        <v>235.89413420278396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1" s="11">
        <f t="shared" si="32"/>
        <v>1.7808622002082055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49.391638036694928</v>
      </c>
      <c r="H11" s="67">
        <f t="shared" si="1"/>
        <v>304.47732166536258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29.592041142857138</v>
      </c>
      <c r="P11" s="13">
        <f t="shared" si="33"/>
        <v>9.1935284858477626</v>
      </c>
      <c r="Q11" s="20">
        <f t="shared" si="2"/>
        <v>67.551533769994364</v>
      </c>
      <c r="R11" s="59">
        <f t="shared" si="0"/>
        <v>360.88486710332768</v>
      </c>
      <c r="S11" s="59">
        <f ca="1">AVERAGE(OFFSET($R$3,0,0,'Données projet'!$E$9+1,1))-AVERAGE(OFFSET($H$3,0,0,'Données projet'!$E$9+1,1))</f>
        <v>457.88065872594228</v>
      </c>
      <c r="T11" s="59">
        <f t="shared" si="34"/>
        <v>204.62439362068329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357.65229395844187</v>
      </c>
      <c r="AN11" s="59">
        <f ca="1">AVERAGE(OFFSET($AM$3,0,0,'Données projet'!$E$10+1,1))-AVERAGE(OFFSET($H$3,0,0,'Données projet'!$E$10+1,1))</f>
        <v>430.16825592717629</v>
      </c>
      <c r="AO11" s="59">
        <f t="shared" si="36"/>
        <v>192.87542067077248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3.8113157894736847</v>
      </c>
      <c r="BD11" s="12">
        <f>IF('Données projet'!$A$88&gt;35,BD10+BC11-BL10,IF(A11&lt;'Données projet'!$A$88,$BA$205^A11,IF(A11='Données projet'!$A$88,'Données projet'!$B$88,BD10+BC11-BL10)))</f>
        <v>30.490526315789477</v>
      </c>
      <c r="BE11" s="13">
        <f>BD11*VLOOKUP('Données projet'!$B$11,Paramètres!$A$1:$I$89,3,0)*VLOOKUP('Données projet'!$B$11,Paramètres!$A$1:$I$89,5,0)</f>
        <v>25.685219368421055</v>
      </c>
      <c r="BF11" s="13">
        <f t="shared" si="37"/>
        <v>8.1123785937581836</v>
      </c>
      <c r="BG11" s="20">
        <f t="shared" si="7"/>
        <v>58.864149784128841</v>
      </c>
      <c r="BH11" s="59">
        <f t="shared" si="8"/>
        <v>352.19748311746218</v>
      </c>
      <c r="BI11" s="59">
        <f ca="1">AVERAGE(OFFSET($BH$3,0,0,'Données projet'!$E$11+1,1))-AVERAGE(OFFSET($H$3,0,0,'Données projet'!$E$11+1,1))</f>
        <v>243.94505553629301</v>
      </c>
      <c r="BJ11" s="59">
        <f t="shared" si="38"/>
        <v>173.05364940250229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0.9</v>
      </c>
      <c r="BY11" s="12">
        <f>IF('Données projet'!$A$114&gt;35,BY10+BX11-CG10,IF(A11&lt;'Données projet'!$A$114,$BV$205^A11,IF(A11='Données projet'!$A$114,'Données projet'!$B$114,BY10+BX11-CG10)))</f>
        <v>5.7995461347952899</v>
      </c>
      <c r="BZ11" s="13">
        <f>BY11*VLOOKUP('Données projet'!$B$12,Paramètres!$A$1:$I$89,3,0)*VLOOKUP('Données projet'!$B$12,Paramètres!$A$1:$I$89,5,0)</f>
        <v>3.7998626275178737</v>
      </c>
      <c r="CA11" s="13">
        <f t="shared" si="39"/>
        <v>1.4991150978629391</v>
      </c>
      <c r="CB11" s="20">
        <f t="shared" si="10"/>
        <v>9.2290528717049156</v>
      </c>
      <c r="CC11" s="59">
        <f t="shared" si="11"/>
        <v>302.56238620503825</v>
      </c>
      <c r="CD11" s="59">
        <f ca="1">AVERAGE(OFFSET($CC$3,0,0,'Données projet'!$E$12+1,1))-AVERAGE(OFFSET($H$3,0,0,'Données projet'!$E$12+1,1))</f>
        <v>140.9558843244115</v>
      </c>
      <c r="CE11" s="59">
        <f t="shared" si="40"/>
        <v>158.88947216184619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3.887142857142857</v>
      </c>
      <c r="CT11" s="12">
        <f>IF('Données projet'!$A$140&gt;35,CT10+CS11-DB10,IF(A11&lt;'Données projet'!$A$140,$CQ$205^A11,IF(A11='Données projet'!$A$140,'Données projet'!$B$140,CT10+CS11-DB10)))</f>
        <v>31.097142857142849</v>
      </c>
      <c r="CU11" s="17">
        <f>CT11*VLOOKUP('Données projet'!$B$13,Paramètres!$A$1:$I$89,3,0)*VLOOKUP('Données projet'!$B$13,Paramètres!$A$1:$I$89,5,0)</f>
        <v>30.077156571428564</v>
      </c>
      <c r="CV11" s="13">
        <f t="shared" si="41"/>
        <v>9.3265727173599551</v>
      </c>
      <c r="CW11" s="20">
        <f t="shared" si="13"/>
        <v>68.62816184463999</v>
      </c>
      <c r="CX11" s="59">
        <f t="shared" si="14"/>
        <v>361.96149517797329</v>
      </c>
      <c r="CY11" s="59">
        <f ca="1">AVERAGE(OFFSET($CX$3,0,0,'Données projet'!$E$13+1,1))-AVERAGE(OFFSET($H$3,0,0,'Données projet'!$E$13+1,1))</f>
        <v>467.11196088914556</v>
      </c>
      <c r="CZ11" s="59">
        <f t="shared" si="42"/>
        <v>208.53783609106262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3.887142857142857</v>
      </c>
      <c r="DO11" s="12">
        <f>IF('Données projet'!$A$166&gt;35,DO10+DN11-DW10,IF(A11&lt;'Données projet'!$A$166,$DL$205^A11,IF(A11='Données projet'!$A$166,'Données projet'!$B$166,DO10+DN11-DW10)))</f>
        <v>31.097142857142849</v>
      </c>
      <c r="DP11" s="17">
        <f>DO11*VLOOKUP('Données projet'!$B$14,Paramètres!$A$1:$I$89,3,0)*VLOOKUP('Données projet'!$B$14,Paramètres!$A$1:$I$89,5,0)</f>
        <v>33.472964571428555</v>
      </c>
      <c r="DQ11" s="13">
        <f t="shared" si="43"/>
        <v>10.251132344967342</v>
      </c>
      <c r="DR11" s="20">
        <f t="shared" si="16"/>
        <v>76.152802129389514</v>
      </c>
      <c r="DS11" s="59">
        <f t="shared" si="17"/>
        <v>369.48613546272281</v>
      </c>
      <c r="DT11" s="59">
        <f ca="1">AVERAGE(OFFSET($DS$3,0,0,'Données projet'!$E$14+1,1))-AVERAGE(OFFSET($H$3,0,0,'Données projet'!$E$14+1,1))</f>
        <v>531.65020827367698</v>
      </c>
      <c r="DU11" s="59">
        <f t="shared" si="44"/>
        <v>235.89413420278396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5.1948000000000008</v>
      </c>
      <c r="D12" s="11">
        <f t="shared" si="32"/>
        <v>1.9761899425421008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55.355010082781142</v>
      </c>
      <c r="H12" s="67">
        <f t="shared" si="1"/>
        <v>305.82280748326082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33.291046285714273</v>
      </c>
      <c r="P12" s="13">
        <f t="shared" si="33"/>
        <v>10.201889022116685</v>
      </c>
      <c r="Q12" s="20">
        <f t="shared" si="2"/>
        <v>75.750195661138918</v>
      </c>
      <c r="R12" s="59">
        <f t="shared" si="0"/>
        <v>369.0835289944722</v>
      </c>
      <c r="S12" s="59">
        <f ca="1">AVERAGE(OFFSET($R$3,0,0,'Données projet'!$E$9+1,1))-AVERAGE(OFFSET($H$3,0,0,'Données projet'!$E$9+1,1))</f>
        <v>457.88065872594228</v>
      </c>
      <c r="T12" s="59">
        <f t="shared" si="34"/>
        <v>204.62439362068329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365.45757410446254</v>
      </c>
      <c r="AN12" s="59">
        <f ca="1">AVERAGE(OFFSET($AM$3,0,0,'Données projet'!$E$10+1,1))-AVERAGE(OFFSET($H$3,0,0,'Données projet'!$E$10+1,1))</f>
        <v>430.16825592717629</v>
      </c>
      <c r="AO12" s="59">
        <f t="shared" si="36"/>
        <v>192.87542067077248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3.8113157894736847</v>
      </c>
      <c r="BD12" s="12">
        <f>IF('Données projet'!$A$88&gt;35,BD11+BC12-BL11,IF(A12&lt;'Données projet'!$A$88,$BA$205^A12,IF(A12='Données projet'!$A$88,'Données projet'!$B$88,BD11+BC12-BL11)))</f>
        <v>34.301842105263162</v>
      </c>
      <c r="BE12" s="13">
        <f>BD12*VLOOKUP('Données projet'!$B$11,Paramètres!$A$1:$I$89,3,0)*VLOOKUP('Données projet'!$B$11,Paramètres!$A$1:$I$89,5,0)</f>
        <v>28.895871789473688</v>
      </c>
      <c r="BF12" s="13">
        <f t="shared" si="37"/>
        <v>9.002156924440559</v>
      </c>
      <c r="BG12" s="20">
        <f t="shared" si="7"/>
        <v>66.005733343400635</v>
      </c>
      <c r="BH12" s="59">
        <f t="shared" si="8"/>
        <v>359.33906667673398</v>
      </c>
      <c r="BI12" s="59">
        <f ca="1">AVERAGE(OFFSET($BH$3,0,0,'Données projet'!$E$11+1,1))-AVERAGE(OFFSET($H$3,0,0,'Données projet'!$E$11+1,1))</f>
        <v>243.94505553629301</v>
      </c>
      <c r="BJ12" s="59">
        <f t="shared" si="38"/>
        <v>173.05364940250229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0.9</v>
      </c>
      <c r="BY12" s="12">
        <f>IF('Données projet'!$A$114&gt;35,BY11+BX12-CG11,IF(A12&lt;'Données projet'!$A$114,$BV$205^A12,IF(A12='Données projet'!$A$114,'Données projet'!$B$114,BY11+BX12-CG11)))</f>
        <v>7.2246740558420788</v>
      </c>
      <c r="BZ12" s="13">
        <f>BY12*VLOOKUP('Données projet'!$B$12,Paramètres!$A$1:$I$89,3,0)*VLOOKUP('Données projet'!$B$12,Paramètres!$A$1:$I$89,5,0)</f>
        <v>4.7336064413877299</v>
      </c>
      <c r="CA12" s="13">
        <f t="shared" si="39"/>
        <v>1.8203372077743676</v>
      </c>
      <c r="CB12" s="20">
        <f t="shared" si="10"/>
        <v>11.414785188957319</v>
      </c>
      <c r="CC12" s="59">
        <f t="shared" si="11"/>
        <v>304.74811852229061</v>
      </c>
      <c r="CD12" s="59">
        <f ca="1">AVERAGE(OFFSET($CC$3,0,0,'Données projet'!$E$12+1,1))-AVERAGE(OFFSET($H$3,0,0,'Données projet'!$E$12+1,1))</f>
        <v>140.9558843244115</v>
      </c>
      <c r="CE12" s="59">
        <f t="shared" si="40"/>
        <v>158.88947216184619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3.887142857142857</v>
      </c>
      <c r="CT12" s="12">
        <f>IF('Données projet'!$A$140&gt;35,CT11+CS12-DB11,IF(A12&lt;'Données projet'!$A$140,$CQ$205^A12,IF(A12='Données projet'!$A$140,'Données projet'!$B$140,CT11+CS12-DB11)))</f>
        <v>34.984285714285704</v>
      </c>
      <c r="CU12" s="17">
        <f>CT12*VLOOKUP('Données projet'!$B$13,Paramètres!$A$1:$I$89,3,0)*VLOOKUP('Données projet'!$B$13,Paramètres!$A$1:$I$89,5,0)</f>
        <v>33.836801142857134</v>
      </c>
      <c r="CV12" s="13">
        <f t="shared" si="41"/>
        <v>10.349525752345953</v>
      </c>
      <c r="CW12" s="20">
        <f t="shared" si="13"/>
        <v>76.957852675812049</v>
      </c>
      <c r="CX12" s="59">
        <f t="shared" si="14"/>
        <v>370.29118600914535</v>
      </c>
      <c r="CY12" s="59">
        <f ca="1">AVERAGE(OFFSET($CX$3,0,0,'Données projet'!$E$13+1,1))-AVERAGE(OFFSET($H$3,0,0,'Données projet'!$E$13+1,1))</f>
        <v>467.11196088914556</v>
      </c>
      <c r="CZ12" s="59">
        <f t="shared" si="42"/>
        <v>208.53783609106262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3.887142857142857</v>
      </c>
      <c r="DO12" s="12">
        <f>IF('Données projet'!$A$166&gt;35,DO11+DN12-DW11,IF(A12&lt;'Données projet'!$A$166,$DL$205^A12,IF(A12='Données projet'!$A$166,'Données projet'!$B$166,DO11+DN12-DW11)))</f>
        <v>34.984285714285704</v>
      </c>
      <c r="DP12" s="17">
        <f>DO12*VLOOKUP('Données projet'!$B$14,Paramètres!$A$1:$I$89,3,0)*VLOOKUP('Données projet'!$B$14,Paramètres!$A$1:$I$89,5,0)</f>
        <v>37.657085142857127</v>
      </c>
      <c r="DQ12" s="13">
        <f t="shared" si="43"/>
        <v>11.375492521220362</v>
      </c>
      <c r="DR12" s="20">
        <f t="shared" si="16"/>
        <v>85.39840609826831</v>
      </c>
      <c r="DS12" s="59">
        <f t="shared" si="17"/>
        <v>378.73173943160162</v>
      </c>
      <c r="DT12" s="59">
        <f ca="1">AVERAGE(OFFSET($DS$3,0,0,'Données projet'!$E$14+1,1))-AVERAGE(OFFSET($H$3,0,0,'Données projet'!$E$14+1,1))</f>
        <v>531.65020827367698</v>
      </c>
      <c r="DU12" s="59">
        <f t="shared" si="44"/>
        <v>235.89413420278396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5.7720000000000011</v>
      </c>
      <c r="D13" s="11">
        <f t="shared" si="32"/>
        <v>2.1690022541664673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61.298964769004321</v>
      </c>
      <c r="H13" s="67">
        <f t="shared" si="1"/>
        <v>307.1639122593399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36.990051428571419</v>
      </c>
      <c r="P13" s="13">
        <f t="shared" si="33"/>
        <v>11.197263891173662</v>
      </c>
      <c r="Q13" s="20">
        <f t="shared" si="2"/>
        <v>83.92624084855602</v>
      </c>
      <c r="R13" s="59">
        <f t="shared" si="0"/>
        <v>377.25957418188932</v>
      </c>
      <c r="S13" s="59">
        <f ca="1">AVERAGE(OFFSET($R$3,0,0,'Données projet'!$E$9+1,1))-AVERAGE(OFFSET($H$3,0,0,'Données projet'!$E$9+1,1))</f>
        <v>457.88065872594228</v>
      </c>
      <c r="T13" s="59">
        <f t="shared" si="34"/>
        <v>204.62439362068329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373.2412232383046</v>
      </c>
      <c r="AN13" s="59">
        <f ca="1">AVERAGE(OFFSET($AM$3,0,0,'Données projet'!$E$10+1,1))-AVERAGE(OFFSET($H$3,0,0,'Données projet'!$E$10+1,1))</f>
        <v>430.16825592717629</v>
      </c>
      <c r="AO13" s="59">
        <f t="shared" si="36"/>
        <v>192.87542067077248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3.8113157894736847</v>
      </c>
      <c r="BD13" s="12">
        <f>IF('Données projet'!$A$88&gt;35,BD12+BC13-BL12,IF(A13&lt;'Données projet'!$A$88,$BA$205^A13,IF(A13='Données projet'!$A$88,'Données projet'!$B$88,BD12+BC13-BL12)))</f>
        <v>38.113157894736844</v>
      </c>
      <c r="BE13" s="13">
        <f>BD13*VLOOKUP('Données projet'!$B$11,Paramètres!$A$1:$I$89,3,0)*VLOOKUP('Données projet'!$B$11,Paramètres!$A$1:$I$89,5,0)</f>
        <v>32.106524210526324</v>
      </c>
      <c r="BF13" s="13">
        <f t="shared" si="37"/>
        <v>9.8804766895811049</v>
      </c>
      <c r="BG13" s="20">
        <f t="shared" si="7"/>
        <v>73.127359901020441</v>
      </c>
      <c r="BH13" s="59">
        <f t="shared" si="8"/>
        <v>366.46069323435376</v>
      </c>
      <c r="BI13" s="59">
        <f ca="1">AVERAGE(OFFSET($BH$3,0,0,'Données projet'!$E$11+1,1))-AVERAGE(OFFSET($H$3,0,0,'Données projet'!$E$11+1,1))</f>
        <v>243.94505553629301</v>
      </c>
      <c r="BJ13" s="59">
        <f t="shared" si="38"/>
        <v>173.05364940250229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9</v>
      </c>
      <c r="BW13" s="12">
        <f>VLOOKUP(A13,'Données projet'!$A$113:$I$133,9,0)</f>
        <v>0.9</v>
      </c>
      <c r="BX13" s="12">
        <f t="array" ref="BX13">INDEX(BW:BW,MIN(IF(ISNUMBER(BW13:BW209),ROW(BW13:BW209),"")))</f>
        <v>0.9</v>
      </c>
      <c r="BY13" s="12">
        <f>IF('Données projet'!$A$114&gt;35,BY12+BX13-CG12,IF(A13&lt;'Données projet'!$A$114,$BV$205^A13,IF(A13='Données projet'!$A$114,'Données projet'!$B$114,BY12+BX13-CG12)))</f>
        <v>9</v>
      </c>
      <c r="BZ13" s="13">
        <f>BY13*VLOOKUP('Données projet'!$B$12,Paramètres!$A$1:$I$89,3,0)*VLOOKUP('Données projet'!$B$12,Paramètres!$A$1:$I$89,5,0)</f>
        <v>5.8967999999999998</v>
      </c>
      <c r="CA13" s="13">
        <f t="shared" si="39"/>
        <v>2.210389018649412</v>
      </c>
      <c r="CB13" s="20">
        <f t="shared" si="10"/>
        <v>14.120020874147725</v>
      </c>
      <c r="CC13" s="59">
        <f t="shared" si="11"/>
        <v>307.45335420748103</v>
      </c>
      <c r="CD13" s="59">
        <f ca="1">AVERAGE(OFFSET($CC$3,0,0,'Données projet'!$E$12+1,1))-AVERAGE(OFFSET($H$3,0,0,'Données projet'!$E$12+1,1))</f>
        <v>140.9558843244115</v>
      </c>
      <c r="CE13" s="59">
        <f t="shared" si="40"/>
        <v>158.88947216184619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3.887142857142857</v>
      </c>
      <c r="CT13" s="12">
        <f>IF('Données projet'!$A$140&gt;35,CT12+CS13-DB12,IF(A13&lt;'Données projet'!$A$140,$CQ$205^A13,IF(A13='Données projet'!$A$140,'Données projet'!$B$140,CT12+CS13-DB12)))</f>
        <v>38.871428571428559</v>
      </c>
      <c r="CU13" s="17">
        <f>CT13*VLOOKUP('Données projet'!$B$13,Paramètres!$A$1:$I$89,3,0)*VLOOKUP('Données projet'!$B$13,Paramètres!$A$1:$I$89,5,0)</f>
        <v>37.596445714285707</v>
      </c>
      <c r="CV13" s="13">
        <f t="shared" si="41"/>
        <v>11.359305197918257</v>
      </c>
      <c r="CW13" s="20">
        <f t="shared" si="13"/>
        <v>85.264599505421899</v>
      </c>
      <c r="CX13" s="59">
        <f t="shared" si="14"/>
        <v>378.59793283875524</v>
      </c>
      <c r="CY13" s="59">
        <f ca="1">AVERAGE(OFFSET($CX$3,0,0,'Données projet'!$E$13+1,1))-AVERAGE(OFFSET($H$3,0,0,'Données projet'!$E$13+1,1))</f>
        <v>467.11196088914556</v>
      </c>
      <c r="CZ13" s="59">
        <f t="shared" si="42"/>
        <v>208.53783609106262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3.887142857142857</v>
      </c>
      <c r="DO13" s="12">
        <f>IF('Données projet'!$A$166&gt;35,DO12+DN13-DW12,IF(A13&lt;'Données projet'!$A$166,$DL$205^A13,IF(A13='Données projet'!$A$166,'Données projet'!$B$166,DO12+DN13-DW12)))</f>
        <v>38.871428571428559</v>
      </c>
      <c r="DP13" s="17">
        <f>DO13*VLOOKUP('Données projet'!$B$14,Paramètres!$A$1:$I$89,3,0)*VLOOKUP('Données projet'!$B$14,Paramètres!$A$1:$I$89,5,0)</f>
        <v>41.841205714285699</v>
      </c>
      <c r="DQ13" s="13">
        <f t="shared" si="43"/>
        <v>12.48537318687174</v>
      </c>
      <c r="DR13" s="20">
        <f t="shared" si="16"/>
        <v>94.618791586182525</v>
      </c>
      <c r="DS13" s="59">
        <f t="shared" si="17"/>
        <v>387.95212491951582</v>
      </c>
      <c r="DT13" s="59">
        <f ca="1">AVERAGE(OFFSET($DS$3,0,0,'Données projet'!$E$14+1,1))-AVERAGE(OFFSET($H$3,0,0,'Données projet'!$E$14+1,1))</f>
        <v>531.65020827367698</v>
      </c>
      <c r="DU13" s="59">
        <f t="shared" si="44"/>
        <v>235.89413420278396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6.3492000000000015</v>
      </c>
      <c r="D14" s="11">
        <f t="shared" si="32"/>
        <v>2.359579313094827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67.225664873012704</v>
      </c>
      <c r="H14" s="67">
        <f t="shared" si="1"/>
        <v>308.50112397030682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40.689056571428559</v>
      </c>
      <c r="P14" s="13">
        <f t="shared" si="33"/>
        <v>12.181099484855261</v>
      </c>
      <c r="Q14" s="20">
        <f t="shared" si="2"/>
        <v>92.082188464694312</v>
      </c>
      <c r="R14" s="59">
        <f t="shared" si="0"/>
        <v>385.41552179802761</v>
      </c>
      <c r="S14" s="59">
        <f ca="1">AVERAGE(OFFSET($R$3,0,0,'Données projet'!$E$9+1,1))-AVERAGE(OFFSET($H$3,0,0,'Données projet'!$E$9+1,1))</f>
        <v>457.88065872594228</v>
      </c>
      <c r="T14" s="59">
        <f t="shared" si="34"/>
        <v>204.62439362068329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381.00565070243164</v>
      </c>
      <c r="AN14" s="59">
        <f ca="1">AVERAGE(OFFSET($AM$3,0,0,'Données projet'!$E$10+1,1))-AVERAGE(OFFSET($H$3,0,0,'Données projet'!$E$10+1,1))</f>
        <v>430.16825592717629</v>
      </c>
      <c r="AO14" s="59">
        <f t="shared" si="36"/>
        <v>192.87542067077248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3.8113157894736847</v>
      </c>
      <c r="BD14" s="12">
        <f>IF('Données projet'!$A$88&gt;35,BD13+BC14-BL13,IF(A14&lt;'Données projet'!$A$88,$BA$205^A14,IF(A14='Données projet'!$A$88,'Données projet'!$B$88,BD13+BC14-BL13)))</f>
        <v>41.924473684210525</v>
      </c>
      <c r="BE14" s="13">
        <f>BD14*VLOOKUP('Données projet'!$B$11,Paramètres!$A$1:$I$89,3,0)*VLOOKUP('Données projet'!$B$11,Paramètres!$A$1:$I$89,5,0)</f>
        <v>35.317176631578953</v>
      </c>
      <c r="BF14" s="13">
        <f t="shared" si="37"/>
        <v>10.748614186761438</v>
      </c>
      <c r="BG14" s="20">
        <f t="shared" si="7"/>
        <v>80.231252341942835</v>
      </c>
      <c r="BH14" s="59">
        <f t="shared" si="8"/>
        <v>373.56458567527613</v>
      </c>
      <c r="BI14" s="59">
        <f ca="1">AVERAGE(OFFSET($BH$3,0,0,'Données projet'!$E$11+1,1))-AVERAGE(OFFSET($H$3,0,0,'Données projet'!$E$11+1,1))</f>
        <v>243.94505553629301</v>
      </c>
      <c r="BJ14" s="59">
        <f t="shared" si="38"/>
        <v>173.05364940250229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5.6</v>
      </c>
      <c r="BY14" s="12">
        <f>IF('Données projet'!$A$114&gt;35,BY13+BX14-CG13,IF(A14&lt;'Données projet'!$A$114,$BV$205^A14,IF(A14='Données projet'!$A$114,'Données projet'!$B$114,BY13+BX14-CG13)))</f>
        <v>13.6</v>
      </c>
      <c r="BZ14" s="13">
        <f>BY14*VLOOKUP('Données projet'!$B$12,Paramètres!$A$1:$I$89,3,0)*VLOOKUP('Données projet'!$B$12,Paramètres!$A$1:$I$89,5,0)</f>
        <v>8.9107199999999995</v>
      </c>
      <c r="CA14" s="13">
        <f t="shared" si="39"/>
        <v>3.1834278577240251</v>
      </c>
      <c r="CB14" s="20">
        <f t="shared" si="10"/>
        <v>21.063974185536008</v>
      </c>
      <c r="CC14" s="59">
        <f t="shared" si="11"/>
        <v>314.3973075188693</v>
      </c>
      <c r="CD14" s="59">
        <f ca="1">AVERAGE(OFFSET($CC$3,0,0,'Données projet'!$E$12+1,1))-AVERAGE(OFFSET($H$3,0,0,'Données projet'!$E$12+1,1))</f>
        <v>140.9558843244115</v>
      </c>
      <c r="CE14" s="59">
        <f t="shared" si="40"/>
        <v>158.88947216184619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3.887142857142857</v>
      </c>
      <c r="CT14" s="12">
        <f>IF('Données projet'!$A$140&gt;35,CT13+CS14-DB13,IF(A14&lt;'Données projet'!$A$140,$CQ$205^A14,IF(A14='Données projet'!$A$140,'Données projet'!$B$140,CT13+CS14-DB13)))</f>
        <v>42.758571428571415</v>
      </c>
      <c r="CU14" s="17">
        <f>CT14*VLOOKUP('Données projet'!$B$13,Paramètres!$A$1:$I$89,3,0)*VLOOKUP('Données projet'!$B$13,Paramètres!$A$1:$I$89,5,0)</f>
        <v>41.356090285714274</v>
      </c>
      <c r="CV14" s="13">
        <f t="shared" si="41"/>
        <v>12.357378377386118</v>
      </c>
      <c r="CW14" s="20">
        <f t="shared" si="13"/>
        <v>93.550957921566507</v>
      </c>
      <c r="CX14" s="59">
        <f t="shared" si="14"/>
        <v>386.88429125489984</v>
      </c>
      <c r="CY14" s="59">
        <f ca="1">AVERAGE(OFFSET($CX$3,0,0,'Données projet'!$E$13+1,1))-AVERAGE(OFFSET($H$3,0,0,'Données projet'!$E$13+1,1))</f>
        <v>467.11196088914556</v>
      </c>
      <c r="CZ14" s="59">
        <f t="shared" si="42"/>
        <v>208.53783609106262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3.887142857142857</v>
      </c>
      <c r="DO14" s="12">
        <f>IF('Données projet'!$A$166&gt;35,DO13+DN14-DW13,IF(A14&lt;'Données projet'!$A$166,$DL$205^A14,IF(A14='Données projet'!$A$166,'Données projet'!$B$166,DO13+DN14-DW13)))</f>
        <v>42.758571428571415</v>
      </c>
      <c r="DP14" s="17">
        <f>DO14*VLOOKUP('Données projet'!$B$14,Paramètres!$A$1:$I$89,3,0)*VLOOKUP('Données projet'!$B$14,Paramètres!$A$1:$I$89,5,0)</f>
        <v>46.025326285714272</v>
      </c>
      <c r="DQ14" s="13">
        <f t="shared" si="43"/>
        <v>13.582387123582203</v>
      </c>
      <c r="DR14" s="20">
        <f t="shared" si="16"/>
        <v>103.81676752119135</v>
      </c>
      <c r="DS14" s="59">
        <f t="shared" si="17"/>
        <v>397.15010085452468</v>
      </c>
      <c r="DT14" s="59">
        <f ca="1">AVERAGE(OFFSET($DS$3,0,0,'Données projet'!$E$14+1,1))-AVERAGE(OFFSET($H$3,0,0,'Données projet'!$E$14+1,1))</f>
        <v>531.65020827367698</v>
      </c>
      <c r="DU14" s="59">
        <f t="shared" si="44"/>
        <v>235.89413420278396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6.9264000000000019</v>
      </c>
      <c r="D15" s="11">
        <f t="shared" si="32"/>
        <v>2.5481474340493024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73.136857385643751</v>
      </c>
      <c r="H15" s="67">
        <f t="shared" si="1"/>
        <v>309.83483678096917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44.388061714285698</v>
      </c>
      <c r="P15" s="13">
        <f t="shared" si="33"/>
        <v>13.154564130977278</v>
      </c>
      <c r="Q15" s="20">
        <f t="shared" si="2"/>
        <v>100.22007334716635</v>
      </c>
      <c r="R15" s="59">
        <f t="shared" si="0"/>
        <v>393.55340668049968</v>
      </c>
      <c r="S15" s="59">
        <f ca="1">AVERAGE(OFFSET($R$3,0,0,'Données projet'!$E$9+1,1))-AVERAGE(OFFSET($H$3,0,0,'Données projet'!$E$9+1,1))</f>
        <v>457.88065872594228</v>
      </c>
      <c r="T15" s="59">
        <f t="shared" si="34"/>
        <v>204.62439362068329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388.7528026512307</v>
      </c>
      <c r="AN15" s="59">
        <f ca="1">AVERAGE(OFFSET($AM$3,0,0,'Données projet'!$E$10+1,1))-AVERAGE(OFFSET($H$3,0,0,'Données projet'!$E$10+1,1))</f>
        <v>430.16825592717629</v>
      </c>
      <c r="AO15" s="59">
        <f t="shared" si="36"/>
        <v>192.87542067077248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3.8113157894736847</v>
      </c>
      <c r="BD15" s="12">
        <f>IF('Données projet'!$A$88&gt;35,BD14+BC15-BL14,IF(A15&lt;'Données projet'!$A$88,$BA$205^A15,IF(A15='Données projet'!$A$88,'Données projet'!$B$88,BD14+BC15-BL14)))</f>
        <v>45.735789473684207</v>
      </c>
      <c r="BE15" s="13">
        <f>BD15*VLOOKUP('Données projet'!$B$11,Paramètres!$A$1:$I$89,3,0)*VLOOKUP('Données projet'!$B$11,Paramètres!$A$1:$I$89,5,0)</f>
        <v>38.527829052631581</v>
      </c>
      <c r="BF15" s="13">
        <f t="shared" si="37"/>
        <v>11.607600349597307</v>
      </c>
      <c r="BG15" s="20">
        <f t="shared" si="7"/>
        <v>87.319206208881965</v>
      </c>
      <c r="BH15" s="59">
        <f t="shared" si="8"/>
        <v>380.65253954221527</v>
      </c>
      <c r="BI15" s="59">
        <f ca="1">AVERAGE(OFFSET($BH$3,0,0,'Données projet'!$E$11+1,1))-AVERAGE(OFFSET($H$3,0,0,'Données projet'!$E$11+1,1))</f>
        <v>243.94505553629301</v>
      </c>
      <c r="BJ15" s="59">
        <f t="shared" si="38"/>
        <v>173.05364940250229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5.6</v>
      </c>
      <c r="BY15" s="12">
        <f>IF('Données projet'!$A$114&gt;35,BY14+BX15-CG14,IF(A15&lt;'Données projet'!$A$114,$BV$205^A15,IF(A15='Données projet'!$A$114,'Données projet'!$B$114,BY14+BX15-CG14)))</f>
        <v>19.2</v>
      </c>
      <c r="BZ15" s="13">
        <f>BY15*VLOOKUP('Données projet'!$B$12,Paramètres!$A$1:$I$89,3,0)*VLOOKUP('Données projet'!$B$12,Paramètres!$A$1:$I$89,5,0)</f>
        <v>12.579840000000001</v>
      </c>
      <c r="CA15" s="13">
        <f t="shared" si="39"/>
        <v>4.3174269552455735</v>
      </c>
      <c r="CB15" s="20">
        <f t="shared" si="10"/>
        <v>29.429406613719376</v>
      </c>
      <c r="CC15" s="59">
        <f t="shared" si="11"/>
        <v>322.76273994705269</v>
      </c>
      <c r="CD15" s="59">
        <f ca="1">AVERAGE(OFFSET($CC$3,0,0,'Données projet'!$E$12+1,1))-AVERAGE(OFFSET($H$3,0,0,'Données projet'!$E$12+1,1))</f>
        <v>140.9558843244115</v>
      </c>
      <c r="CE15" s="59">
        <f t="shared" si="40"/>
        <v>158.88947216184619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3.887142857142857</v>
      </c>
      <c r="CT15" s="12">
        <f>IF('Données projet'!$A$140&gt;35,CT14+CS15-DB14,IF(A15&lt;'Données projet'!$A$140,$CQ$205^A15,IF(A15='Données projet'!$A$140,'Données projet'!$B$140,CT14+CS15-DB14)))</f>
        <v>46.64571428571427</v>
      </c>
      <c r="CU15" s="17">
        <f>CT15*VLOOKUP('Données projet'!$B$13,Paramètres!$A$1:$I$89,3,0)*VLOOKUP('Données projet'!$B$13,Paramètres!$A$1:$I$89,5,0)</f>
        <v>45.115734857142847</v>
      </c>
      <c r="CV15" s="13">
        <f t="shared" si="41"/>
        <v>13.344930526032003</v>
      </c>
      <c r="CW15" s="20">
        <f t="shared" si="13"/>
        <v>101.81899220902953</v>
      </c>
      <c r="CX15" s="59">
        <f t="shared" si="14"/>
        <v>395.15232554236286</v>
      </c>
      <c r="CY15" s="59">
        <f ca="1">AVERAGE(OFFSET($CX$3,0,0,'Données projet'!$E$13+1,1))-AVERAGE(OFFSET($H$3,0,0,'Données projet'!$E$13+1,1))</f>
        <v>467.11196088914556</v>
      </c>
      <c r="CZ15" s="59">
        <f t="shared" si="42"/>
        <v>208.53783609106262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3.887142857142857</v>
      </c>
      <c r="DO15" s="12">
        <f>IF('Données projet'!$A$166&gt;35,DO14+DN15-DW14,IF(A15&lt;'Données projet'!$A$166,$DL$205^A15,IF(A15='Données projet'!$A$166,'Données projet'!$B$166,DO14+DN15-DW14)))</f>
        <v>46.64571428571427</v>
      </c>
      <c r="DP15" s="17">
        <f>DO15*VLOOKUP('Données projet'!$B$14,Paramètres!$A$1:$I$89,3,0)*VLOOKUP('Données projet'!$B$14,Paramètres!$A$1:$I$89,5,0)</f>
        <v>50.209446857142837</v>
      </c>
      <c r="DQ15" s="13">
        <f t="shared" si="43"/>
        <v>14.667837061101311</v>
      </c>
      <c r="DR15" s="20">
        <f t="shared" si="16"/>
        <v>112.99460282427522</v>
      </c>
      <c r="DS15" s="59">
        <f t="shared" si="17"/>
        <v>406.32793615760852</v>
      </c>
      <c r="DT15" s="59">
        <f ca="1">AVERAGE(OFFSET($DS$3,0,0,'Données projet'!$E$14+1,1))-AVERAGE(OFFSET($H$3,0,0,'Données projet'!$E$14+1,1))</f>
        <v>531.65020827367698</v>
      </c>
      <c r="DU15" s="59">
        <f t="shared" si="44"/>
        <v>235.89413420278396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7.5036000000000023</v>
      </c>
      <c r="D16" s="11">
        <f t="shared" si="32"/>
        <v>2.7348930617282741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79.033981529130543</v>
      </c>
      <c r="H16" s="67">
        <f t="shared" si="1"/>
        <v>311.16537541584341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48.087066857142844</v>
      </c>
      <c r="P16" s="13">
        <f t="shared" si="33"/>
        <v>14.118620332222624</v>
      </c>
      <c r="Q16" s="20">
        <f t="shared" si="2"/>
        <v>108.34157185481153</v>
      </c>
      <c r="R16" s="59">
        <f t="shared" si="0"/>
        <v>401.67490518814486</v>
      </c>
      <c r="S16" s="59">
        <f ca="1">AVERAGE(OFFSET($R$3,0,0,'Données projet'!$E$9+1,1))-AVERAGE(OFFSET($H$3,0,0,'Données projet'!$E$9+1,1))</f>
        <v>457.88065872594228</v>
      </c>
      <c r="T16" s="59">
        <f t="shared" si="34"/>
        <v>204.62439362068329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396.48428238370172</v>
      </c>
      <c r="AN16" s="59">
        <f ca="1">AVERAGE(OFFSET($AM$3,0,0,'Données projet'!$E$10+1,1))-AVERAGE(OFFSET($H$3,0,0,'Données projet'!$E$10+1,1))</f>
        <v>430.16825592717629</v>
      </c>
      <c r="AO16" s="59">
        <f t="shared" si="36"/>
        <v>192.87542067077248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3.8113157894736847</v>
      </c>
      <c r="BD16" s="12">
        <f>IF('Données projet'!$A$88&gt;35,BD15+BC16-BL15,IF(A16&lt;'Données projet'!$A$88,$BA$205^A16,IF(A16='Données projet'!$A$88,'Données projet'!$B$88,BD15+BC16-BL15)))</f>
        <v>49.547105263157889</v>
      </c>
      <c r="BE16" s="13">
        <f>BD16*VLOOKUP('Données projet'!$B$11,Paramètres!$A$1:$I$89,3,0)*VLOOKUP('Données projet'!$B$11,Paramètres!$A$1:$I$89,5,0)</f>
        <v>41.73848147368421</v>
      </c>
      <c r="BF16" s="13">
        <f t="shared" si="37"/>
        <v>12.458284491404413</v>
      </c>
      <c r="BG16" s="20">
        <f t="shared" si="7"/>
        <v>94.392700722529355</v>
      </c>
      <c r="BH16" s="59">
        <f t="shared" si="8"/>
        <v>387.72603405586267</v>
      </c>
      <c r="BI16" s="59">
        <f ca="1">AVERAGE(OFFSET($BH$3,0,0,'Données projet'!$E$11+1,1))-AVERAGE(OFFSET($H$3,0,0,'Données projet'!$E$11+1,1))</f>
        <v>243.94505553629301</v>
      </c>
      <c r="BJ16" s="59">
        <f t="shared" si="38"/>
        <v>173.05364940250229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5.6</v>
      </c>
      <c r="BY16" s="12">
        <f>IF('Données projet'!$A$114&gt;35,BY15+BX16-CG15,IF(A16&lt;'Données projet'!$A$114,$BV$205^A16,IF(A16='Données projet'!$A$114,'Données projet'!$B$114,BY15+BX16-CG15)))</f>
        <v>24.799999999999997</v>
      </c>
      <c r="BZ16" s="13">
        <f>BY16*VLOOKUP('Données projet'!$B$12,Paramètres!$A$1:$I$89,3,0)*VLOOKUP('Données projet'!$B$12,Paramètres!$A$1:$I$89,5,0)</f>
        <v>16.248959999999997</v>
      </c>
      <c r="CA16" s="13">
        <f t="shared" si="39"/>
        <v>5.4129939058841172</v>
      </c>
      <c r="CB16" s="20">
        <f t="shared" si="10"/>
        <v>37.727903052748168</v>
      </c>
      <c r="CC16" s="59">
        <f t="shared" si="11"/>
        <v>331.06123638608148</v>
      </c>
      <c r="CD16" s="59">
        <f ca="1">AVERAGE(OFFSET($CC$3,0,0,'Données projet'!$E$12+1,1))-AVERAGE(OFFSET($H$3,0,0,'Données projet'!$E$12+1,1))</f>
        <v>140.9558843244115</v>
      </c>
      <c r="CE16" s="59">
        <f t="shared" si="40"/>
        <v>158.88947216184619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3.887142857142857</v>
      </c>
      <c r="CT16" s="12">
        <f>IF('Données projet'!$A$140&gt;35,CT15+CS16-DB15,IF(A16&lt;'Données projet'!$A$140,$CQ$205^A16,IF(A16='Données projet'!$A$140,'Données projet'!$B$140,CT15+CS16-DB15)))</f>
        <v>50.532857142857125</v>
      </c>
      <c r="CU16" s="17">
        <f>CT16*VLOOKUP('Données projet'!$B$13,Paramètres!$A$1:$I$89,3,0)*VLOOKUP('Données projet'!$B$13,Paramètres!$A$1:$I$89,5,0)</f>
        <v>48.875379428571414</v>
      </c>
      <c r="CV16" s="13">
        <f t="shared" si="41"/>
        <v>14.322938075405181</v>
      </c>
      <c r="CW16" s="20">
        <f t="shared" si="13"/>
        <v>110.07040298609256</v>
      </c>
      <c r="CX16" s="59">
        <f t="shared" si="14"/>
        <v>403.40373631942589</v>
      </c>
      <c r="CY16" s="59">
        <f ca="1">AVERAGE(OFFSET($CX$3,0,0,'Données projet'!$E$13+1,1))-AVERAGE(OFFSET($H$3,0,0,'Données projet'!$E$13+1,1))</f>
        <v>467.11196088914556</v>
      </c>
      <c r="CZ16" s="59">
        <f t="shared" si="42"/>
        <v>208.53783609106262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3.887142857142857</v>
      </c>
      <c r="DO16" s="12">
        <f>IF('Données projet'!$A$166&gt;35,DO15+DN16-DW15,IF(A16&lt;'Données projet'!$A$166,$DL$205^A16,IF(A16='Données projet'!$A$166,'Données projet'!$B$166,DO15+DN16-DW15)))</f>
        <v>50.532857142857125</v>
      </c>
      <c r="DP16" s="17">
        <f>DO16*VLOOKUP('Données projet'!$B$14,Paramètres!$A$1:$I$89,3,0)*VLOOKUP('Données projet'!$B$14,Paramètres!$A$1:$I$89,5,0)</f>
        <v>54.393567428571409</v>
      </c>
      <c r="DQ16" s="13">
        <f t="shared" si="43"/>
        <v>15.742796226362564</v>
      </c>
      <c r="DR16" s="20">
        <f t="shared" si="16"/>
        <v>122.15416669900999</v>
      </c>
      <c r="DS16" s="59">
        <f t="shared" si="17"/>
        <v>415.48750003234329</v>
      </c>
      <c r="DT16" s="59">
        <f ca="1">AVERAGE(OFFSET($DS$3,0,0,'Données projet'!$E$14+1,1))-AVERAGE(OFFSET($H$3,0,0,'Données projet'!$E$14+1,1))</f>
        <v>531.65020827367698</v>
      </c>
      <c r="DU16" s="59">
        <f t="shared" si="44"/>
        <v>235.89413420278396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8.0808000000000018</v>
      </c>
      <c r="D17" s="11">
        <f t="shared" si="32"/>
        <v>2.9199723276059735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84.918242528888229</v>
      </c>
      <c r="H17" s="67">
        <f t="shared" si="1"/>
        <v>312.4930118039137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51.78607199999999</v>
      </c>
      <c r="P17" s="13">
        <f t="shared" si="33"/>
        <v>15.07407410219286</v>
      </c>
      <c r="Q17" s="20">
        <f t="shared" si="2"/>
        <v>116.44808779465257</v>
      </c>
      <c r="R17" s="59">
        <f t="shared" si="0"/>
        <v>409.78142112798588</v>
      </c>
      <c r="S17" s="59">
        <f ca="1">AVERAGE(OFFSET($R$3,0,0,'Données projet'!$E$9+1,1))-AVERAGE(OFFSET($H$3,0,0,'Données projet'!$E$9+1,1))</f>
        <v>457.88065872594228</v>
      </c>
      <c r="T17" s="59">
        <f t="shared" si="34"/>
        <v>204.62439362068329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404.20143252550633</v>
      </c>
      <c r="AN17" s="59">
        <f ca="1">AVERAGE(OFFSET($AM$3,0,0,'Données projet'!$E$10+1,1))-AVERAGE(OFFSET($H$3,0,0,'Données projet'!$E$10+1,1))</f>
        <v>430.16825592717629</v>
      </c>
      <c r="AO17" s="59">
        <f t="shared" si="36"/>
        <v>192.87542067077248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3.8113157894736847</v>
      </c>
      <c r="BD17" s="12">
        <f>IF('Données projet'!$A$88&gt;35,BD16+BC17-BL16,IF(A17&lt;'Données projet'!$A$88,$BA$205^A17,IF(A17='Données projet'!$A$88,'Données projet'!$B$88,BD16+BC17-BL16)))</f>
        <v>53.35842105263157</v>
      </c>
      <c r="BE17" s="13">
        <f>BD17*VLOOKUP('Données projet'!$B$11,Paramètres!$A$1:$I$89,3,0)*VLOOKUP('Données projet'!$B$11,Paramètres!$A$1:$I$89,5,0)</f>
        <v>44.949133894736839</v>
      </c>
      <c r="BF17" s="13">
        <f t="shared" si="37"/>
        <v>13.301377839378887</v>
      </c>
      <c r="BG17" s="20">
        <f t="shared" si="7"/>
        <v>101.45297460358488</v>
      </c>
      <c r="BH17" s="59">
        <f t="shared" si="8"/>
        <v>394.78630793691821</v>
      </c>
      <c r="BI17" s="59">
        <f ca="1">AVERAGE(OFFSET($BH$3,0,0,'Données projet'!$E$11+1,1))-AVERAGE(OFFSET($H$3,0,0,'Données projet'!$E$11+1,1))</f>
        <v>243.94505553629301</v>
      </c>
      <c r="BJ17" s="59">
        <f t="shared" si="38"/>
        <v>173.05364940250229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5.6</v>
      </c>
      <c r="BY17" s="12">
        <f>IF('Données projet'!$A$114&gt;35,BY16+BX17-CG16,IF(A17&lt;'Données projet'!$A$114,$BV$205^A17,IF(A17='Données projet'!$A$114,'Données projet'!$B$114,BY16+BX17-CG16)))</f>
        <v>30.4</v>
      </c>
      <c r="BZ17" s="13">
        <f>BY17*VLOOKUP('Données projet'!$B$12,Paramètres!$A$1:$I$89,3,0)*VLOOKUP('Données projet'!$B$12,Paramètres!$A$1:$I$89,5,0)</f>
        <v>19.91808</v>
      </c>
      <c r="CA17" s="13">
        <f t="shared" si="39"/>
        <v>6.4798825087607046</v>
      </c>
      <c r="CB17" s="20">
        <f t="shared" si="10"/>
        <v>45.976451369424893</v>
      </c>
      <c r="CC17" s="59">
        <f t="shared" si="11"/>
        <v>339.30978470275818</v>
      </c>
      <c r="CD17" s="59">
        <f ca="1">AVERAGE(OFFSET($CC$3,0,0,'Données projet'!$E$12+1,1))-AVERAGE(OFFSET($H$3,0,0,'Données projet'!$E$12+1,1))</f>
        <v>140.9558843244115</v>
      </c>
      <c r="CE17" s="59">
        <f t="shared" si="40"/>
        <v>158.88947216184619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3.887142857142857</v>
      </c>
      <c r="CT17" s="12">
        <f>IF('Données projet'!$A$140&gt;35,CT16+CS17-DB16,IF(A17&lt;'Données projet'!$A$140,$CQ$205^A17,IF(A17='Données projet'!$A$140,'Données projet'!$B$140,CT16+CS17-DB16)))</f>
        <v>54.41999999999998</v>
      </c>
      <c r="CU17" s="17">
        <f>CT17*VLOOKUP('Données projet'!$B$13,Paramètres!$A$1:$I$89,3,0)*VLOOKUP('Données projet'!$B$13,Paramètres!$A$1:$I$89,5,0)</f>
        <v>52.63502399999998</v>
      </c>
      <c r="CV17" s="13">
        <f t="shared" si="41"/>
        <v>15.292218703340431</v>
      </c>
      <c r="CW17" s="20">
        <f t="shared" si="13"/>
        <v>118.30661437498453</v>
      </c>
      <c r="CX17" s="59">
        <f t="shared" si="14"/>
        <v>411.63994770831783</v>
      </c>
      <c r="CY17" s="59">
        <f ca="1">AVERAGE(OFFSET($CX$3,0,0,'Données projet'!$E$13+1,1))-AVERAGE(OFFSET($H$3,0,0,'Données projet'!$E$13+1,1))</f>
        <v>467.11196088914556</v>
      </c>
      <c r="CZ17" s="59">
        <f t="shared" si="42"/>
        <v>208.53783609106262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3.887142857142857</v>
      </c>
      <c r="DO17" s="12">
        <f>IF('Données projet'!$A$166&gt;35,DO16+DN17-DW16,IF(A17&lt;'Données projet'!$A$166,$DL$205^A17,IF(A17='Données projet'!$A$166,'Données projet'!$B$166,DO16+DN17-DW16)))</f>
        <v>54.41999999999998</v>
      </c>
      <c r="DP17" s="17">
        <f>DO17*VLOOKUP('Données projet'!$B$14,Paramètres!$A$1:$I$89,3,0)*VLOOKUP('Données projet'!$B$14,Paramètres!$A$1:$I$89,5,0)</f>
        <v>58.577687999999974</v>
      </c>
      <c r="DQ17" s="13">
        <f t="shared" si="43"/>
        <v>16.808163355048819</v>
      </c>
      <c r="DR17" s="20">
        <f t="shared" si="16"/>
        <v>131.29702444337667</v>
      </c>
      <c r="DS17" s="59">
        <f t="shared" si="17"/>
        <v>424.63035777670996</v>
      </c>
      <c r="DT17" s="59">
        <f ca="1">AVERAGE(OFFSET($DS$3,0,0,'Données projet'!$E$14+1,1))-AVERAGE(OFFSET($H$3,0,0,'Données projet'!$E$14+1,1))</f>
        <v>531.65020827367698</v>
      </c>
      <c r="DU17" s="59">
        <f t="shared" si="44"/>
        <v>235.89413420278396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8.6580000000000013</v>
      </c>
      <c r="D18" s="11">
        <f t="shared" si="32"/>
        <v>3.1035177947823605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90.790663679021748</v>
      </c>
      <c r="H18" s="67">
        <f t="shared" si="1"/>
        <v>313.81797682591258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55.485077142857122</v>
      </c>
      <c r="P18" s="13">
        <f t="shared" si="33"/>
        <v>16.021609785041925</v>
      </c>
      <c r="Q18" s="20">
        <f t="shared" si="2"/>
        <v>124.54081306609082</v>
      </c>
      <c r="R18" s="59">
        <f t="shared" si="0"/>
        <v>417.87414639942415</v>
      </c>
      <c r="S18" s="59">
        <f ca="1">AVERAGE(OFFSET($R$3,0,0,'Données projet'!$E$9+1,1))-AVERAGE(OFFSET($H$3,0,0,'Données projet'!$E$9+1,1))</f>
        <v>457.88065872594228</v>
      </c>
      <c r="T18" s="59">
        <f t="shared" si="34"/>
        <v>204.62439362068329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411.90539303013992</v>
      </c>
      <c r="AN18" s="59">
        <f ca="1">AVERAGE(OFFSET($AM$3,0,0,'Données projet'!$E$10+1,1))-AVERAGE(OFFSET($H$3,0,0,'Données projet'!$E$10+1,1))</f>
        <v>430.16825592717629</v>
      </c>
      <c r="AO18" s="59">
        <f t="shared" si="36"/>
        <v>192.87542067077248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3.8113157894736847</v>
      </c>
      <c r="BD18" s="12">
        <f>IF('Données projet'!$A$88&gt;35,BD17+BC18-BL17,IF(A18&lt;'Données projet'!$A$88,$BA$205^A18,IF(A18='Données projet'!$A$88,'Données projet'!$B$88,BD17+BC18-BL17)))</f>
        <v>57.169736842105252</v>
      </c>
      <c r="BE18" s="13">
        <f>BD18*VLOOKUP('Données projet'!$B$11,Paramètres!$A$1:$I$89,3,0)*VLOOKUP('Données projet'!$B$11,Paramètres!$A$1:$I$89,5,0)</f>
        <v>48.159786315789468</v>
      </c>
      <c r="BF18" s="13">
        <f t="shared" si="37"/>
        <v>14.1374842594764</v>
      </c>
      <c r="BG18" s="20">
        <f t="shared" si="7"/>
        <v>108.50107958525473</v>
      </c>
      <c r="BH18" s="59">
        <f t="shared" si="8"/>
        <v>401.83441291858804</v>
      </c>
      <c r="BI18" s="59">
        <f ca="1">AVERAGE(OFFSET($BH$3,0,0,'Données projet'!$E$11+1,1))-AVERAGE(OFFSET($H$3,0,0,'Données projet'!$E$11+1,1))</f>
        <v>243.94505553629301</v>
      </c>
      <c r="BJ18" s="59">
        <f t="shared" si="38"/>
        <v>173.05364940250229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36</v>
      </c>
      <c r="BW18" s="12">
        <f>VLOOKUP(A18,'Données projet'!$A$113:$I$133,9,0)</f>
        <v>5.6</v>
      </c>
      <c r="BX18" s="12">
        <f t="array" ref="BX18">INDEX(BW:BW,MIN(IF(ISNUMBER(BW18:BW214),ROW(BW18:BW214),"")))</f>
        <v>5.6</v>
      </c>
      <c r="BY18" s="12">
        <f>IF('Données projet'!$A$114&gt;35,BY17+BX18-CG17,IF(A18&lt;'Données projet'!$A$114,$BV$205^A18,IF(A18='Données projet'!$A$114,'Données projet'!$B$114,BY17+BX18-CG17)))</f>
        <v>36</v>
      </c>
      <c r="BZ18" s="13">
        <f>BY18*VLOOKUP('Données projet'!$B$12,Paramètres!$A$1:$I$89,3,0)*VLOOKUP('Données projet'!$B$12,Paramètres!$A$1:$I$89,5,0)</f>
        <v>23.587199999999999</v>
      </c>
      <c r="CA18" s="13">
        <f t="shared" si="39"/>
        <v>7.5240023521815003</v>
      </c>
      <c r="CB18" s="20">
        <f t="shared" si="10"/>
        <v>54.185344096716108</v>
      </c>
      <c r="CC18" s="59">
        <f t="shared" si="11"/>
        <v>347.51867743004942</v>
      </c>
      <c r="CD18" s="59">
        <f ca="1">AVERAGE(OFFSET($CC$3,0,0,'Données projet'!$E$12+1,1))-AVERAGE(OFFSET($H$3,0,0,'Données projet'!$E$12+1,1))</f>
        <v>140.9558843244115</v>
      </c>
      <c r="CE18" s="59">
        <f t="shared" si="40"/>
        <v>158.88947216184619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3.887142857142857</v>
      </c>
      <c r="CT18" s="12">
        <f>IF('Données projet'!$A$140&gt;35,CT17+CS18-DB17,IF(A18&lt;'Données projet'!$A$140,$CQ$205^A18,IF(A18='Données projet'!$A$140,'Données projet'!$B$140,CT17+CS18-DB17)))</f>
        <v>58.307142857142836</v>
      </c>
      <c r="CU18" s="17">
        <f>CT18*VLOOKUP('Données projet'!$B$13,Paramètres!$A$1:$I$89,3,0)*VLOOKUP('Données projet'!$B$13,Paramètres!$A$1:$I$89,5,0)</f>
        <v>56.394668571428546</v>
      </c>
      <c r="CV18" s="13">
        <f t="shared" si="41"/>
        <v>16.253466657484363</v>
      </c>
      <c r="CW18" s="20">
        <f t="shared" si="13"/>
        <v>126.52883552368996</v>
      </c>
      <c r="CX18" s="59">
        <f t="shared" si="14"/>
        <v>419.86216885702328</v>
      </c>
      <c r="CY18" s="59">
        <f ca="1">AVERAGE(OFFSET($CX$3,0,0,'Données projet'!$E$13+1,1))-AVERAGE(OFFSET($H$3,0,0,'Données projet'!$E$13+1,1))</f>
        <v>467.11196088914556</v>
      </c>
      <c r="CZ18" s="59">
        <f t="shared" si="42"/>
        <v>208.53783609106262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3.887142857142857</v>
      </c>
      <c r="DO18" s="12">
        <f>IF('Données projet'!$A$166&gt;35,DO17+DN18-DW17,IF(A18&lt;'Données projet'!$A$166,$DL$205^A18,IF(A18='Données projet'!$A$166,'Données projet'!$B$166,DO17+DN18-DW17)))</f>
        <v>58.307142857142836</v>
      </c>
      <c r="DP18" s="17">
        <f>DO18*VLOOKUP('Données projet'!$B$14,Paramètres!$A$1:$I$89,3,0)*VLOOKUP('Données projet'!$B$14,Paramètres!$A$1:$I$89,5,0)</f>
        <v>62.761808571428546</v>
      </c>
      <c r="DQ18" s="13">
        <f t="shared" si="43"/>
        <v>17.864701516802167</v>
      </c>
      <c r="DR18" s="20">
        <f t="shared" si="16"/>
        <v>140.42450507033516</v>
      </c>
      <c r="DS18" s="59">
        <f t="shared" si="17"/>
        <v>433.75783840366847</v>
      </c>
      <c r="DT18" s="59">
        <f ca="1">AVERAGE(OFFSET($DS$3,0,0,'Données projet'!$E$14+1,1))-AVERAGE(OFFSET($H$3,0,0,'Données projet'!$E$14+1,1))</f>
        <v>531.65020827367698</v>
      </c>
      <c r="DU18" s="59">
        <f t="shared" si="44"/>
        <v>235.89413420278396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19" s="11">
        <f t="shared" si="32"/>
        <v>3.285643351316526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96.652124115425821</v>
      </c>
      <c r="H19" s="67">
        <f t="shared" si="1"/>
        <v>315.14046883687627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59.184082285714261</v>
      </c>
      <c r="P19" s="13">
        <f t="shared" si="33"/>
        <v>16.961815316835434</v>
      </c>
      <c r="Q19" s="20">
        <f t="shared" si="2"/>
        <v>132.62077165777404</v>
      </c>
      <c r="R19" s="59">
        <f t="shared" si="0"/>
        <v>425.95410499110733</v>
      </c>
      <c r="S19" s="59">
        <f ca="1">AVERAGE(OFFSET($R$3,0,0,'Données projet'!$E$9+1,1))-AVERAGE(OFFSET($H$3,0,0,'Données projet'!$E$9+1,1))</f>
        <v>457.88065872594228</v>
      </c>
      <c r="T19" s="59">
        <f t="shared" si="34"/>
        <v>204.62439362068329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419.59714325830748</v>
      </c>
      <c r="AN19" s="59">
        <f ca="1">AVERAGE(OFFSET($AM$3,0,0,'Données projet'!$E$10+1,1))-AVERAGE(OFFSET($H$3,0,0,'Données projet'!$E$10+1,1))</f>
        <v>430.16825592717629</v>
      </c>
      <c r="AO19" s="59">
        <f t="shared" si="36"/>
        <v>192.87542067077248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3.8113157894736847</v>
      </c>
      <c r="BD19" s="12">
        <f>IF('Données projet'!$A$88&gt;35,BD18+BC19-BL18,IF(A19&lt;'Données projet'!$A$88,$BA$205^A19,IF(A19='Données projet'!$A$88,'Données projet'!$B$88,BD18+BC19-BL18)))</f>
        <v>60.981052631578933</v>
      </c>
      <c r="BE19" s="13">
        <f>BD19*VLOOKUP('Données projet'!$B$11,Paramètres!$A$1:$I$89,3,0)*VLOOKUP('Données projet'!$B$11,Paramètres!$A$1:$I$89,5,0)</f>
        <v>51.370438736842104</v>
      </c>
      <c r="BF19" s="13">
        <f t="shared" si="37"/>
        <v>14.967122547060546</v>
      </c>
      <c r="BG19" s="20">
        <f t="shared" si="7"/>
        <v>115.53791923613043</v>
      </c>
      <c r="BH19" s="59">
        <f t="shared" si="8"/>
        <v>408.87125256946376</v>
      </c>
      <c r="BI19" s="59">
        <f ca="1">AVERAGE(OFFSET($BH$3,0,0,'Données projet'!$E$11+1,1))-AVERAGE(OFFSET($H$3,0,0,'Données projet'!$E$11+1,1))</f>
        <v>243.94505553629301</v>
      </c>
      <c r="BJ19" s="59">
        <f t="shared" si="38"/>
        <v>173.05364940250229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10.199999999999999</v>
      </c>
      <c r="BY19" s="12">
        <f>IF('Données projet'!$A$114&gt;35,BY18+BX19-CG18,IF(A19&lt;'Données projet'!$A$114,$BV$205^A19,IF(A19='Données projet'!$A$114,'Données projet'!$B$114,BY18+BX19-CG18)))</f>
        <v>43.2</v>
      </c>
      <c r="BZ19" s="13">
        <f>BY19*VLOOKUP('Données projet'!$B$12,Paramètres!$A$1:$I$89,3,0)*VLOOKUP('Données projet'!$B$12,Paramètres!$A$1:$I$89,5,0)</f>
        <v>28.304640000000003</v>
      </c>
      <c r="CA19" s="13">
        <f t="shared" si="39"/>
        <v>8.8392104022316804</v>
      </c>
      <c r="CB19" s="20">
        <f t="shared" si="10"/>
        <v>64.692206117220181</v>
      </c>
      <c r="CC19" s="59">
        <f t="shared" si="11"/>
        <v>358.02553945055348</v>
      </c>
      <c r="CD19" s="59">
        <f ca="1">AVERAGE(OFFSET($CC$3,0,0,'Données projet'!$E$12+1,1))-AVERAGE(OFFSET($H$3,0,0,'Données projet'!$E$12+1,1))</f>
        <v>140.9558843244115</v>
      </c>
      <c r="CE19" s="59">
        <f t="shared" si="40"/>
        <v>158.88947216184619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3.887142857142857</v>
      </c>
      <c r="CT19" s="12">
        <f>IF('Données projet'!$A$140&gt;35,CT18+CS19-DB18,IF(A19&lt;'Données projet'!$A$140,$CQ$205^A19,IF(A19='Données projet'!$A$140,'Données projet'!$B$140,CT18+CS19-DB18)))</f>
        <v>62.194285714285691</v>
      </c>
      <c r="CU19" s="17">
        <f>CT19*VLOOKUP('Données projet'!$B$13,Paramètres!$A$1:$I$89,3,0)*VLOOKUP('Données projet'!$B$13,Paramètres!$A$1:$I$89,5,0)</f>
        <v>60.15431314285712</v>
      </c>
      <c r="CV19" s="13">
        <f t="shared" si="41"/>
        <v>17.207278382224739</v>
      </c>
      <c r="CW19" s="20">
        <f t="shared" si="13"/>
        <v>134.73810523951758</v>
      </c>
      <c r="CX19" s="59">
        <f t="shared" si="14"/>
        <v>428.07143857285087</v>
      </c>
      <c r="CY19" s="59">
        <f ca="1">AVERAGE(OFFSET($CX$3,0,0,'Données projet'!$E$13+1,1))-AVERAGE(OFFSET($H$3,0,0,'Données projet'!$E$13+1,1))</f>
        <v>467.11196088914556</v>
      </c>
      <c r="CZ19" s="59">
        <f t="shared" si="42"/>
        <v>208.53783609106262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3.887142857142857</v>
      </c>
      <c r="DO19" s="12">
        <f>IF('Données projet'!$A$166&gt;35,DO18+DN19-DW18,IF(A19&lt;'Données projet'!$A$166,$DL$205^A19,IF(A19='Données projet'!$A$166,'Données projet'!$B$166,DO18+DN19-DW18)))</f>
        <v>62.194285714285691</v>
      </c>
      <c r="DP19" s="17">
        <f>DO19*VLOOKUP('Données projet'!$B$14,Paramètres!$A$1:$I$89,3,0)*VLOOKUP('Données projet'!$B$14,Paramètres!$A$1:$I$89,5,0)</f>
        <v>66.945929142857111</v>
      </c>
      <c r="DQ19" s="13">
        <f t="shared" si="43"/>
        <v>18.913066282596109</v>
      </c>
      <c r="DR19" s="20">
        <f t="shared" si="16"/>
        <v>149.53775036599768</v>
      </c>
      <c r="DS19" s="59">
        <f t="shared" si="17"/>
        <v>442.871083699331</v>
      </c>
      <c r="DT19" s="59">
        <f ca="1">AVERAGE(OFFSET($DS$3,0,0,'Données projet'!$E$14+1,1))-AVERAGE(OFFSET($H$3,0,0,'Données projet'!$E$14+1,1))</f>
        <v>531.65020827367698</v>
      </c>
      <c r="DU19" s="59">
        <f t="shared" si="44"/>
        <v>235.89413420278396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9.8124000000000002</v>
      </c>
      <c r="D20" s="11">
        <f t="shared" si="32"/>
        <v>3.4664478446384415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102.50338687089324</v>
      </c>
      <c r="H20" s="67">
        <f t="shared" si="1"/>
        <v>316.46065999607862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62.883087428571407</v>
      </c>
      <c r="P20" s="13">
        <f t="shared" si="33"/>
        <v>17.895200987849151</v>
      </c>
      <c r="Q20" s="20">
        <f t="shared" si="2"/>
        <v>140.6888523252658</v>
      </c>
      <c r="R20" s="59">
        <f t="shared" si="0"/>
        <v>434.02218565859914</v>
      </c>
      <c r="S20" s="59">
        <f ca="1">AVERAGE(OFFSET($R$3,0,0,'Données projet'!$E$9+1,1))-AVERAGE(OFFSET($H$3,0,0,'Données projet'!$E$9+1,1))</f>
        <v>457.88065872594228</v>
      </c>
      <c r="T20" s="59">
        <f t="shared" si="34"/>
        <v>204.62439362068329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427.27753323142031</v>
      </c>
      <c r="AN20" s="59">
        <f ca="1">AVERAGE(OFFSET($AM$3,0,0,'Données projet'!$E$10+1,1))-AVERAGE(OFFSET($H$3,0,0,'Données projet'!$E$10+1,1))</f>
        <v>430.16825592717629</v>
      </c>
      <c r="AO20" s="59">
        <f t="shared" si="36"/>
        <v>192.87542067077248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3.8113157894736847</v>
      </c>
      <c r="BD20" s="12">
        <f>IF('Données projet'!$A$88&gt;35,BD19+BC20-BL19,IF(A20&lt;'Données projet'!$A$88,$BA$205^A20,IF(A20='Données projet'!$A$88,'Données projet'!$B$88,BD19+BC20-BL19)))</f>
        <v>64.792368421052615</v>
      </c>
      <c r="BE20" s="13">
        <f>BD20*VLOOKUP('Données projet'!$B$11,Paramètres!$A$1:$I$89,3,0)*VLOOKUP('Données projet'!$B$11,Paramètres!$A$1:$I$89,5,0)</f>
        <v>54.581091157894733</v>
      </c>
      <c r="BF20" s="13">
        <f t="shared" si="37"/>
        <v>15.790742982773375</v>
      </c>
      <c r="BG20" s="20">
        <f t="shared" si="7"/>
        <v>122.56427779499695</v>
      </c>
      <c r="BH20" s="59">
        <f t="shared" si="8"/>
        <v>415.89761112833025</v>
      </c>
      <c r="BI20" s="59">
        <f ca="1">AVERAGE(OFFSET($BH$3,0,0,'Données projet'!$E$11+1,1))-AVERAGE(OFFSET($H$3,0,0,'Données projet'!$E$11+1,1))</f>
        <v>243.94505553629301</v>
      </c>
      <c r="BJ20" s="59">
        <f t="shared" si="38"/>
        <v>173.05364940250229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10.199999999999999</v>
      </c>
      <c r="BY20" s="12">
        <f>IF('Données projet'!$A$114&gt;35,BY19+BX20-CG19,IF(A20&lt;'Données projet'!$A$114,$BV$205^A20,IF(A20='Données projet'!$A$114,'Données projet'!$B$114,BY19+BX20-CG19)))</f>
        <v>53.400000000000006</v>
      </c>
      <c r="BZ20" s="13">
        <f>BY20*VLOOKUP('Données projet'!$B$12,Paramètres!$A$1:$I$89,3,0)*VLOOKUP('Données projet'!$B$12,Paramètres!$A$1:$I$89,5,0)</f>
        <v>34.987680000000005</v>
      </c>
      <c r="CA20" s="13">
        <f t="shared" si="39"/>
        <v>10.65995785514129</v>
      </c>
      <c r="CB20" s="20">
        <f t="shared" si="10"/>
        <v>79.502969264371089</v>
      </c>
      <c r="CC20" s="59">
        <f t="shared" si="11"/>
        <v>372.83630259770439</v>
      </c>
      <c r="CD20" s="59">
        <f ca="1">AVERAGE(OFFSET($CC$3,0,0,'Données projet'!$E$12+1,1))-AVERAGE(OFFSET($H$3,0,0,'Données projet'!$E$12+1,1))</f>
        <v>140.9558843244115</v>
      </c>
      <c r="CE20" s="59">
        <f t="shared" si="40"/>
        <v>158.88947216184619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3.887142857142857</v>
      </c>
      <c r="CT20" s="12">
        <f>IF('Données projet'!$A$140&gt;35,CT19+CS20-DB19,IF(A20&lt;'Données projet'!$A$140,$CQ$205^A20,IF(A20='Données projet'!$A$140,'Données projet'!$B$140,CT19+CS20-DB19)))</f>
        <v>66.081428571428546</v>
      </c>
      <c r="CU20" s="17">
        <f>CT20*VLOOKUP('Données projet'!$B$13,Paramètres!$A$1:$I$89,3,0)*VLOOKUP('Données projet'!$B$13,Paramètres!$A$1:$I$89,5,0)</f>
        <v>63.913957714285694</v>
      </c>
      <c r="CV20" s="13">
        <f t="shared" si="41"/>
        <v>18.154171552507719</v>
      </c>
      <c r="CW20" s="20">
        <f t="shared" si="13"/>
        <v>142.9353251396652</v>
      </c>
      <c r="CX20" s="59">
        <f t="shared" si="14"/>
        <v>436.26865847299848</v>
      </c>
      <c r="CY20" s="59">
        <f ca="1">AVERAGE(OFFSET($CX$3,0,0,'Données projet'!$E$13+1,1))-AVERAGE(OFFSET($H$3,0,0,'Données projet'!$E$13+1,1))</f>
        <v>467.11196088914556</v>
      </c>
      <c r="CZ20" s="59">
        <f t="shared" si="42"/>
        <v>208.53783609106262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3.887142857142857</v>
      </c>
      <c r="DO20" s="12">
        <f>IF('Données projet'!$A$166&gt;35,DO19+DN20-DW19,IF(A20&lt;'Données projet'!$A$166,$DL$205^A20,IF(A20='Données projet'!$A$166,'Données projet'!$B$166,DO19+DN20-DW19)))</f>
        <v>66.081428571428546</v>
      </c>
      <c r="DP20" s="17">
        <f>DO20*VLOOKUP('Données projet'!$B$14,Paramètres!$A$1:$I$89,3,0)*VLOOKUP('Données projet'!$B$14,Paramètres!$A$1:$I$89,5,0)</f>
        <v>71.13004971428569</v>
      </c>
      <c r="DQ20" s="13">
        <f t="shared" si="43"/>
        <v>19.953826645408597</v>
      </c>
      <c r="DR20" s="20">
        <f t="shared" si="16"/>
        <v>158.63775132646754</v>
      </c>
      <c r="DS20" s="59">
        <f t="shared" si="17"/>
        <v>451.97108465980085</v>
      </c>
      <c r="DT20" s="59">
        <f ca="1">AVERAGE(OFFSET($DS$3,0,0,'Données projet'!$E$14+1,1))-AVERAGE(OFFSET($H$3,0,0,'Données projet'!$E$14+1,1))</f>
        <v>531.65020827367698</v>
      </c>
      <c r="DU20" s="59">
        <f t="shared" si="44"/>
        <v>235.89413420278396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</v>
      </c>
      <c r="D21" s="11">
        <f t="shared" si="32"/>
        <v>3.6460178361318003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108.34512013856126</v>
      </c>
      <c r="H21" s="67">
        <f t="shared" si="1"/>
        <v>317.77870106459619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66.582092571428547</v>
      </c>
      <c r="P21" s="13">
        <f t="shared" si="33"/>
        <v>18.822213662835811</v>
      </c>
      <c r="Q21" s="20">
        <f t="shared" si="2"/>
        <v>148.7458333580104</v>
      </c>
      <c r="R21" s="59">
        <f t="shared" si="0"/>
        <v>442.07916669134374</v>
      </c>
      <c r="S21" s="59">
        <f ca="1">AVERAGE(OFFSET($R$3,0,0,'Données projet'!$E$9+1,1))-AVERAGE(OFFSET($H$3,0,0,'Données projet'!$E$9+1,1))</f>
        <v>457.88065872594228</v>
      </c>
      <c r="T21" s="59">
        <f t="shared" si="34"/>
        <v>204.62439362068329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434.94730731915536</v>
      </c>
      <c r="AN21" s="59">
        <f ca="1">AVERAGE(OFFSET($AM$3,0,0,'Données projet'!$E$10+1,1))-AVERAGE(OFFSET($H$3,0,0,'Données projet'!$E$10+1,1))</f>
        <v>430.16825592717629</v>
      </c>
      <c r="AO21" s="59">
        <f t="shared" si="36"/>
        <v>192.87542067077248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3.8113157894736847</v>
      </c>
      <c r="BD21" s="12">
        <f>IF('Données projet'!$A$88&gt;35,BD20+BC21-BL20,IF(A21&lt;'Données projet'!$A$88,$BA$205^A21,IF(A21='Données projet'!$A$88,'Données projet'!$B$88,BD20+BC21-BL20)))</f>
        <v>68.603684210526296</v>
      </c>
      <c r="BE21" s="13">
        <f>BD21*VLOOKUP('Données projet'!$B$11,Paramètres!$A$1:$I$89,3,0)*VLOOKUP('Données projet'!$B$11,Paramètres!$A$1:$I$89,5,0)</f>
        <v>57.791743578947354</v>
      </c>
      <c r="BF21" s="13">
        <f t="shared" si="37"/>
        <v>16.608739880512992</v>
      </c>
      <c r="BG21" s="20">
        <f t="shared" si="7"/>
        <v>129.58084202522676</v>
      </c>
      <c r="BH21" s="59">
        <f t="shared" si="8"/>
        <v>422.9141753585601</v>
      </c>
      <c r="BI21" s="59">
        <f ca="1">AVERAGE(OFFSET($BH$3,0,0,'Données projet'!$E$11+1,1))-AVERAGE(OFFSET($H$3,0,0,'Données projet'!$E$11+1,1))</f>
        <v>243.94505553629301</v>
      </c>
      <c r="BJ21" s="59">
        <f t="shared" si="38"/>
        <v>173.05364940250229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10.199999999999999</v>
      </c>
      <c r="BY21" s="12">
        <f>IF('Données projet'!$A$114&gt;35,BY20+BX21-CG20,IF(A21&lt;'Données projet'!$A$114,$BV$205^A21,IF(A21='Données projet'!$A$114,'Données projet'!$B$114,BY20+BX21-CG20)))</f>
        <v>63.600000000000009</v>
      </c>
      <c r="BZ21" s="13">
        <f>BY21*VLOOKUP('Données projet'!$B$12,Paramètres!$A$1:$I$89,3,0)*VLOOKUP('Données projet'!$B$12,Paramètres!$A$1:$I$89,5,0)</f>
        <v>41.67072000000001</v>
      </c>
      <c r="CA21" s="13">
        <f t="shared" si="39"/>
        <v>12.440411337011152</v>
      </c>
      <c r="CB21" s="20">
        <f t="shared" si="10"/>
        <v>94.243553745294435</v>
      </c>
      <c r="CC21" s="59">
        <f t="shared" si="11"/>
        <v>387.57688707862775</v>
      </c>
      <c r="CD21" s="59">
        <f ca="1">AVERAGE(OFFSET($CC$3,0,0,'Données projet'!$E$12+1,1))-AVERAGE(OFFSET($H$3,0,0,'Données projet'!$E$12+1,1))</f>
        <v>140.9558843244115</v>
      </c>
      <c r="CE21" s="59">
        <f t="shared" si="40"/>
        <v>158.88947216184619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3.887142857142857</v>
      </c>
      <c r="CT21" s="12">
        <f>IF('Données projet'!$A$140&gt;35,CT20+CS21-DB20,IF(A21&lt;'Données projet'!$A$140,$CQ$205^A21,IF(A21='Données projet'!$A$140,'Données projet'!$B$140,CT20+CS21-DB20)))</f>
        <v>69.968571428571408</v>
      </c>
      <c r="CU21" s="17">
        <f>CT21*VLOOKUP('Données projet'!$B$13,Paramètres!$A$1:$I$89,3,0)*VLOOKUP('Données projet'!$B$13,Paramètres!$A$1:$I$89,5,0)</f>
        <v>67.673602285714267</v>
      </c>
      <c r="CV21" s="13">
        <f t="shared" si="41"/>
        <v>19.094599499893381</v>
      </c>
      <c r="CW21" s="20">
        <f t="shared" si="13"/>
        <v>151.12128477659996</v>
      </c>
      <c r="CX21" s="59">
        <f t="shared" si="14"/>
        <v>444.45461810993328</v>
      </c>
      <c r="CY21" s="59">
        <f ca="1">AVERAGE(OFFSET($CX$3,0,0,'Données projet'!$E$13+1,1))-AVERAGE(OFFSET($H$3,0,0,'Données projet'!$E$13+1,1))</f>
        <v>467.11196088914556</v>
      </c>
      <c r="CZ21" s="59">
        <f t="shared" si="42"/>
        <v>208.53783609106262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3.887142857142857</v>
      </c>
      <c r="DO21" s="12">
        <f>IF('Données projet'!$A$166&gt;35,DO20+DN21-DW20,IF(A21&lt;'Données projet'!$A$166,$DL$205^A21,IF(A21='Données projet'!$A$166,'Données projet'!$B$166,DO20+DN21-DW20)))</f>
        <v>69.968571428571408</v>
      </c>
      <c r="DP21" s="17">
        <f>DO21*VLOOKUP('Données projet'!$B$14,Paramètres!$A$1:$I$89,3,0)*VLOOKUP('Données projet'!$B$14,Paramètres!$A$1:$I$89,5,0)</f>
        <v>75.314170285714255</v>
      </c>
      <c r="DQ21" s="13">
        <f t="shared" si="43"/>
        <v>20.987480876358003</v>
      </c>
      <c r="DR21" s="20">
        <f t="shared" si="16"/>
        <v>167.72537577394252</v>
      </c>
      <c r="DS21" s="59">
        <f t="shared" si="17"/>
        <v>461.05870910727583</v>
      </c>
      <c r="DT21" s="59">
        <f ca="1">AVERAGE(OFFSET($DS$3,0,0,'Données projet'!$E$14+1,1))-AVERAGE(OFFSET($H$3,0,0,'Données projet'!$E$14+1,1))</f>
        <v>531.65020827367698</v>
      </c>
      <c r="DU21" s="59">
        <f t="shared" si="44"/>
        <v>235.89413420278396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10.966799999999999</v>
      </c>
      <c r="D22" s="11">
        <f t="shared" si="32"/>
        <v>3.824429726038145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114.17791367468043</v>
      </c>
      <c r="H22" s="67">
        <f t="shared" si="1"/>
        <v>319.09472510618309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70.281097714285707</v>
      </c>
      <c r="P22" s="13">
        <f t="shared" si="33"/>
        <v>19.743247750636755</v>
      </c>
      <c r="Q22" s="20">
        <f t="shared" si="2"/>
        <v>156.79240168473996</v>
      </c>
      <c r="R22" s="59">
        <f t="shared" si="0"/>
        <v>450.12573501807327</v>
      </c>
      <c r="S22" s="59">
        <f ca="1">AVERAGE(OFFSET($R$3,0,0,'Données projet'!$E$9+1,1))-AVERAGE(OFFSET($H$3,0,0,'Données projet'!$E$9+1,1))</f>
        <v>457.88065872594228</v>
      </c>
      <c r="T22" s="59">
        <f t="shared" si="34"/>
        <v>204.62439362068329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442.60712251220184</v>
      </c>
      <c r="AN22" s="59">
        <f ca="1">AVERAGE(OFFSET($AM$3,0,0,'Données projet'!$E$10+1,1))-AVERAGE(OFFSET($H$3,0,0,'Données projet'!$E$10+1,1))</f>
        <v>430.16825592717629</v>
      </c>
      <c r="AO22" s="59">
        <f t="shared" si="36"/>
        <v>192.87542067077248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3.8113157894736847</v>
      </c>
      <c r="BD22" s="12">
        <f>IF('Données projet'!$A$88&gt;35,BD21+BC22-BL21,IF(A22&lt;'Données projet'!$A$88,$BA$205^A22,IF(A22='Données projet'!$A$88,'Données projet'!$B$88,BD21+BC22-BL21)))</f>
        <v>72.414999999999978</v>
      </c>
      <c r="BE22" s="13">
        <f>BD22*VLOOKUP('Données projet'!$B$11,Paramètres!$A$1:$I$89,3,0)*VLOOKUP('Données projet'!$B$11,Paramètres!$A$1:$I$89,5,0)</f>
        <v>61.002395999999983</v>
      </c>
      <c r="BF22" s="13">
        <f t="shared" si="37"/>
        <v>17.421461267029571</v>
      </c>
      <c r="BG22" s="20">
        <f t="shared" si="7"/>
        <v>136.58821807340979</v>
      </c>
      <c r="BH22" s="59">
        <f t="shared" si="8"/>
        <v>429.92155140674311</v>
      </c>
      <c r="BI22" s="59">
        <f ca="1">AVERAGE(OFFSET($BH$3,0,0,'Données projet'!$E$11+1,1))-AVERAGE(OFFSET($H$3,0,0,'Données projet'!$E$11+1,1))</f>
        <v>243.94505553629301</v>
      </c>
      <c r="BJ22" s="59">
        <f t="shared" si="38"/>
        <v>173.05364940250229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10.199999999999999</v>
      </c>
      <c r="BY22" s="12">
        <f>IF('Données projet'!$A$114&gt;35,BY21+BX22-CG21,IF(A22&lt;'Données projet'!$A$114,$BV$205^A22,IF(A22='Données projet'!$A$114,'Données projet'!$B$114,BY21+BX22-CG21)))</f>
        <v>73.800000000000011</v>
      </c>
      <c r="BZ22" s="13">
        <f>BY22*VLOOKUP('Données projet'!$B$12,Paramètres!$A$1:$I$89,3,0)*VLOOKUP('Données projet'!$B$12,Paramètres!$A$1:$I$89,5,0)</f>
        <v>48.353760000000008</v>
      </c>
      <c r="CA22" s="13">
        <f t="shared" si="39"/>
        <v>14.187786165449609</v>
      </c>
      <c r="CB22" s="20">
        <f t="shared" si="10"/>
        <v>108.92652623815808</v>
      </c>
      <c r="CC22" s="59">
        <f t="shared" si="11"/>
        <v>402.2598595714914</v>
      </c>
      <c r="CD22" s="59">
        <f ca="1">AVERAGE(OFFSET($CC$3,0,0,'Données projet'!$E$12+1,1))-AVERAGE(OFFSET($H$3,0,0,'Données projet'!$E$12+1,1))</f>
        <v>140.9558843244115</v>
      </c>
      <c r="CE22" s="59">
        <f t="shared" si="40"/>
        <v>158.88947216184619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3.887142857142857</v>
      </c>
      <c r="CT22" s="12">
        <f>IF('Données projet'!$A$140&gt;35,CT21+CS22-DB21,IF(A22&lt;'Données projet'!$A$140,$CQ$205^A22,IF(A22='Données projet'!$A$140,'Données projet'!$B$140,CT21+CS22-DB21)))</f>
        <v>73.855714285714271</v>
      </c>
      <c r="CU22" s="17">
        <f>CT22*VLOOKUP('Données projet'!$B$13,Paramètres!$A$1:$I$89,3,0)*VLOOKUP('Données projet'!$B$13,Paramètres!$A$1:$I$89,5,0)</f>
        <v>71.433246857142848</v>
      </c>
      <c r="CV22" s="13">
        <f t="shared" si="41"/>
        <v>20.02896234091423</v>
      </c>
      <c r="CW22" s="20">
        <f t="shared" si="13"/>
        <v>159.2966810199494</v>
      </c>
      <c r="CX22" s="59">
        <f t="shared" si="14"/>
        <v>452.63001435328272</v>
      </c>
      <c r="CY22" s="59">
        <f ca="1">AVERAGE(OFFSET($CX$3,0,0,'Données projet'!$E$13+1,1))-AVERAGE(OFFSET($H$3,0,0,'Données projet'!$E$13+1,1))</f>
        <v>467.11196088914556</v>
      </c>
      <c r="CZ22" s="59">
        <f t="shared" si="42"/>
        <v>208.53783609106262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3.887142857142857</v>
      </c>
      <c r="DO22" s="12">
        <f>IF('Données projet'!$A$166&gt;35,DO21+DN22-DW21,IF(A22&lt;'Données projet'!$A$166,$DL$205^A22,IF(A22='Données projet'!$A$166,'Données projet'!$B$166,DO21+DN22-DW21)))</f>
        <v>73.855714285714271</v>
      </c>
      <c r="DP22" s="17">
        <f>DO22*VLOOKUP('Données projet'!$B$14,Paramètres!$A$1:$I$89,3,0)*VLOOKUP('Données projet'!$B$14,Paramètres!$A$1:$I$89,5,0)</f>
        <v>79.498290857142834</v>
      </c>
      <c r="DQ22" s="13">
        <f t="shared" si="43"/>
        <v>22.014468756235434</v>
      </c>
      <c r="DR22" s="20">
        <f t="shared" si="16"/>
        <v>176.80138965996716</v>
      </c>
      <c r="DS22" s="59">
        <f t="shared" si="17"/>
        <v>470.13472299330044</v>
      </c>
      <c r="DT22" s="59">
        <f ca="1">AVERAGE(OFFSET($DS$3,0,0,'Données projet'!$E$14+1,1))-AVERAGE(OFFSET($H$3,0,0,'Données projet'!$E$14+1,1))</f>
        <v>531.65020827367698</v>
      </c>
      <c r="DU22" s="59">
        <f t="shared" si="44"/>
        <v>235.89413420278396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3" s="11">
        <f t="shared" si="32"/>
        <v>4.0017514182509002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120.00229164965606</v>
      </c>
      <c r="H23" s="67">
        <f t="shared" si="1"/>
        <v>320.40885038678698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73.980102857142853</v>
      </c>
      <c r="P23" s="13">
        <f t="shared" si="33"/>
        <v>20.65865379851968</v>
      </c>
      <c r="Q23" s="20">
        <f t="shared" si="2"/>
        <v>164.82916784194558</v>
      </c>
      <c r="R23" s="59">
        <f t="shared" si="0"/>
        <v>458.16250117527886</v>
      </c>
      <c r="S23" s="59">
        <f ca="1">AVERAGE(OFFSET($R$3,0,0,'Données projet'!$E$9+1,1))-AVERAGE(OFFSET($H$3,0,0,'Données projet'!$E$9+1,1))</f>
        <v>457.88065872594228</v>
      </c>
      <c r="T23" s="59">
        <f t="shared" si="34"/>
        <v>204.62439362068329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450.25756273836976</v>
      </c>
      <c r="AN23" s="59">
        <f ca="1">AVERAGE(OFFSET($AM$3,0,0,'Données projet'!$E$10+1,1))-AVERAGE(OFFSET($H$3,0,0,'Données projet'!$E$10+1,1))</f>
        <v>430.16825592717629</v>
      </c>
      <c r="AO23" s="59">
        <f t="shared" si="36"/>
        <v>192.87542067077248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3.8113157894736847</v>
      </c>
      <c r="BD23" s="12">
        <f>IF('Données projet'!$A$88&gt;35,BD22+BC23-BL22,IF(A23&lt;'Données projet'!$A$88,$BA$205^A23,IF(A23='Données projet'!$A$88,'Données projet'!$B$88,BD22+BC23-BL22)))</f>
        <v>76.226315789473659</v>
      </c>
      <c r="BE23" s="13">
        <f>BD23*VLOOKUP('Données projet'!$B$11,Paramètres!$A$1:$I$89,3,0)*VLOOKUP('Données projet'!$B$11,Paramètres!$A$1:$I$89,5,0)</f>
        <v>64.213048421052619</v>
      </c>
      <c r="BF23" s="13">
        <f t="shared" si="37"/>
        <v>18.229216465577537</v>
      </c>
      <c r="BG23" s="20">
        <f t="shared" si="7"/>
        <v>143.58694467754751</v>
      </c>
      <c r="BH23" s="59">
        <f t="shared" si="8"/>
        <v>436.92027801088079</v>
      </c>
      <c r="BI23" s="59">
        <f ca="1">AVERAGE(OFFSET($BH$3,0,0,'Données projet'!$E$11+1,1))-AVERAGE(OFFSET($H$3,0,0,'Données projet'!$E$11+1,1))</f>
        <v>243.94505553629301</v>
      </c>
      <c r="BJ23" s="59">
        <f t="shared" si="38"/>
        <v>173.05364940250229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84</v>
      </c>
      <c r="BW23" s="12">
        <f>VLOOKUP(A23,'Données projet'!$A$113:$I$133,9,0)</f>
        <v>10.199999999999999</v>
      </c>
      <c r="BX23" s="12">
        <f t="array" ref="BX23">INDEX(BW:BW,MIN(IF(ISNUMBER(BW23:BW219),ROW(BW23:BW219),"")))</f>
        <v>10.199999999999999</v>
      </c>
      <c r="BY23" s="12">
        <f>IF('Données projet'!$A$114&gt;35,BY22+BX23-CG22,IF(A23&lt;'Données projet'!$A$114,$BV$205^A23,IF(A23='Données projet'!$A$114,'Données projet'!$B$114,BY22+BX23-CG22)))</f>
        <v>84.000000000000014</v>
      </c>
      <c r="BZ23" s="13">
        <f>BY23*VLOOKUP('Données projet'!$B$12,Paramètres!$A$1:$I$89,3,0)*VLOOKUP('Données projet'!$B$12,Paramètres!$A$1:$I$89,5,0)</f>
        <v>55.036800000000007</v>
      </c>
      <c r="CA23" s="13">
        <f t="shared" si="39"/>
        <v>15.907180538864345</v>
      </c>
      <c r="CB23" s="20">
        <f t="shared" si="10"/>
        <v>123.56076610518875</v>
      </c>
      <c r="CC23" s="59">
        <f t="shared" si="11"/>
        <v>416.89409943852206</v>
      </c>
      <c r="CD23" s="59">
        <f ca="1">AVERAGE(OFFSET($CC$3,0,0,'Données projet'!$E$12+1,1))-AVERAGE(OFFSET($H$3,0,0,'Données projet'!$E$12+1,1))</f>
        <v>140.9558843244115</v>
      </c>
      <c r="CE23" s="59">
        <f t="shared" si="40"/>
        <v>158.88947216184619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3.887142857142857</v>
      </c>
      <c r="CT23" s="12">
        <f>IF('Données projet'!$A$140&gt;35,CT22+CS23-DB22,IF(A23&lt;'Données projet'!$A$140,$CQ$205^A23,IF(A23='Données projet'!$A$140,'Données projet'!$B$140,CT22+CS23-DB22)))</f>
        <v>77.742857142857133</v>
      </c>
      <c r="CU23" s="17">
        <f>CT23*VLOOKUP('Données projet'!$B$13,Paramètres!$A$1:$I$89,3,0)*VLOOKUP('Données projet'!$B$13,Paramètres!$A$1:$I$89,5,0)</f>
        <v>75.192891428571414</v>
      </c>
      <c r="CV23" s="13">
        <f t="shared" si="41"/>
        <v>20.957615695785943</v>
      </c>
      <c r="CW23" s="20">
        <f t="shared" si="13"/>
        <v>167.46213324158907</v>
      </c>
      <c r="CX23" s="59">
        <f t="shared" si="14"/>
        <v>460.79546657492239</v>
      </c>
      <c r="CY23" s="59">
        <f ca="1">AVERAGE(OFFSET($CX$3,0,0,'Données projet'!$E$13+1,1))-AVERAGE(OFFSET($H$3,0,0,'Données projet'!$E$13+1,1))</f>
        <v>467.11196088914556</v>
      </c>
      <c r="CZ23" s="59">
        <f t="shared" si="42"/>
        <v>208.53783609106262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3.887142857142857</v>
      </c>
      <c r="DO23" s="12">
        <f>IF('Données projet'!$A$166&gt;35,DO22+DN23-DW22,IF(A23&lt;'Données projet'!$A$166,$DL$205^A23,IF(A23='Données projet'!$A$166,'Données projet'!$B$166,DO22+DN23-DW22)))</f>
        <v>77.742857142857133</v>
      </c>
      <c r="DP23" s="17">
        <f>DO23*VLOOKUP('Données projet'!$B$14,Paramètres!$A$1:$I$89,3,0)*VLOOKUP('Données projet'!$B$14,Paramètres!$A$1:$I$89,5,0)</f>
        <v>83.682411428571413</v>
      </c>
      <c r="DQ23" s="13">
        <f t="shared" si="43"/>
        <v>23.035181158516771</v>
      </c>
      <c r="DR23" s="20">
        <f t="shared" si="16"/>
        <v>185.86647375584525</v>
      </c>
      <c r="DS23" s="59">
        <f t="shared" si="17"/>
        <v>479.19980708917853</v>
      </c>
      <c r="DT23" s="59">
        <f ca="1">AVERAGE(OFFSET($DS$3,0,0,'Données projet'!$E$14+1,1))-AVERAGE(OFFSET($H$3,0,0,'Données projet'!$E$14+1,1))</f>
        <v>531.65020827367698</v>
      </c>
      <c r="DU23" s="59">
        <f t="shared" si="44"/>
        <v>235.89413420278396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24" s="11">
        <f t="shared" si="32"/>
        <v>4.1780436426884888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125.81872285584097</v>
      </c>
      <c r="H24" s="67">
        <f t="shared" si="1"/>
        <v>321.72118267768241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77.679107999999985</v>
      </c>
      <c r="P24" s="13">
        <f t="shared" si="33"/>
        <v>21.568745318801785</v>
      </c>
      <c r="Q24" s="20">
        <f t="shared" si="2"/>
        <v>172.85667786357976</v>
      </c>
      <c r="R24" s="59">
        <f t="shared" si="0"/>
        <v>466.19001119691308</v>
      </c>
      <c r="S24" s="59">
        <f ca="1">AVERAGE(OFFSET($R$3,0,0,'Données projet'!$E$9+1,1))-AVERAGE(OFFSET($H$3,0,0,'Données projet'!$E$9+1,1))</f>
        <v>457.88065872594228</v>
      </c>
      <c r="T24" s="59">
        <f t="shared" si="34"/>
        <v>204.62439362068329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457.89915023410947</v>
      </c>
      <c r="AN24" s="59">
        <f ca="1">AVERAGE(OFFSET($AM$3,0,0,'Données projet'!$E$10+1,1))-AVERAGE(OFFSET($H$3,0,0,'Données projet'!$E$10+1,1))</f>
        <v>430.16825592717629</v>
      </c>
      <c r="AO24" s="59">
        <f t="shared" si="36"/>
        <v>192.87542067077248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3.8113157894736847</v>
      </c>
      <c r="BD24" s="12">
        <f>IF('Données projet'!$A$88&gt;35,BD23+BC24-BL23,IF(A24&lt;'Données projet'!$A$88,$BA$205^A24,IF(A24='Données projet'!$A$88,'Données projet'!$B$88,BD23+BC24-BL23)))</f>
        <v>80.037631578947341</v>
      </c>
      <c r="BE24" s="13">
        <f>BD24*VLOOKUP('Données projet'!$B$11,Paramètres!$A$1:$I$89,3,0)*VLOOKUP('Données projet'!$B$11,Paramètres!$A$1:$I$89,5,0)</f>
        <v>67.423700842105248</v>
      </c>
      <c r="BF24" s="13">
        <f t="shared" si="37"/>
        <v>19.032282119734433</v>
      </c>
      <c r="BG24" s="20">
        <f t="shared" si="7"/>
        <v>150.57750365853744</v>
      </c>
      <c r="BH24" s="59">
        <f t="shared" si="8"/>
        <v>443.91083699187072</v>
      </c>
      <c r="BI24" s="59">
        <f ca="1">AVERAGE(OFFSET($BH$3,0,0,'Données projet'!$E$11+1,1))-AVERAGE(OFFSET($H$3,0,0,'Données projet'!$E$11+1,1))</f>
        <v>243.94505553629301</v>
      </c>
      <c r="BJ24" s="59">
        <f t="shared" si="38"/>
        <v>173.05364940250229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83.200000000000017</v>
      </c>
      <c r="BZ24" s="13">
        <f>BY24*VLOOKUP('Données projet'!$B$12,Paramètres!$A$1:$I$89,3,0)*VLOOKUP('Données projet'!$B$12,Paramètres!$A$1:$I$89,5,0)</f>
        <v>54.512640000000005</v>
      </c>
      <c r="CA24" s="13">
        <f t="shared" si="39"/>
        <v>15.773243364716285</v>
      </c>
      <c r="CB24" s="20">
        <f t="shared" si="10"/>
        <v>122.41458019354752</v>
      </c>
      <c r="CC24" s="59">
        <f t="shared" si="11"/>
        <v>415.74791352688084</v>
      </c>
      <c r="CD24" s="59">
        <f ca="1">AVERAGE(OFFSET($CC$3,0,0,'Données projet'!$E$12+1,1))-AVERAGE(OFFSET($H$3,0,0,'Données projet'!$E$12+1,1))</f>
        <v>140.9558843244115</v>
      </c>
      <c r="CE24" s="59">
        <f t="shared" si="40"/>
        <v>158.88947216184619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3.887142857142857</v>
      </c>
      <c r="CT24" s="12">
        <f>IF('Données projet'!$A$140&gt;35,CT23+CS24-DB23,IF(A24&lt;'Données projet'!$A$140,$CQ$205^A24,IF(A24='Données projet'!$A$140,'Données projet'!$B$140,CT23+CS24-DB23)))</f>
        <v>81.63</v>
      </c>
      <c r="CU24" s="17">
        <f>CT24*VLOOKUP('Données projet'!$B$13,Paramètres!$A$1:$I$89,3,0)*VLOOKUP('Données projet'!$B$13,Paramètres!$A$1:$I$89,5,0)</f>
        <v>78.952535999999995</v>
      </c>
      <c r="CV24" s="13">
        <f t="shared" si="41"/>
        <v>21.880877613822086</v>
      </c>
      <c r="CW24" s="20">
        <f t="shared" si="13"/>
        <v>175.61819537740678</v>
      </c>
      <c r="CX24" s="59">
        <f t="shared" si="14"/>
        <v>468.95152871074009</v>
      </c>
      <c r="CY24" s="59">
        <f ca="1">AVERAGE(OFFSET($CX$3,0,0,'Données projet'!$E$13+1,1))-AVERAGE(OFFSET($H$3,0,0,'Données projet'!$E$13+1,1))</f>
        <v>467.11196088914556</v>
      </c>
      <c r="CZ24" s="59">
        <f t="shared" si="42"/>
        <v>208.53783609106262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3.887142857142857</v>
      </c>
      <c r="DO24" s="12">
        <f>IF('Données projet'!$A$166&gt;35,DO23+DN24-DW23,IF(A24&lt;'Données projet'!$A$166,$DL$205^A24,IF(A24='Données projet'!$A$166,'Données projet'!$B$166,DO23+DN24-DW23)))</f>
        <v>81.63</v>
      </c>
      <c r="DP24" s="17">
        <f>DO24*VLOOKUP('Données projet'!$B$14,Paramètres!$A$1:$I$89,3,0)*VLOOKUP('Données projet'!$B$14,Paramètres!$A$1:$I$89,5,0)</f>
        <v>87.866531999999992</v>
      </c>
      <c r="DQ24" s="13">
        <f t="shared" si="43"/>
        <v>24.049967661305761</v>
      </c>
      <c r="DR24" s="20">
        <f t="shared" si="16"/>
        <v>194.9212369101075</v>
      </c>
      <c r="DS24" s="59">
        <f t="shared" si="17"/>
        <v>488.25457024344081</v>
      </c>
      <c r="DT24" s="59">
        <f ca="1">AVERAGE(OFFSET($DS$3,0,0,'Données projet'!$E$14+1,1))-AVERAGE(OFFSET($H$3,0,0,'Données projet'!$E$14+1,1))</f>
        <v>531.65020827367698</v>
      </c>
      <c r="DU24" s="59">
        <f t="shared" si="44"/>
        <v>235.89413420278396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12.698399999999998</v>
      </c>
      <c r="D25" s="11">
        <f t="shared" si="32"/>
        <v>4.3533610186502001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131.62762891589625</v>
      </c>
      <c r="H25" s="67">
        <f t="shared" si="1"/>
        <v>323.03181710748242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81.378113142857146</v>
      </c>
      <c r="P25" s="13">
        <f t="shared" si="33"/>
        <v>22.4738042783213</v>
      </c>
      <c r="Q25" s="20">
        <f t="shared" si="2"/>
        <v>180.87542284188578</v>
      </c>
      <c r="R25" s="59">
        <f t="shared" si="0"/>
        <v>474.20875617521909</v>
      </c>
      <c r="S25" s="59">
        <f ca="1">AVERAGE(OFFSET($R$3,0,0,'Données projet'!$E$9+1,1))-AVERAGE(OFFSET($H$3,0,0,'Données projet'!$E$9+1,1))</f>
        <v>457.88065872594228</v>
      </c>
      <c r="T25" s="59">
        <f t="shared" si="34"/>
        <v>204.62439362068329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465.53235468865716</v>
      </c>
      <c r="AN25" s="59">
        <f ca="1">AVERAGE(OFFSET($AM$3,0,0,'Données projet'!$E$10+1,1))-AVERAGE(OFFSET($H$3,0,0,'Données projet'!$E$10+1,1))</f>
        <v>430.16825592717629</v>
      </c>
      <c r="AO25" s="59">
        <f t="shared" si="36"/>
        <v>192.87542067077248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3.8113157894736847</v>
      </c>
      <c r="BD25" s="12">
        <f>IF('Données projet'!$A$88&gt;35,BD24+BC25-BL24,IF(A25&lt;'Données projet'!$A$88,$BA$205^A25,IF(A25='Données projet'!$A$88,'Données projet'!$B$88,BD24+BC25-BL24)))</f>
        <v>83.848947368421022</v>
      </c>
      <c r="BE25" s="13">
        <f>BD25*VLOOKUP('Données projet'!$B$11,Paramètres!$A$1:$I$89,3,0)*VLOOKUP('Données projet'!$B$11,Paramètres!$A$1:$I$89,5,0)</f>
        <v>70.634353263157877</v>
      </c>
      <c r="BF25" s="13">
        <f t="shared" si="37"/>
        <v>19.83090703731613</v>
      </c>
      <c r="BG25" s="20">
        <f t="shared" si="7"/>
        <v>157.56032835665889</v>
      </c>
      <c r="BH25" s="59">
        <f t="shared" si="8"/>
        <v>450.8936616899922</v>
      </c>
      <c r="BI25" s="59">
        <f ca="1">AVERAGE(OFFSET($BH$3,0,0,'Données projet'!$E$11+1,1))-AVERAGE(OFFSET($H$3,0,0,'Données projet'!$E$11+1,1))</f>
        <v>243.94505553629301</v>
      </c>
      <c r="BJ25" s="59">
        <f t="shared" si="38"/>
        <v>173.05364940250229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91.40000000000002</v>
      </c>
      <c r="BZ25" s="13">
        <f>BY25*VLOOKUP('Données projet'!$B$12,Paramètres!$A$1:$I$89,3,0)*VLOOKUP('Données projet'!$B$12,Paramètres!$A$1:$I$89,5,0)</f>
        <v>59.885280000000009</v>
      </c>
      <c r="CA25" s="13">
        <f t="shared" si="39"/>
        <v>17.139260967250106</v>
      </c>
      <c r="CB25" s="20">
        <f t="shared" si="10"/>
        <v>134.15107551796063</v>
      </c>
      <c r="CC25" s="59">
        <f t="shared" si="11"/>
        <v>427.48440885129395</v>
      </c>
      <c r="CD25" s="59">
        <f ca="1">AVERAGE(OFFSET($CC$3,0,0,'Données projet'!$E$12+1,1))-AVERAGE(OFFSET($H$3,0,0,'Données projet'!$E$12+1,1))</f>
        <v>140.9558843244115</v>
      </c>
      <c r="CE25" s="59">
        <f t="shared" si="40"/>
        <v>158.88947216184619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3.887142857142857</v>
      </c>
      <c r="CT25" s="12">
        <f>IF('Données projet'!$A$140&gt;35,CT24+CS25-DB24,IF(A25&lt;'Données projet'!$A$140,$CQ$205^A25,IF(A25='Données projet'!$A$140,'Données projet'!$B$140,CT24+CS25-DB24)))</f>
        <v>85.517142857142858</v>
      </c>
      <c r="CU25" s="17">
        <f>CT25*VLOOKUP('Données projet'!$B$13,Paramètres!$A$1:$I$89,3,0)*VLOOKUP('Données projet'!$B$13,Paramètres!$A$1:$I$89,5,0)</f>
        <v>82.712180571428576</v>
      </c>
      <c r="CV25" s="13">
        <f t="shared" si="41"/>
        <v>22.799034142346564</v>
      </c>
      <c r="CW25" s="20">
        <f t="shared" si="13"/>
        <v>183.76536562649167</v>
      </c>
      <c r="CX25" s="59">
        <f t="shared" si="14"/>
        <v>477.09869895982501</v>
      </c>
      <c r="CY25" s="59">
        <f ca="1">AVERAGE(OFFSET($CX$3,0,0,'Données projet'!$E$13+1,1))-AVERAGE(OFFSET($H$3,0,0,'Données projet'!$E$13+1,1))</f>
        <v>467.11196088914556</v>
      </c>
      <c r="CZ25" s="59">
        <f t="shared" si="42"/>
        <v>208.53783609106262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3.887142857142857</v>
      </c>
      <c r="DO25" s="12">
        <f>IF('Données projet'!$A$166&gt;35,DO24+DN25-DW24,IF(A25&lt;'Données projet'!$A$166,$DL$205^A25,IF(A25='Données projet'!$A$166,'Données projet'!$B$166,DO24+DN25-DW24)))</f>
        <v>85.517142857142858</v>
      </c>
      <c r="DP25" s="17">
        <f>DO25*VLOOKUP('Données projet'!$B$14,Paramètres!$A$1:$I$89,3,0)*VLOOKUP('Données projet'!$B$14,Paramètres!$A$1:$I$89,5,0)</f>
        <v>92.050652571428571</v>
      </c>
      <c r="DQ25" s="13">
        <f t="shared" si="43"/>
        <v>25.059142668302808</v>
      </c>
      <c r="DR25" s="20">
        <f t="shared" si="16"/>
        <v>203.96622670919882</v>
      </c>
      <c r="DS25" s="59">
        <f t="shared" si="17"/>
        <v>497.29956004253211</v>
      </c>
      <c r="DT25" s="59">
        <f ca="1">AVERAGE(OFFSET($DS$3,0,0,'Données projet'!$E$14+1,1))-AVERAGE(OFFSET($H$3,0,0,'Données projet'!$E$14+1,1))</f>
        <v>531.65020827367698</v>
      </c>
      <c r="DU25" s="59">
        <f t="shared" si="44"/>
        <v>235.89413420278396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13.275599999999997</v>
      </c>
      <c r="D26" s="11">
        <f t="shared" si="32"/>
        <v>4.5277529193694512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137.42939095653611</v>
      </c>
      <c r="H26" s="67">
        <f t="shared" si="1"/>
        <v>324.34083966790178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85.077118285714292</v>
      </c>
      <c r="P26" s="13">
        <f t="shared" si="33"/>
        <v>23.374085561609906</v>
      </c>
      <c r="Q26" s="20">
        <f t="shared" si="2"/>
        <v>188.88584670075628</v>
      </c>
      <c r="R26" s="59">
        <f t="shared" si="0"/>
        <v>482.21918003408962</v>
      </c>
      <c r="S26" s="59">
        <f ca="1">AVERAGE(OFFSET($R$3,0,0,'Données projet'!$E$9+1,1))-AVERAGE(OFFSET($H$3,0,0,'Données projet'!$E$9+1,1))</f>
        <v>457.88065872594228</v>
      </c>
      <c r="T26" s="59">
        <f t="shared" si="34"/>
        <v>204.62439362068329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473.15760067861072</v>
      </c>
      <c r="AN26" s="59">
        <f ca="1">AVERAGE(OFFSET($AM$3,0,0,'Données projet'!$E$10+1,1))-AVERAGE(OFFSET($H$3,0,0,'Données projet'!$E$10+1,1))</f>
        <v>430.16825592717629</v>
      </c>
      <c r="AO26" s="59">
        <f t="shared" si="36"/>
        <v>192.87542067077248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3.8113157894736847</v>
      </c>
      <c r="BD26" s="12">
        <f>IF('Données projet'!$A$88&gt;35,BD25+BC26-BL25,IF(A26&lt;'Données projet'!$A$88,$BA$205^A26,IF(A26='Données projet'!$A$88,'Données projet'!$B$88,BD25+BC26-BL25)))</f>
        <v>87.660263157894704</v>
      </c>
      <c r="BE26" s="13">
        <f>BD26*VLOOKUP('Données projet'!$B$11,Paramètres!$A$1:$I$89,3,0)*VLOOKUP('Données projet'!$B$11,Paramètres!$A$1:$I$89,5,0)</f>
        <v>73.845005684210506</v>
      </c>
      <c r="BF26" s="13">
        <f t="shared" si="37"/>
        <v>20.625316128684492</v>
      </c>
      <c r="BG26" s="20">
        <f t="shared" si="7"/>
        <v>164.5358104907921</v>
      </c>
      <c r="BH26" s="59">
        <f t="shared" si="8"/>
        <v>457.86914382412544</v>
      </c>
      <c r="BI26" s="59">
        <f ca="1">AVERAGE(OFFSET($BH$3,0,0,'Données projet'!$E$11+1,1))-AVERAGE(OFFSET($H$3,0,0,'Données projet'!$E$11+1,1))</f>
        <v>243.94505553629301</v>
      </c>
      <c r="BJ26" s="59">
        <f t="shared" si="38"/>
        <v>173.05364940250229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99.600000000000023</v>
      </c>
      <c r="BZ26" s="13">
        <f>BY26*VLOOKUP('Données projet'!$B$12,Paramètres!$A$1:$I$89,3,0)*VLOOKUP('Données projet'!$B$12,Paramètres!$A$1:$I$89,5,0)</f>
        <v>65.257920000000013</v>
      </c>
      <c r="CA26" s="13">
        <f t="shared" si="39"/>
        <v>18.491067519086762</v>
      </c>
      <c r="CB26" s="20">
        <f t="shared" si="10"/>
        <v>145.8628199290761</v>
      </c>
      <c r="CC26" s="59">
        <f t="shared" si="11"/>
        <v>439.19615326240944</v>
      </c>
      <c r="CD26" s="59">
        <f ca="1">AVERAGE(OFFSET($CC$3,0,0,'Données projet'!$E$12+1,1))-AVERAGE(OFFSET($H$3,0,0,'Données projet'!$E$12+1,1))</f>
        <v>140.9558843244115</v>
      </c>
      <c r="CE26" s="59">
        <f t="shared" si="40"/>
        <v>158.88947216184619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3.887142857142857</v>
      </c>
      <c r="CT26" s="12">
        <f>IF('Données projet'!$A$140&gt;35,CT25+CS26-DB25,IF(A26&lt;'Données projet'!$A$140,$CQ$205^A26,IF(A26='Données projet'!$A$140,'Données projet'!$B$140,CT25+CS26-DB25)))</f>
        <v>89.40428571428572</v>
      </c>
      <c r="CU26" s="17">
        <f>CT26*VLOOKUP('Données projet'!$B$13,Paramètres!$A$1:$I$89,3,0)*VLOOKUP('Données projet'!$B$13,Paramètres!$A$1:$I$89,5,0)</f>
        <v>86.471825142857142</v>
      </c>
      <c r="CV26" s="13">
        <f t="shared" si="41"/>
        <v>23.71234385445489</v>
      </c>
      <c r="CW26" s="20">
        <f t="shared" si="13"/>
        <v>191.90409433698508</v>
      </c>
      <c r="CX26" s="59">
        <f t="shared" si="14"/>
        <v>485.23742767031843</v>
      </c>
      <c r="CY26" s="59">
        <f ca="1">AVERAGE(OFFSET($CX$3,0,0,'Données projet'!$E$13+1,1))-AVERAGE(OFFSET($H$3,0,0,'Données projet'!$E$13+1,1))</f>
        <v>467.11196088914556</v>
      </c>
      <c r="CZ26" s="59">
        <f t="shared" si="42"/>
        <v>208.53783609106262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3.887142857142857</v>
      </c>
      <c r="DO26" s="12">
        <f>IF('Données projet'!$A$166&gt;35,DO25+DN26-DW25,IF(A26&lt;'Données projet'!$A$166,$DL$205^A26,IF(A26='Données projet'!$A$166,'Données projet'!$B$166,DO25+DN26-DW25)))</f>
        <v>89.40428571428572</v>
      </c>
      <c r="DP26" s="17">
        <f>DO26*VLOOKUP('Données projet'!$B$14,Paramètres!$A$1:$I$89,3,0)*VLOOKUP('Données projet'!$B$14,Paramètres!$A$1:$I$89,5,0)</f>
        <v>96.234773142857151</v>
      </c>
      <c r="DQ26" s="13">
        <f t="shared" si="43"/>
        <v>26.062990385411098</v>
      </c>
      <c r="DR26" s="20">
        <f t="shared" si="16"/>
        <v>213.00193814506721</v>
      </c>
      <c r="DS26" s="59">
        <f t="shared" si="17"/>
        <v>506.3352714784005</v>
      </c>
      <c r="DT26" s="59">
        <f ca="1">AVERAGE(OFFSET($DS$3,0,0,'Données projet'!$E$14+1,1))-AVERAGE(OFFSET($H$3,0,0,'Données projet'!$E$14+1,1))</f>
        <v>531.65020827367698</v>
      </c>
      <c r="DU26" s="59">
        <f t="shared" si="44"/>
        <v>235.89413420278396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13.852799999999997</v>
      </c>
      <c r="D27" s="11">
        <f t="shared" si="32"/>
        <v>4.7012641819673213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143.22435508887054</v>
      </c>
      <c r="H27" s="67">
        <f t="shared" si="1"/>
        <v>325.64832845025973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88.776123428571438</v>
      </c>
      <c r="P27" s="13">
        <f t="shared" si="33"/>
        <v>24.269820635958951</v>
      </c>
      <c r="Q27" s="20">
        <f t="shared" si="2"/>
        <v>196.88835257905711</v>
      </c>
      <c r="R27" s="59">
        <f t="shared" si="0"/>
        <v>490.2216859123904</v>
      </c>
      <c r="S27" s="59">
        <f ca="1">AVERAGE(OFFSET($R$3,0,0,'Données projet'!$E$9+1,1))-AVERAGE(OFFSET($H$3,0,0,'Données projet'!$E$9+1,1))</f>
        <v>457.88065872594228</v>
      </c>
      <c r="T27" s="59">
        <f t="shared" si="34"/>
        <v>204.62439362068329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480.7752737730533</v>
      </c>
      <c r="AN27" s="59">
        <f ca="1">AVERAGE(OFFSET($AM$3,0,0,'Données projet'!$E$10+1,1))-AVERAGE(OFFSET($H$3,0,0,'Données projet'!$E$10+1,1))</f>
        <v>430.16825592717629</v>
      </c>
      <c r="AO27" s="59">
        <f t="shared" si="36"/>
        <v>192.87542067077248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3.8113157894736847</v>
      </c>
      <c r="BD27" s="12">
        <f>IF('Données projet'!$A$88&gt;35,BD26+BC27-BL26,IF(A27&lt;'Données projet'!$A$88,$BA$205^A27,IF(A27='Données projet'!$A$88,'Données projet'!$B$88,BD26+BC27-BL26)))</f>
        <v>91.471578947368386</v>
      </c>
      <c r="BE27" s="13">
        <f>BD27*VLOOKUP('Données projet'!$B$11,Paramètres!$A$1:$I$89,3,0)*VLOOKUP('Données projet'!$B$11,Paramètres!$A$1:$I$89,5,0)</f>
        <v>77.055658105263134</v>
      </c>
      <c r="BF27" s="13">
        <f t="shared" si="37"/>
        <v>21.415713640805496</v>
      </c>
      <c r="BG27" s="20">
        <f t="shared" si="7"/>
        <v>171.50430579106953</v>
      </c>
      <c r="BH27" s="59">
        <f t="shared" si="8"/>
        <v>464.83763912440281</v>
      </c>
      <c r="BI27" s="59">
        <f ca="1">AVERAGE(OFFSET($BH$3,0,0,'Données projet'!$E$11+1,1))-AVERAGE(OFFSET($H$3,0,0,'Données projet'!$E$11+1,1))</f>
        <v>243.94505553629301</v>
      </c>
      <c r="BJ27" s="59">
        <f t="shared" si="38"/>
        <v>173.05364940250229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107.80000000000003</v>
      </c>
      <c r="BZ27" s="13">
        <f>BY27*VLOOKUP('Données projet'!$B$12,Paramètres!$A$1:$I$89,3,0)*VLOOKUP('Données projet'!$B$12,Paramètres!$A$1:$I$89,5,0)</f>
        <v>70.630560000000017</v>
      </c>
      <c r="CA27" s="13">
        <f t="shared" si="39"/>
        <v>19.829966022106095</v>
      </c>
      <c r="CB27" s="20">
        <f t="shared" si="10"/>
        <v>157.5520828218348</v>
      </c>
      <c r="CC27" s="59">
        <f t="shared" si="11"/>
        <v>450.88541615516812</v>
      </c>
      <c r="CD27" s="59">
        <f ca="1">AVERAGE(OFFSET($CC$3,0,0,'Données projet'!$E$12+1,1))-AVERAGE(OFFSET($H$3,0,0,'Données projet'!$E$12+1,1))</f>
        <v>140.9558843244115</v>
      </c>
      <c r="CE27" s="59">
        <f t="shared" si="40"/>
        <v>158.88947216184619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3.887142857142857</v>
      </c>
      <c r="CT27" s="12">
        <f>IF('Données projet'!$A$140&gt;35,CT26+CS27-DB26,IF(A27&lt;'Données projet'!$A$140,$CQ$205^A27,IF(A27='Données projet'!$A$140,'Données projet'!$B$140,CT26+CS27-DB26)))</f>
        <v>93.291428571428582</v>
      </c>
      <c r="CU27" s="17">
        <f>CT27*VLOOKUP('Données projet'!$B$13,Paramètres!$A$1:$I$89,3,0)*VLOOKUP('Données projet'!$B$13,Paramètres!$A$1:$I$89,5,0)</f>
        <v>90.231469714285723</v>
      </c>
      <c r="CV27" s="13">
        <f t="shared" si="41"/>
        <v>24.621041567119438</v>
      </c>
      <c r="CW27" s="20">
        <f t="shared" si="13"/>
        <v>200.03479048178065</v>
      </c>
      <c r="CX27" s="59">
        <f t="shared" si="14"/>
        <v>493.36812381511396</v>
      </c>
      <c r="CY27" s="59">
        <f ca="1">AVERAGE(OFFSET($CX$3,0,0,'Données projet'!$E$13+1,1))-AVERAGE(OFFSET($H$3,0,0,'Données projet'!$E$13+1,1))</f>
        <v>467.11196088914556</v>
      </c>
      <c r="CZ27" s="59">
        <f t="shared" si="42"/>
        <v>208.53783609106262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3.887142857142857</v>
      </c>
      <c r="DO27" s="12">
        <f>IF('Données projet'!$A$166&gt;35,DO26+DN27-DW26,IF(A27&lt;'Données projet'!$A$166,$DL$205^A27,IF(A27='Données projet'!$A$166,'Données projet'!$B$166,DO26+DN27-DW26)))</f>
        <v>93.291428571428582</v>
      </c>
      <c r="DP27" s="17">
        <f>DO27*VLOOKUP('Données projet'!$B$14,Paramètres!$A$1:$I$89,3,0)*VLOOKUP('Données projet'!$B$14,Paramètres!$A$1:$I$89,5,0)</f>
        <v>100.41889371428572</v>
      </c>
      <c r="DQ27" s="13">
        <f t="shared" si="43"/>
        <v>27.06176890742432</v>
      </c>
      <c r="DR27" s="20">
        <f t="shared" si="16"/>
        <v>222.02882073281162</v>
      </c>
      <c r="DS27" s="59">
        <f t="shared" si="17"/>
        <v>515.36215406614497</v>
      </c>
      <c r="DT27" s="59">
        <f ca="1">AVERAGE(OFFSET($DS$3,0,0,'Données projet'!$E$14+1,1))-AVERAGE(OFFSET($H$3,0,0,'Données projet'!$E$14+1,1))</f>
        <v>531.65020827367698</v>
      </c>
      <c r="DU27" s="59">
        <f t="shared" si="44"/>
        <v>235.89413420278396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14.429999999999996</v>
      </c>
      <c r="D28" s="11">
        <f t="shared" si="32"/>
        <v>4.8739356957462956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149.01283694962049</v>
      </c>
      <c r="H28" s="67">
        <f t="shared" si="1"/>
        <v>326.95435467009145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92.475128571428584</v>
      </c>
      <c r="P28" s="13">
        <f t="shared" si="33"/>
        <v>25.161220588429078</v>
      </c>
      <c r="Q28" s="20">
        <f t="shared" si="2"/>
        <v>204.88330812008542</v>
      </c>
      <c r="R28" s="59">
        <f t="shared" si="0"/>
        <v>498.21664145341873</v>
      </c>
      <c r="S28" s="59">
        <f ca="1">AVERAGE(OFFSET($R$3,0,0,'Données projet'!$E$9+1,1))-AVERAGE(OFFSET($H$3,0,0,'Données projet'!$E$9+1,1))</f>
        <v>457.88065872594228</v>
      </c>
      <c r="T28" s="59">
        <f t="shared" si="34"/>
        <v>204.62439362068329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488.38572559248325</v>
      </c>
      <c r="AN28" s="59">
        <f ca="1">AVERAGE(OFFSET($AM$3,0,0,'Données projet'!$E$10+1,1))-AVERAGE(OFFSET($H$3,0,0,'Données projet'!$E$10+1,1))</f>
        <v>430.16825592717629</v>
      </c>
      <c r="AO28" s="59">
        <f t="shared" si="36"/>
        <v>192.87542067077248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3.8113157894736847</v>
      </c>
      <c r="BD28" s="12">
        <f>IF('Données projet'!$A$88&gt;35,BD27+BC28-BL27,IF(A28&lt;'Données projet'!$A$88,$BA$205^A28,IF(A28='Données projet'!$A$88,'Données projet'!$B$88,BD27+BC28-BL27)))</f>
        <v>95.282894736842067</v>
      </c>
      <c r="BE28" s="13">
        <f>BD28*VLOOKUP('Données projet'!$B$11,Paramètres!$A$1:$I$89,3,0)*VLOOKUP('Données projet'!$B$11,Paramètres!$A$1:$I$89,5,0)</f>
        <v>80.266310526315763</v>
      </c>
      <c r="BF28" s="13">
        <f t="shared" si="37"/>
        <v>22.202285837109411</v>
      </c>
      <c r="BG28" s="20">
        <f t="shared" si="7"/>
        <v>178.46613866629886</v>
      </c>
      <c r="BH28" s="59">
        <f t="shared" si="8"/>
        <v>471.79947199963215</v>
      </c>
      <c r="BI28" s="59">
        <f ca="1">AVERAGE(OFFSET($BH$3,0,0,'Données projet'!$E$11+1,1))-AVERAGE(OFFSET($H$3,0,0,'Données projet'!$E$11+1,1))</f>
        <v>243.94505553629301</v>
      </c>
      <c r="BJ28" s="59">
        <f t="shared" si="38"/>
        <v>173.05364940250229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116</v>
      </c>
      <c r="BW28" s="12">
        <f>VLOOKUP(A28,'Données projet'!$A$113:$I$133,9,0)</f>
        <v>8.1999999999999993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116.00000000000003</v>
      </c>
      <c r="BZ28" s="13">
        <f>BY28*VLOOKUP('Données projet'!$B$12,Paramètres!$A$1:$I$89,3,0)*VLOOKUP('Données projet'!$B$12,Paramètres!$A$1:$I$89,5,0)</f>
        <v>76.003200000000021</v>
      </c>
      <c r="CA28" s="13">
        <f t="shared" si="39"/>
        <v>21.157049992000456</v>
      </c>
      <c r="CB28" s="20">
        <f t="shared" si="10"/>
        <v>169.2207687360675</v>
      </c>
      <c r="CC28" s="59">
        <f t="shared" si="11"/>
        <v>462.55410206940081</v>
      </c>
      <c r="CD28" s="59">
        <f ca="1">AVERAGE(OFFSET($CC$3,0,0,'Données projet'!$E$12+1,1))-AVERAGE(OFFSET($H$3,0,0,'Données projet'!$E$12+1,1))</f>
        <v>140.9558843244115</v>
      </c>
      <c r="CE28" s="59">
        <f t="shared" si="40"/>
        <v>158.88947216184619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18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3.887142857142857</v>
      </c>
      <c r="CT28" s="12">
        <f>IF('Données projet'!$A$140&gt;35,CT27+CS28-DB27,IF(A28&lt;'Données projet'!$A$140,$CQ$205^A28,IF(A28='Données projet'!$A$140,'Données projet'!$B$140,CT27+CS28-DB27)))</f>
        <v>97.178571428571445</v>
      </c>
      <c r="CU28" s="17">
        <f>CT28*VLOOKUP('Données projet'!$B$13,Paramètres!$A$1:$I$89,3,0)*VLOOKUP('Données projet'!$B$13,Paramètres!$A$1:$I$89,5,0)</f>
        <v>93.991114285714303</v>
      </c>
      <c r="CV28" s="13">
        <f t="shared" si="41"/>
        <v>25.525341422149168</v>
      </c>
      <c r="CW28" s="20">
        <f t="shared" si="13"/>
        <v>208.15782702452887</v>
      </c>
      <c r="CX28" s="59">
        <f t="shared" si="14"/>
        <v>501.49116035786221</v>
      </c>
      <c r="CY28" s="59">
        <f ca="1">AVERAGE(OFFSET($CX$3,0,0,'Données projet'!$E$13+1,1))-AVERAGE(OFFSET($H$3,0,0,'Données projet'!$E$13+1,1))</f>
        <v>467.11196088914556</v>
      </c>
      <c r="CZ28" s="59">
        <f t="shared" si="42"/>
        <v>208.53783609106262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3.887142857142857</v>
      </c>
      <c r="DO28" s="12">
        <f>IF('Données projet'!$A$166&gt;35,DO27+DN28-DW27,IF(A28&lt;'Données projet'!$A$166,$DL$205^A28,IF(A28='Données projet'!$A$166,'Données projet'!$B$166,DO27+DN28-DW27)))</f>
        <v>97.178571428571445</v>
      </c>
      <c r="DP28" s="17">
        <f>DO28*VLOOKUP('Données projet'!$B$14,Paramètres!$A$1:$I$89,3,0)*VLOOKUP('Données projet'!$B$14,Paramètres!$A$1:$I$89,5,0)</f>
        <v>104.60301428571429</v>
      </c>
      <c r="DQ28" s="13">
        <f t="shared" si="43"/>
        <v>28.055713604407149</v>
      </c>
      <c r="DR28" s="20">
        <f t="shared" si="16"/>
        <v>231.04728440862814</v>
      </c>
      <c r="DS28" s="59">
        <f t="shared" si="17"/>
        <v>524.38061774196149</v>
      </c>
      <c r="DT28" s="59">
        <f ca="1">AVERAGE(OFFSET($DS$3,0,0,'Données projet'!$E$14+1,1))-AVERAGE(OFFSET($H$3,0,0,'Données projet'!$E$14+1,1))</f>
        <v>531.65020827367698</v>
      </c>
      <c r="DU28" s="59">
        <f t="shared" si="44"/>
        <v>235.89413420278396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15.007199999999996</v>
      </c>
      <c r="D29" s="11">
        <f t="shared" si="32"/>
        <v>5.0458048937074587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154.79512549528559</v>
      </c>
      <c r="H29" s="67">
        <f t="shared" si="1"/>
        <v>328.25898352320712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96.17413371428573</v>
      </c>
      <c r="P29" s="13">
        <f t="shared" si="33"/>
        <v>26.048478663259949</v>
      </c>
      <c r="Q29" s="20">
        <f t="shared" si="2"/>
        <v>212.87104989089207</v>
      </c>
      <c r="R29" s="59">
        <f t="shared" si="0"/>
        <v>506.20438322422535</v>
      </c>
      <c r="S29" s="59">
        <f ca="1">AVERAGE(OFFSET($R$3,0,0,'Données projet'!$E$9+1,1))-AVERAGE(OFFSET($H$3,0,0,'Données projet'!$E$9+1,1))</f>
        <v>457.88065872594228</v>
      </c>
      <c r="T29" s="59">
        <f t="shared" si="34"/>
        <v>204.62439362068329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495.98927803553198</v>
      </c>
      <c r="AN29" s="59">
        <f ca="1">AVERAGE(OFFSET($AM$3,0,0,'Données projet'!$E$10+1,1))-AVERAGE(OFFSET($H$3,0,0,'Données projet'!$E$10+1,1))</f>
        <v>430.16825592717629</v>
      </c>
      <c r="AO29" s="59">
        <f t="shared" si="36"/>
        <v>192.87542067077248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3.8113157894736847</v>
      </c>
      <c r="BD29" s="12">
        <f>IF('Données projet'!$A$88&gt;35,BD28+BC29-BL28,IF(A29&lt;'Données projet'!$A$88,$BA$205^A29,IF(A29='Données projet'!$A$88,'Données projet'!$B$88,BD28+BC29-BL28)))</f>
        <v>99.094210526315749</v>
      </c>
      <c r="BE29" s="13">
        <f>BD29*VLOOKUP('Données projet'!$B$11,Paramètres!$A$1:$I$89,3,0)*VLOOKUP('Données projet'!$B$11,Paramètres!$A$1:$I$89,5,0)</f>
        <v>83.476962947368392</v>
      </c>
      <c r="BF29" s="13">
        <f t="shared" si="37"/>
        <v>22.985203236503651</v>
      </c>
      <c r="BG29" s="20">
        <f t="shared" si="7"/>
        <v>185.42160610357715</v>
      </c>
      <c r="BH29" s="59">
        <f t="shared" si="8"/>
        <v>478.75493943691049</v>
      </c>
      <c r="BI29" s="59">
        <f ca="1">AVERAGE(OFFSET($BH$3,0,0,'Données projet'!$E$11+1,1))-AVERAGE(OFFSET($H$3,0,0,'Données projet'!$E$11+1,1))</f>
        <v>243.94505553629301</v>
      </c>
      <c r="BJ29" s="59">
        <f t="shared" si="38"/>
        <v>173.05364940250229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7.8</v>
      </c>
      <c r="BY29" s="12">
        <f>IF('Données projet'!$A$114&gt;35,BY28+BX29-CG28,IF(A29&lt;'Données projet'!$A$114,$BV$205^A29,IF(A29='Données projet'!$A$114,'Données projet'!$B$114,BY28+BX29-CG28)))</f>
        <v>105.80000000000003</v>
      </c>
      <c r="BZ29" s="13">
        <f>BY29*VLOOKUP('Données projet'!$B$12,Paramètres!$A$1:$I$89,3,0)*VLOOKUP('Données projet'!$B$12,Paramètres!$A$1:$I$89,5,0)</f>
        <v>69.320160000000016</v>
      </c>
      <c r="CA29" s="13">
        <f t="shared" si="39"/>
        <v>19.50453356393022</v>
      </c>
      <c r="CB29" s="20">
        <f t="shared" si="10"/>
        <v>154.70300795717847</v>
      </c>
      <c r="CC29" s="59">
        <f t="shared" si="11"/>
        <v>448.03634129051181</v>
      </c>
      <c r="CD29" s="59">
        <f ca="1">AVERAGE(OFFSET($CC$3,0,0,'Données projet'!$E$12+1,1))-AVERAGE(OFFSET($H$3,0,0,'Données projet'!$E$12+1,1))</f>
        <v>140.9558843244115</v>
      </c>
      <c r="CE29" s="59">
        <f t="shared" si="40"/>
        <v>158.88947216184619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3.887142857142857</v>
      </c>
      <c r="CT29" s="12">
        <f>IF('Données projet'!$A$140&gt;35,CT28+CS29-DB28,IF(A29&lt;'Données projet'!$A$140,$CQ$205^A29,IF(A29='Données projet'!$A$140,'Données projet'!$B$140,CT28+CS29-DB28)))</f>
        <v>101.06571428571431</v>
      </c>
      <c r="CU29" s="17">
        <f>CT29*VLOOKUP('Données projet'!$B$13,Paramètres!$A$1:$I$89,3,0)*VLOOKUP('Données projet'!$B$13,Paramètres!$A$1:$I$89,5,0)</f>
        <v>97.750758857142884</v>
      </c>
      <c r="CV29" s="13">
        <f t="shared" si="41"/>
        <v>26.425439460319531</v>
      </c>
      <c r="CW29" s="20">
        <f t="shared" si="13"/>
        <v>216.2735454029137</v>
      </c>
      <c r="CX29" s="59">
        <f t="shared" si="14"/>
        <v>509.60687873624704</v>
      </c>
      <c r="CY29" s="59">
        <f ca="1">AVERAGE(OFFSET($CX$3,0,0,'Données projet'!$E$13+1,1))-AVERAGE(OFFSET($H$3,0,0,'Données projet'!$E$13+1,1))</f>
        <v>467.11196088914556</v>
      </c>
      <c r="CZ29" s="59">
        <f t="shared" si="42"/>
        <v>208.53783609106262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3.887142857142857</v>
      </c>
      <c r="DO29" s="12">
        <f>IF('Données projet'!$A$166&gt;35,DO28+DN29-DW28,IF(A29&lt;'Données projet'!$A$166,$DL$205^A29,IF(A29='Données projet'!$A$166,'Données projet'!$B$166,DO28+DN29-DW28)))</f>
        <v>101.06571428571431</v>
      </c>
      <c r="DP29" s="17">
        <f>DO29*VLOOKUP('Données projet'!$B$14,Paramètres!$A$1:$I$89,3,0)*VLOOKUP('Données projet'!$B$14,Paramètres!$A$1:$I$89,5,0)</f>
        <v>108.78713485714287</v>
      </c>
      <c r="DQ29" s="13">
        <f t="shared" si="43"/>
        <v>29.045039951003361</v>
      </c>
      <c r="DR29" s="20">
        <f t="shared" si="16"/>
        <v>240.05770445752137</v>
      </c>
      <c r="DS29" s="59">
        <f t="shared" si="17"/>
        <v>533.39103779085463</v>
      </c>
      <c r="DT29" s="59">
        <f ca="1">AVERAGE(OFFSET($DS$3,0,0,'Données projet'!$E$14+1,1))-AVERAGE(OFFSET($H$3,0,0,'Données projet'!$E$14+1,1))</f>
        <v>531.65020827367698</v>
      </c>
      <c r="DU29" s="59">
        <f t="shared" si="44"/>
        <v>235.89413420278396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15.584399999999995</v>
      </c>
      <c r="D30" s="11">
        <f t="shared" si="32"/>
        <v>5.2169061663227199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160.57148619617533</v>
      </c>
      <c r="H30" s="67">
        <f t="shared" si="1"/>
        <v>329.56227490634535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99.873138857142877</v>
      </c>
      <c r="P30" s="13">
        <f t="shared" si="33"/>
        <v>26.931772397929201</v>
      </c>
      <c r="Q30" s="20">
        <f t="shared" si="2"/>
        <v>220.85188710258387</v>
      </c>
      <c r="R30" s="59">
        <f t="shared" si="0"/>
        <v>514.18522043591724</v>
      </c>
      <c r="S30" s="59">
        <f ca="1">AVERAGE(OFFSET($R$3,0,0,'Données projet'!$E$9+1,1))-AVERAGE(OFFSET($H$3,0,0,'Données projet'!$E$9+1,1))</f>
        <v>457.88065872594228</v>
      </c>
      <c r="T30" s="59">
        <f t="shared" si="34"/>
        <v>204.62439362068329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503.58622683712611</v>
      </c>
      <c r="AN30" s="59">
        <f ca="1">AVERAGE(OFFSET($AM$3,0,0,'Données projet'!$E$10+1,1))-AVERAGE(OFFSET($H$3,0,0,'Données projet'!$E$10+1,1))</f>
        <v>430.16825592717629</v>
      </c>
      <c r="AO30" s="59">
        <f t="shared" si="36"/>
        <v>192.87542067077248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3.8113157894736847</v>
      </c>
      <c r="BD30" s="12">
        <f>IF('Données projet'!$A$88&gt;35,BD29+BC30-BL29,IF(A30&lt;'Données projet'!$A$88,$BA$205^A30,IF(A30='Données projet'!$A$88,'Données projet'!$B$88,BD29+BC30-BL29)))</f>
        <v>102.90552631578943</v>
      </c>
      <c r="BE30" s="13">
        <f>BD30*VLOOKUP('Données projet'!$B$11,Paramètres!$A$1:$I$89,3,0)*VLOOKUP('Données projet'!$B$11,Paramètres!$A$1:$I$89,5,0)</f>
        <v>86.687615368421021</v>
      </c>
      <c r="BF30" s="13">
        <f t="shared" si="37"/>
        <v>23.764622498233482</v>
      </c>
      <c r="BG30" s="20">
        <f t="shared" si="7"/>
        <v>192.3709809510899</v>
      </c>
      <c r="BH30" s="59">
        <f t="shared" si="8"/>
        <v>485.70431428442322</v>
      </c>
      <c r="BI30" s="59">
        <f ca="1">AVERAGE(OFFSET($BH$3,0,0,'Données projet'!$E$11+1,1))-AVERAGE(OFFSET($H$3,0,0,'Données projet'!$E$11+1,1))</f>
        <v>243.94505553629301</v>
      </c>
      <c r="BJ30" s="59">
        <f t="shared" si="38"/>
        <v>173.05364940250229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7.8</v>
      </c>
      <c r="BY30" s="12">
        <f>IF('Données projet'!$A$114&gt;35,BY29+BX30-CG29,IF(A30&lt;'Données projet'!$A$114,$BV$205^A30,IF(A30='Données projet'!$A$114,'Données projet'!$B$114,BY29+BX30-CG29)))</f>
        <v>113.60000000000002</v>
      </c>
      <c r="BZ30" s="13">
        <f>BY30*VLOOKUP('Données projet'!$B$12,Paramètres!$A$1:$I$89,3,0)*VLOOKUP('Données projet'!$B$12,Paramètres!$A$1:$I$89,5,0)</f>
        <v>74.430720000000022</v>
      </c>
      <c r="CA30" s="13">
        <f t="shared" si="39"/>
        <v>20.76980057385482</v>
      </c>
      <c r="CB30" s="20">
        <f t="shared" si="10"/>
        <v>165.80757333279718</v>
      </c>
      <c r="CC30" s="59">
        <f t="shared" si="11"/>
        <v>459.14090666613049</v>
      </c>
      <c r="CD30" s="59">
        <f ca="1">AVERAGE(OFFSET($CC$3,0,0,'Données projet'!$E$12+1,1))-AVERAGE(OFFSET($H$3,0,0,'Données projet'!$E$12+1,1))</f>
        <v>140.9558843244115</v>
      </c>
      <c r="CE30" s="59">
        <f t="shared" si="40"/>
        <v>158.88947216184619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3.887142857142857</v>
      </c>
      <c r="CT30" s="12">
        <f>IF('Données projet'!$A$140&gt;35,CT29+CS30-DB29,IF(A30&lt;'Données projet'!$A$140,$CQ$205^A30,IF(A30='Données projet'!$A$140,'Données projet'!$B$140,CT29+CS30-DB29)))</f>
        <v>104.95285714285717</v>
      </c>
      <c r="CU30" s="17">
        <f>CT30*VLOOKUP('Données projet'!$B$13,Paramètres!$A$1:$I$89,3,0)*VLOOKUP('Données projet'!$B$13,Paramètres!$A$1:$I$89,5,0)</f>
        <v>101.51040342857146</v>
      </c>
      <c r="CV30" s="13">
        <f t="shared" si="41"/>
        <v>27.32151578834339</v>
      </c>
      <c r="CW30" s="20">
        <f t="shared" si="13"/>
        <v>224.38225930279336</v>
      </c>
      <c r="CX30" s="59">
        <f t="shared" si="14"/>
        <v>517.71559263612664</v>
      </c>
      <c r="CY30" s="59">
        <f ca="1">AVERAGE(OFFSET($CX$3,0,0,'Données projet'!$E$13+1,1))-AVERAGE(OFFSET($H$3,0,0,'Données projet'!$E$13+1,1))</f>
        <v>467.11196088914556</v>
      </c>
      <c r="CZ30" s="59">
        <f t="shared" si="42"/>
        <v>208.53783609106262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3.887142857142857</v>
      </c>
      <c r="DO30" s="12">
        <f>IF('Données projet'!$A$166&gt;35,DO29+DN30-DW29,IF(A30&lt;'Données projet'!$A$166,$DL$205^A30,IF(A30='Données projet'!$A$166,'Données projet'!$B$166,DO29+DN30-DW29)))</f>
        <v>104.95285714285717</v>
      </c>
      <c r="DP30" s="17">
        <f>DO30*VLOOKUP('Données projet'!$B$14,Paramètres!$A$1:$I$89,3,0)*VLOOKUP('Données projet'!$B$14,Paramètres!$A$1:$I$89,5,0)</f>
        <v>112.97125542857145</v>
      </c>
      <c r="DQ30" s="13">
        <f t="shared" si="43"/>
        <v>30.029945908222491</v>
      </c>
      <c r="DR30" s="20">
        <f t="shared" si="16"/>
        <v>249.0604256615828</v>
      </c>
      <c r="DS30" s="59">
        <f t="shared" si="17"/>
        <v>542.39375899491608</v>
      </c>
      <c r="DT30" s="59">
        <f ca="1">AVERAGE(OFFSET($DS$3,0,0,'Données projet'!$E$14+1,1))-AVERAGE(OFFSET($H$3,0,0,'Données projet'!$E$14+1,1))</f>
        <v>531.65020827367698</v>
      </c>
      <c r="DU30" s="59">
        <f t="shared" si="44"/>
        <v>235.89413420278396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16.161599999999996</v>
      </c>
      <c r="D31" s="11">
        <f t="shared" si="32"/>
        <v>5.3872712122842215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166.34216374394836</v>
      </c>
      <c r="H31" s="67">
        <f t="shared" si="1"/>
        <v>330.86428402806166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103.57214400000004</v>
      </c>
      <c r="P31" s="13">
        <f t="shared" si="33"/>
        <v>27.811265433862424</v>
      </c>
      <c r="Q31" s="20">
        <f t="shared" si="2"/>
        <v>228.8261047639771</v>
      </c>
      <c r="R31" s="59">
        <f t="shared" si="0"/>
        <v>522.15943809731039</v>
      </c>
      <c r="S31" s="59">
        <f ca="1">AVERAGE(OFFSET($R$3,0,0,'Données projet'!$E$9+1,1))-AVERAGE(OFFSET($H$3,0,0,'Données projet'!$E$9+1,1))</f>
        <v>457.88065872594228</v>
      </c>
      <c r="T31" s="59">
        <f t="shared" si="34"/>
        <v>204.62439362068329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511.17684458469705</v>
      </c>
      <c r="AN31" s="59">
        <f ca="1">AVERAGE(OFFSET($AM$3,0,0,'Données projet'!$E$10+1,1))-AVERAGE(OFFSET($H$3,0,0,'Données projet'!$E$10+1,1))</f>
        <v>430.16825592717629</v>
      </c>
      <c r="AO31" s="59">
        <f t="shared" si="36"/>
        <v>192.87542067077248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3.8113157894736847</v>
      </c>
      <c r="BD31" s="12">
        <f>IF('Données projet'!$A$88&gt;35,BD30+BC31-BL30,IF(A31&lt;'Données projet'!$A$88,$BA$205^A31,IF(A31='Données projet'!$A$88,'Données projet'!$B$88,BD30+BC31-BL30)))</f>
        <v>106.71684210526311</v>
      </c>
      <c r="BE31" s="13">
        <f>BD31*VLOOKUP('Données projet'!$B$11,Paramètres!$A$1:$I$89,3,0)*VLOOKUP('Données projet'!$B$11,Paramètres!$A$1:$I$89,5,0)</f>
        <v>89.89826778947365</v>
      </c>
      <c r="BF31" s="13">
        <f t="shared" si="37"/>
        <v>24.540688019654006</v>
      </c>
      <c r="BG31" s="20">
        <f t="shared" si="7"/>
        <v>199.31451470089735</v>
      </c>
      <c r="BH31" s="59">
        <f t="shared" si="8"/>
        <v>492.64784803423066</v>
      </c>
      <c r="BI31" s="59">
        <f ca="1">AVERAGE(OFFSET($BH$3,0,0,'Données projet'!$E$11+1,1))-AVERAGE(OFFSET($H$3,0,0,'Données projet'!$E$11+1,1))</f>
        <v>243.94505553629301</v>
      </c>
      <c r="BJ31" s="59">
        <f t="shared" si="38"/>
        <v>173.05364940250229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7.8</v>
      </c>
      <c r="BY31" s="12">
        <f>IF('Données projet'!$A$114&gt;35,BY30+BX31-CG30,IF(A31&lt;'Données projet'!$A$114,$BV$205^A31,IF(A31='Données projet'!$A$114,'Données projet'!$B$114,BY30+BX31-CG30)))</f>
        <v>121.40000000000002</v>
      </c>
      <c r="BZ31" s="13">
        <f>BY31*VLOOKUP('Données projet'!$B$12,Paramètres!$A$1:$I$89,3,0)*VLOOKUP('Données projet'!$B$12,Paramètres!$A$1:$I$89,5,0)</f>
        <v>79.541280000000015</v>
      </c>
      <c r="CA31" s="13">
        <f t="shared" si="39"/>
        <v>22.024987194093406</v>
      </c>
      <c r="CB31" s="20">
        <f t="shared" si="10"/>
        <v>176.89458202971272</v>
      </c>
      <c r="CC31" s="59">
        <f t="shared" si="11"/>
        <v>470.22791536304601</v>
      </c>
      <c r="CD31" s="59">
        <f ca="1">AVERAGE(OFFSET($CC$3,0,0,'Données projet'!$E$12+1,1))-AVERAGE(OFFSET($H$3,0,0,'Données projet'!$E$12+1,1))</f>
        <v>140.9558843244115</v>
      </c>
      <c r="CE31" s="59">
        <f t="shared" si="40"/>
        <v>158.88947216184619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3.887142857142857</v>
      </c>
      <c r="CT31" s="12">
        <f>IF('Données projet'!$A$140&gt;35,CT30+CS31-DB30,IF(A31&lt;'Données projet'!$A$140,$CQ$205^A31,IF(A31='Données projet'!$A$140,'Données projet'!$B$140,CT30+CS31-DB30)))</f>
        <v>108.84000000000003</v>
      </c>
      <c r="CU31" s="17">
        <f>CT31*VLOOKUP('Données projet'!$B$13,Paramètres!$A$1:$I$89,3,0)*VLOOKUP('Données projet'!$B$13,Paramètres!$A$1:$I$89,5,0)</f>
        <v>105.27004800000003</v>
      </c>
      <c r="CV31" s="13">
        <f t="shared" si="41"/>
        <v>28.213736415784727</v>
      </c>
      <c r="CW31" s="20">
        <f t="shared" si="13"/>
        <v>232.48425785749177</v>
      </c>
      <c r="CX31" s="59">
        <f t="shared" si="14"/>
        <v>525.81759119082506</v>
      </c>
      <c r="CY31" s="59">
        <f ca="1">AVERAGE(OFFSET($CX$3,0,0,'Données projet'!$E$13+1,1))-AVERAGE(OFFSET($H$3,0,0,'Données projet'!$E$13+1,1))</f>
        <v>467.11196088914556</v>
      </c>
      <c r="CZ31" s="59">
        <f t="shared" si="42"/>
        <v>208.53783609106262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3.887142857142857</v>
      </c>
      <c r="DO31" s="12">
        <f>IF('Données projet'!$A$166&gt;35,DO30+DN31-DW30,IF(A31&lt;'Données projet'!$A$166,$DL$205^A31,IF(A31='Données projet'!$A$166,'Données projet'!$B$166,DO30+DN31-DW30)))</f>
        <v>108.84000000000003</v>
      </c>
      <c r="DP31" s="17">
        <f>DO31*VLOOKUP('Données projet'!$B$14,Paramètres!$A$1:$I$89,3,0)*VLOOKUP('Données projet'!$B$14,Paramètres!$A$1:$I$89,5,0)</f>
        <v>117.15537600000002</v>
      </c>
      <c r="DQ31" s="13">
        <f t="shared" si="43"/>
        <v>31.010613942449716</v>
      </c>
      <c r="DR31" s="20">
        <f t="shared" si="16"/>
        <v>258.05576581643328</v>
      </c>
      <c r="DS31" s="59">
        <f t="shared" si="17"/>
        <v>551.38909914976659</v>
      </c>
      <c r="DT31" s="59">
        <f ca="1">AVERAGE(OFFSET($DS$3,0,0,'Données projet'!$E$14+1,1))-AVERAGE(OFFSET($H$3,0,0,'Données projet'!$E$14+1,1))</f>
        <v>531.65020827367698</v>
      </c>
      <c r="DU31" s="59">
        <f t="shared" si="44"/>
        <v>235.89413420278396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16.738799999999998</v>
      </c>
      <c r="D32" s="11">
        <f t="shared" si="32"/>
        <v>5.5569293377386115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172.10738436149106</v>
      </c>
      <c r="H32" s="67">
        <f t="shared" si="1"/>
        <v>332.1650619298947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107.27114914285718</v>
      </c>
      <c r="P32" s="13">
        <f t="shared" si="33"/>
        <v>28.687109061200964</v>
      </c>
      <c r="Q32" s="20">
        <f t="shared" si="2"/>
        <v>236.79396637206796</v>
      </c>
      <c r="R32" s="59">
        <f t="shared" si="0"/>
        <v>530.12729970540124</v>
      </c>
      <c r="S32" s="59">
        <f ca="1">AVERAGE(OFFSET($R$3,0,0,'Données projet'!$E$9+1,1))-AVERAGE(OFFSET($H$3,0,0,'Données projet'!$E$9+1,1))</f>
        <v>457.88065872594228</v>
      </c>
      <c r="T32" s="59">
        <f t="shared" si="34"/>
        <v>204.62439362068329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518.76138329139417</v>
      </c>
      <c r="AN32" s="59">
        <f ca="1">AVERAGE(OFFSET($AM$3,0,0,'Données projet'!$E$10+1,1))-AVERAGE(OFFSET($H$3,0,0,'Données projet'!$E$10+1,1))</f>
        <v>430.16825592717629</v>
      </c>
      <c r="AO32" s="59">
        <f t="shared" si="36"/>
        <v>192.87542067077248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3.8113157894736847</v>
      </c>
      <c r="BD32" s="12">
        <f>IF('Données projet'!$A$88&gt;35,BD31+BC32-BL31,IF(A32&lt;'Données projet'!$A$88,$BA$205^A32,IF(A32='Données projet'!$A$88,'Données projet'!$B$88,BD31+BC32-BL31)))</f>
        <v>110.52815789473679</v>
      </c>
      <c r="BE32" s="13">
        <f>BD32*VLOOKUP('Données projet'!$B$11,Paramètres!$A$1:$I$89,3,0)*VLOOKUP('Données projet'!$B$11,Paramètres!$A$1:$I$89,5,0)</f>
        <v>93.108920210526293</v>
      </c>
      <c r="BF32" s="13">
        <f t="shared" si="37"/>
        <v>25.313533299335088</v>
      </c>
      <c r="BG32" s="20">
        <f t="shared" si="7"/>
        <v>206.25243986300856</v>
      </c>
      <c r="BH32" s="59">
        <f t="shared" si="8"/>
        <v>499.58577319634185</v>
      </c>
      <c r="BI32" s="59">
        <f ca="1">AVERAGE(OFFSET($BH$3,0,0,'Données projet'!$E$11+1,1))-AVERAGE(OFFSET($H$3,0,0,'Données projet'!$E$11+1,1))</f>
        <v>243.94505553629301</v>
      </c>
      <c r="BJ32" s="59">
        <f t="shared" si="38"/>
        <v>173.05364940250229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7.8</v>
      </c>
      <c r="BY32" s="12">
        <f>IF('Données projet'!$A$114&gt;35,BY31+BX32-CG31,IF(A32&lt;'Données projet'!$A$114,$BV$205^A32,IF(A32='Données projet'!$A$114,'Données projet'!$B$114,BY31+BX32-CG31)))</f>
        <v>129.20000000000002</v>
      </c>
      <c r="BZ32" s="13">
        <f>BY32*VLOOKUP('Données projet'!$B$12,Paramètres!$A$1:$I$89,3,0)*VLOOKUP('Données projet'!$B$12,Paramètres!$A$1:$I$89,5,0)</f>
        <v>84.651840000000007</v>
      </c>
      <c r="CA32" s="13">
        <f t="shared" si="39"/>
        <v>23.270814809686321</v>
      </c>
      <c r="CB32" s="20">
        <f t="shared" si="10"/>
        <v>187.96529046020365</v>
      </c>
      <c r="CC32" s="59">
        <f t="shared" si="11"/>
        <v>481.29862379353699</v>
      </c>
      <c r="CD32" s="59">
        <f ca="1">AVERAGE(OFFSET($CC$3,0,0,'Données projet'!$E$12+1,1))-AVERAGE(OFFSET($H$3,0,0,'Données projet'!$E$12+1,1))</f>
        <v>140.9558843244115</v>
      </c>
      <c r="CE32" s="59">
        <f t="shared" si="40"/>
        <v>158.88947216184619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3.887142857142857</v>
      </c>
      <c r="CT32" s="12">
        <f>IF('Données projet'!$A$140&gt;35,CT31+CS32-DB31,IF(A32&lt;'Données projet'!$A$140,$CQ$205^A32,IF(A32='Données projet'!$A$140,'Données projet'!$B$140,CT31+CS32-DB31)))</f>
        <v>112.72714285714289</v>
      </c>
      <c r="CU32" s="17">
        <f>CT32*VLOOKUP('Données projet'!$B$13,Paramètres!$A$1:$I$89,3,0)*VLOOKUP('Données projet'!$B$13,Paramètres!$A$1:$I$89,5,0)</f>
        <v>109.02969257142863</v>
      </c>
      <c r="CV32" s="13">
        <f t="shared" si="41"/>
        <v>29.102254822181546</v>
      </c>
      <c r="CW32" s="20">
        <f t="shared" si="13"/>
        <v>240.57980837720436</v>
      </c>
      <c r="CX32" s="59">
        <f t="shared" si="14"/>
        <v>533.91314171053773</v>
      </c>
      <c r="CY32" s="59">
        <f ca="1">AVERAGE(OFFSET($CX$3,0,0,'Données projet'!$E$13+1,1))-AVERAGE(OFFSET($H$3,0,0,'Données projet'!$E$13+1,1))</f>
        <v>467.11196088914556</v>
      </c>
      <c r="CZ32" s="59">
        <f t="shared" si="42"/>
        <v>208.53783609106262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3.887142857142857</v>
      </c>
      <c r="DO32" s="12">
        <f>IF('Données projet'!$A$166&gt;35,DO31+DN32-DW31,IF(A32&lt;'Données projet'!$A$166,$DL$205^A32,IF(A32='Données projet'!$A$166,'Données projet'!$B$166,DO31+DN32-DW31)))</f>
        <v>112.72714285714289</v>
      </c>
      <c r="DP32" s="17">
        <f>DO32*VLOOKUP('Données projet'!$B$14,Paramètres!$A$1:$I$89,3,0)*VLOOKUP('Données projet'!$B$14,Paramètres!$A$1:$I$89,5,0)</f>
        <v>121.3394965714286</v>
      </c>
      <c r="DQ32" s="13">
        <f t="shared" si="43"/>
        <v>31.987212747920864</v>
      </c>
      <c r="DR32" s="20">
        <f t="shared" si="16"/>
        <v>267.04401873120031</v>
      </c>
      <c r="DS32" s="59">
        <f t="shared" si="17"/>
        <v>560.37735206453362</v>
      </c>
      <c r="DT32" s="59">
        <f ca="1">AVERAGE(OFFSET($DS$3,0,0,'Données projet'!$E$14+1,1))-AVERAGE(OFFSET($H$3,0,0,'Données projet'!$E$14+1,1))</f>
        <v>531.65020827367698</v>
      </c>
      <c r="DU32" s="59">
        <f t="shared" si="44"/>
        <v>235.89413420278396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33" s="11">
        <f t="shared" si="32"/>
        <v>5.7259077130880893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177.86735778524135</v>
      </c>
      <c r="H33" s="67">
        <f t="shared" si="1"/>
        <v>333.46465593362842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110.97015428571433</v>
      </c>
      <c r="P33" s="13">
        <f t="shared" si="33"/>
        <v>29.559443544512504</v>
      </c>
      <c r="Q33" s="20">
        <f t="shared" si="2"/>
        <v>244.75571622097837</v>
      </c>
      <c r="R33" s="59">
        <f t="shared" si="0"/>
        <v>538.08904955431171</v>
      </c>
      <c r="S33" s="59">
        <f ca="1">AVERAGE(OFFSET($R$3,0,0,'Données projet'!$E$9+1,1))-AVERAGE(OFFSET($H$3,0,0,'Données projet'!$E$9+1,1))</f>
        <v>457.88065872594228</v>
      </c>
      <c r="T33" s="59">
        <f t="shared" si="34"/>
        <v>204.62439362068329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526.34007660440091</v>
      </c>
      <c r="AN33" s="59">
        <f ca="1">AVERAGE(OFFSET($AM$3,0,0,'Données projet'!$E$10+1,1))-AVERAGE(OFFSET($H$3,0,0,'Données projet'!$E$10+1,1))</f>
        <v>430.16825592717629</v>
      </c>
      <c r="AO33" s="59">
        <f t="shared" si="36"/>
        <v>192.87542067077248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3.8113157894736847</v>
      </c>
      <c r="BD33" s="12">
        <f>IF('Données projet'!$A$88&gt;35,BD32+BC33-BL32,IF(A33&lt;'Données projet'!$A$88,$BA$205^A33,IF(A33='Données projet'!$A$88,'Données projet'!$B$88,BD32+BC33-BL32)))</f>
        <v>114.33947368421047</v>
      </c>
      <c r="BE33" s="13">
        <f>BD33*VLOOKUP('Données projet'!$B$11,Paramètres!$A$1:$I$89,3,0)*VLOOKUP('Données projet'!$B$11,Paramètres!$A$1:$I$89,5,0)</f>
        <v>96.319572631578922</v>
      </c>
      <c r="BF33" s="13">
        <f t="shared" si="37"/>
        <v>26.083282106869351</v>
      </c>
      <c r="BG33" s="20">
        <f t="shared" si="7"/>
        <v>213.18497200279739</v>
      </c>
      <c r="BH33" s="59">
        <f t="shared" si="8"/>
        <v>506.51830533613071</v>
      </c>
      <c r="BI33" s="59">
        <f ca="1">AVERAGE(OFFSET($BH$3,0,0,'Données projet'!$E$11+1,1))-AVERAGE(OFFSET($H$3,0,0,'Données projet'!$E$11+1,1))</f>
        <v>243.94505553629301</v>
      </c>
      <c r="BJ33" s="59">
        <f t="shared" si="38"/>
        <v>173.05364940250229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137</v>
      </c>
      <c r="BW33" s="12">
        <f>VLOOKUP(A33,'Données projet'!$A$113:$I$133,9,0)</f>
        <v>7.8</v>
      </c>
      <c r="BX33" s="12">
        <f t="array" ref="BX33">INDEX(BW:BW,MIN(IF(ISNUMBER(BW33:BW229),ROW(BW33:BW229),"")))</f>
        <v>7.8</v>
      </c>
      <c r="BY33" s="12">
        <f>IF('Données projet'!$A$114&gt;35,BY32+BX33-CG32,IF(A33&lt;'Données projet'!$A$114,$BV$205^A33,IF(A33='Données projet'!$A$114,'Données projet'!$B$114,BY32+BX33-CG32)))</f>
        <v>137.00000000000003</v>
      </c>
      <c r="BZ33" s="13">
        <f>BY33*VLOOKUP('Données projet'!$B$12,Paramètres!$A$1:$I$89,3,0)*VLOOKUP('Données projet'!$B$12,Paramètres!$A$1:$I$89,5,0)</f>
        <v>89.762400000000028</v>
      </c>
      <c r="CA33" s="13">
        <f t="shared" si="39"/>
        <v>24.507912782090678</v>
      </c>
      <c r="CB33" s="20">
        <f t="shared" si="10"/>
        <v>199.02079476214132</v>
      </c>
      <c r="CC33" s="59">
        <f t="shared" si="11"/>
        <v>492.35412809547461</v>
      </c>
      <c r="CD33" s="59">
        <f ca="1">AVERAGE(OFFSET($CC$3,0,0,'Données projet'!$E$12+1,1))-AVERAGE(OFFSET($H$3,0,0,'Données projet'!$E$12+1,1))</f>
        <v>140.9558843244115</v>
      </c>
      <c r="CE33" s="59">
        <f t="shared" si="40"/>
        <v>158.88947216184619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3.887142857142857</v>
      </c>
      <c r="CT33" s="12">
        <f>IF('Données projet'!$A$140&gt;35,CT32+CS33-DB32,IF(A33&lt;'Données projet'!$A$140,$CQ$205^A33,IF(A33='Données projet'!$A$140,'Données projet'!$B$140,CT32+CS33-DB32)))</f>
        <v>116.61428571428576</v>
      </c>
      <c r="CU33" s="17">
        <f>CT33*VLOOKUP('Données projet'!$B$13,Paramètres!$A$1:$I$89,3,0)*VLOOKUP('Données projet'!$B$13,Paramètres!$A$1:$I$89,5,0)</f>
        <v>112.78933714285719</v>
      </c>
      <c r="CV33" s="13">
        <f t="shared" si="41"/>
        <v>29.987213301941502</v>
      </c>
      <c r="CW33" s="20">
        <f t="shared" si="13"/>
        <v>248.66915869135769</v>
      </c>
      <c r="CX33" s="59">
        <f t="shared" si="14"/>
        <v>542.00249202469104</v>
      </c>
      <c r="CY33" s="59">
        <f ca="1">AVERAGE(OFFSET($CX$3,0,0,'Données projet'!$E$13+1,1))-AVERAGE(OFFSET($H$3,0,0,'Données projet'!$E$13+1,1))</f>
        <v>467.11196088914556</v>
      </c>
      <c r="CZ33" s="59">
        <f t="shared" si="42"/>
        <v>208.53783609106262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3.887142857142857</v>
      </c>
      <c r="DO33" s="12">
        <f>IF('Données projet'!$A$166&gt;35,DO32+DN33-DW32,IF(A33&lt;'Données projet'!$A$166,$DL$205^A33,IF(A33='Données projet'!$A$166,'Données projet'!$B$166,DO32+DN33-DW32)))</f>
        <v>116.61428571428576</v>
      </c>
      <c r="DP33" s="17">
        <f>DO33*VLOOKUP('Données projet'!$B$14,Paramètres!$A$1:$I$89,3,0)*VLOOKUP('Données projet'!$B$14,Paramètres!$A$1:$I$89,5,0)</f>
        <v>125.52361714285718</v>
      </c>
      <c r="DQ33" s="13">
        <f t="shared" si="43"/>
        <v>32.959898724939478</v>
      </c>
      <c r="DR33" s="20">
        <f t="shared" si="16"/>
        <v>276.02545680307912</v>
      </c>
      <c r="DS33" s="59">
        <f t="shared" si="17"/>
        <v>569.35879013641238</v>
      </c>
      <c r="DT33" s="59">
        <f ca="1">AVERAGE(OFFSET($DS$3,0,0,'Données projet'!$E$14+1,1))-AVERAGE(OFFSET($H$3,0,0,'Données projet'!$E$14+1,1))</f>
        <v>531.65020827367698</v>
      </c>
      <c r="DU33" s="59">
        <f t="shared" si="44"/>
        <v>235.89413420278396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</v>
      </c>
      <c r="D34" s="11">
        <f t="shared" si="32"/>
        <v>5.8942315945894066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183.6222789757779</v>
      </c>
      <c r="H34" s="67">
        <f t="shared" si="1"/>
        <v>334.76311002724321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114.66915942857148</v>
      </c>
      <c r="P34" s="13">
        <f t="shared" si="33"/>
        <v>30.42839926677442</v>
      </c>
      <c r="Q34" s="20">
        <f t="shared" si="2"/>
        <v>252.71158139439407</v>
      </c>
      <c r="R34" s="59">
        <f t="shared" si="0"/>
        <v>546.04491472772736</v>
      </c>
      <c r="S34" s="59">
        <f ca="1">AVERAGE(OFFSET($R$3,0,0,'Données projet'!$E$9+1,1))-AVERAGE(OFFSET($H$3,0,0,'Données projet'!$E$9+1,1))</f>
        <v>457.88065872594228</v>
      </c>
      <c r="T34" s="59">
        <f t="shared" si="34"/>
        <v>204.62439362068329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533.91314171053773</v>
      </c>
      <c r="AN34" s="59">
        <f ca="1">AVERAGE(OFFSET($AM$3,0,0,'Données projet'!$E$10+1,1))-AVERAGE(OFFSET($H$3,0,0,'Données projet'!$E$10+1,1))</f>
        <v>430.16825592717629</v>
      </c>
      <c r="AO34" s="59">
        <f t="shared" si="36"/>
        <v>192.87542067077248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3.8113157894736847</v>
      </c>
      <c r="BD34" s="12">
        <f>IF('Données projet'!$A$88&gt;35,BD33+BC34-BL33,IF(A34&lt;'Données projet'!$A$88,$BA$205^A34,IF(A34='Données projet'!$A$88,'Données projet'!$B$88,BD33+BC34-BL33)))</f>
        <v>118.15078947368416</v>
      </c>
      <c r="BE34" s="13">
        <f>BD34*VLOOKUP('Données projet'!$B$11,Paramètres!$A$1:$I$89,3,0)*VLOOKUP('Données projet'!$B$11,Paramètres!$A$1:$I$89,5,0)</f>
        <v>99.53022505263155</v>
      </c>
      <c r="BF34" s="13">
        <f t="shared" si="37"/>
        <v>26.850049492324516</v>
      </c>
      <c r="BG34" s="20">
        <f t="shared" si="7"/>
        <v>220.11231149913181</v>
      </c>
      <c r="BH34" s="59">
        <f t="shared" si="8"/>
        <v>513.44564483246518</v>
      </c>
      <c r="BI34" s="59">
        <f ca="1">AVERAGE(OFFSET($BH$3,0,0,'Données projet'!$E$11+1,1))-AVERAGE(OFFSET($H$3,0,0,'Données projet'!$E$11+1,1))</f>
        <v>243.94505553629301</v>
      </c>
      <c r="BJ34" s="59">
        <f t="shared" si="38"/>
        <v>173.05364940250229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124.20000000000002</v>
      </c>
      <c r="BZ34" s="13">
        <f>BY34*VLOOKUP('Données projet'!$B$12,Paramètres!$A$1:$I$89,3,0)*VLOOKUP('Données projet'!$B$12,Paramètres!$A$1:$I$89,5,0)</f>
        <v>81.375840000000011</v>
      </c>
      <c r="CA34" s="13">
        <f t="shared" si="39"/>
        <v>22.473249586041131</v>
      </c>
      <c r="CB34" s="20">
        <f t="shared" si="10"/>
        <v>180.87049769568833</v>
      </c>
      <c r="CC34" s="59">
        <f t="shared" si="11"/>
        <v>474.20383102902167</v>
      </c>
      <c r="CD34" s="59">
        <f ca="1">AVERAGE(OFFSET($CC$3,0,0,'Données projet'!$E$12+1,1))-AVERAGE(OFFSET($H$3,0,0,'Données projet'!$E$12+1,1))</f>
        <v>140.9558843244115</v>
      </c>
      <c r="CE34" s="59">
        <f t="shared" si="40"/>
        <v>158.88947216184619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3.887142857142857</v>
      </c>
      <c r="CT34" s="12">
        <f>IF('Données projet'!$A$140&gt;35,CT33+CS34-DB33,IF(A34&lt;'Données projet'!$A$140,$CQ$205^A34,IF(A34='Données projet'!$A$140,'Données projet'!$B$140,CT33+CS34-DB33)))</f>
        <v>120.50142857142862</v>
      </c>
      <c r="CU34" s="17">
        <f>CT34*VLOOKUP('Données projet'!$B$13,Paramètres!$A$1:$I$89,3,0)*VLOOKUP('Données projet'!$B$13,Paramètres!$A$1:$I$89,5,0)</f>
        <v>116.54898171428576</v>
      </c>
      <c r="CV34" s="13">
        <f t="shared" si="41"/>
        <v>30.868744124880426</v>
      </c>
      <c r="CW34" s="20">
        <f t="shared" si="13"/>
        <v>256.75253916988112</v>
      </c>
      <c r="CX34" s="59">
        <f t="shared" si="14"/>
        <v>550.08587250321443</v>
      </c>
      <c r="CY34" s="59">
        <f ca="1">AVERAGE(OFFSET($CX$3,0,0,'Données projet'!$E$13+1,1))-AVERAGE(OFFSET($H$3,0,0,'Données projet'!$E$13+1,1))</f>
        <v>467.11196088914556</v>
      </c>
      <c r="CZ34" s="59">
        <f t="shared" si="42"/>
        <v>208.53783609106262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3.887142857142857</v>
      </c>
      <c r="DO34" s="12">
        <f>IF('Données projet'!$A$166&gt;35,DO33+DN34-DW33,IF(A34&lt;'Données projet'!$A$166,$DL$205^A34,IF(A34='Données projet'!$A$166,'Données projet'!$B$166,DO33+DN34-DW33)))</f>
        <v>120.50142857142862</v>
      </c>
      <c r="DP34" s="17">
        <f>DO34*VLOOKUP('Données projet'!$B$14,Paramètres!$A$1:$I$89,3,0)*VLOOKUP('Données projet'!$B$14,Paramètres!$A$1:$I$89,5,0)</f>
        <v>129.70773771428577</v>
      </c>
      <c r="DQ34" s="13">
        <f t="shared" si="43"/>
        <v>33.928817255461865</v>
      </c>
      <c r="DR34" s="20">
        <f t="shared" si="16"/>
        <v>285.00033323897713</v>
      </c>
      <c r="DS34" s="59">
        <f t="shared" si="17"/>
        <v>578.33366657231045</v>
      </c>
      <c r="DT34" s="59">
        <f ca="1">AVERAGE(OFFSET($DS$3,0,0,'Données projet'!$E$14+1,1))-AVERAGE(OFFSET($H$3,0,0,'Données projet'!$E$14+1,1))</f>
        <v>531.65020827367698</v>
      </c>
      <c r="DU34" s="59">
        <f t="shared" si="44"/>
        <v>235.89413420278396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18.470400000000001</v>
      </c>
      <c r="D35" s="11">
        <f t="shared" si="32"/>
        <v>6.0619245165562869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189.37232960148711</v>
      </c>
      <c r="H35" s="67">
        <f t="shared" si="1"/>
        <v>336.06046519966884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118.36816457142861</v>
      </c>
      <c r="P35" s="13">
        <f t="shared" si="33"/>
        <v>31.294097721600011</v>
      </c>
      <c r="Q35" s="20">
        <f t="shared" ref="Q35:Q66" si="53">(O35+P35)*0.475*44/12</f>
        <v>260.6617734936915</v>
      </c>
      <c r="R35" s="59">
        <f t="shared" si="0"/>
        <v>553.99510682702476</v>
      </c>
      <c r="S35" s="59">
        <f ca="1">AVERAGE(OFFSET($R$3,0,0,'Données projet'!$E$9+1,1))-AVERAGE(OFFSET($H$3,0,0,'Données projet'!$E$9+1,1))</f>
        <v>457.88065872594228</v>
      </c>
      <c r="T35" s="59">
        <f t="shared" si="34"/>
        <v>204.62439362068329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541.48078098907297</v>
      </c>
      <c r="AN35" s="59">
        <f ca="1">AVERAGE(OFFSET($AM$3,0,0,'Données projet'!$E$10+1,1))-AVERAGE(OFFSET($H$3,0,0,'Données projet'!$E$10+1,1))</f>
        <v>430.16825592717629</v>
      </c>
      <c r="AO35" s="59">
        <f t="shared" si="36"/>
        <v>192.87542067077248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3.8113157894736847</v>
      </c>
      <c r="BD35" s="12">
        <f>IF('Données projet'!$A$88&gt;35,BD34+BC35-BL34,IF(A35&lt;'Données projet'!$A$88,$BA$205^A35,IF(A35='Données projet'!$A$88,'Données projet'!$B$88,BD34+BC35-BL34)))</f>
        <v>121.96210526315784</v>
      </c>
      <c r="BE35" s="13">
        <f>BD35*VLOOKUP('Données projet'!$B$11,Paramètres!$A$1:$I$89,3,0)*VLOOKUP('Données projet'!$B$11,Paramètres!$A$1:$I$89,5,0)</f>
        <v>102.74087747368418</v>
      </c>
      <c r="BF35" s="13">
        <f t="shared" si="37"/>
        <v>27.613942661784687</v>
      </c>
      <c r="BG35" s="20">
        <f t="shared" si="7"/>
        <v>227.03464506927492</v>
      </c>
      <c r="BH35" s="59">
        <f t="shared" si="8"/>
        <v>520.36797840260829</v>
      </c>
      <c r="BI35" s="59">
        <f ca="1">AVERAGE(OFFSET($BH$3,0,0,'Données projet'!$E$11+1,1))-AVERAGE(OFFSET($H$3,0,0,'Données projet'!$E$11+1,1))</f>
        <v>243.94505553629301</v>
      </c>
      <c r="BJ35" s="59">
        <f t="shared" si="38"/>
        <v>173.05364940250229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131.4</v>
      </c>
      <c r="BZ35" s="13">
        <f>BY35*VLOOKUP('Données projet'!$B$12,Paramètres!$A$1:$I$89,3,0)*VLOOKUP('Données projet'!$B$12,Paramètres!$A$1:$I$89,5,0)</f>
        <v>86.093280000000007</v>
      </c>
      <c r="CA35" s="13">
        <f t="shared" si="39"/>
        <v>23.620598504835936</v>
      </c>
      <c r="CB35" s="20">
        <f t="shared" si="10"/>
        <v>191.08500506258926</v>
      </c>
      <c r="CC35" s="59">
        <f t="shared" si="11"/>
        <v>484.41833839592255</v>
      </c>
      <c r="CD35" s="59">
        <f ca="1">AVERAGE(OFFSET($CC$3,0,0,'Données projet'!$E$12+1,1))-AVERAGE(OFFSET($H$3,0,0,'Données projet'!$E$12+1,1))</f>
        <v>140.9558843244115</v>
      </c>
      <c r="CE35" s="59">
        <f t="shared" si="40"/>
        <v>158.88947216184619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3.887142857142857</v>
      </c>
      <c r="CT35" s="12">
        <f>IF('Données projet'!$A$140&gt;35,CT34+CS35-DB34,IF(A35&lt;'Données projet'!$A$140,$CQ$205^A35,IF(A35='Données projet'!$A$140,'Données projet'!$B$140,CT34+CS35-DB34)))</f>
        <v>124.38857142857148</v>
      </c>
      <c r="CU35" s="17">
        <f>CT35*VLOOKUP('Données projet'!$B$13,Paramètres!$A$1:$I$89,3,0)*VLOOKUP('Données projet'!$B$13,Paramètres!$A$1:$I$89,5,0)</f>
        <v>120.30862628571434</v>
      </c>
      <c r="CV35" s="13">
        <f t="shared" si="41"/>
        <v>31.746970542807571</v>
      </c>
      <c r="CW35" s="20">
        <f t="shared" si="13"/>
        <v>264.8301644763423</v>
      </c>
      <c r="CX35" s="59">
        <f t="shared" si="14"/>
        <v>558.16349780967562</v>
      </c>
      <c r="CY35" s="59">
        <f ca="1">AVERAGE(OFFSET($CX$3,0,0,'Données projet'!$E$13+1,1))-AVERAGE(OFFSET($H$3,0,0,'Données projet'!$E$13+1,1))</f>
        <v>467.11196088914556</v>
      </c>
      <c r="CZ35" s="59">
        <f t="shared" si="42"/>
        <v>208.53783609106262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3.887142857142857</v>
      </c>
      <c r="DO35" s="12">
        <f>IF('Données projet'!$A$166&gt;35,DO34+DN35-DW34,IF(A35&lt;'Données projet'!$A$166,$DL$205^A35,IF(A35='Données projet'!$A$166,'Données projet'!$B$166,DO34+DN35-DW34)))</f>
        <v>124.38857142857148</v>
      </c>
      <c r="DP35" s="17">
        <f>DO35*VLOOKUP('Données projet'!$B$14,Paramètres!$A$1:$I$89,3,0)*VLOOKUP('Données projet'!$B$14,Paramètres!$A$1:$I$89,5,0)</f>
        <v>133.89185828571433</v>
      </c>
      <c r="DQ35" s="13">
        <f t="shared" si="43"/>
        <v>34.89410380946687</v>
      </c>
      <c r="DR35" s="20">
        <f t="shared" si="16"/>
        <v>293.96888398244056</v>
      </c>
      <c r="DS35" s="59">
        <f t="shared" si="17"/>
        <v>587.30221731577387</v>
      </c>
      <c r="DT35" s="59">
        <f ca="1">AVERAGE(OFFSET($DS$3,0,0,'Données projet'!$E$14+1,1))-AVERAGE(OFFSET($H$3,0,0,'Données projet'!$E$14+1,1))</f>
        <v>531.65020827367698</v>
      </c>
      <c r="DU35" s="59">
        <f t="shared" si="44"/>
        <v>235.89413420278396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36" s="11">
        <f t="shared" si="32"/>
        <v>6.2290084588615819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195.11767933156315</v>
      </c>
      <c r="H36" s="67">
        <f t="shared" si="1"/>
        <v>337.35675973251722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122.06716971428578</v>
      </c>
      <c r="P36" s="13">
        <f t="shared" si="33"/>
        <v>32.156652377952369</v>
      </c>
      <c r="Q36" s="20">
        <f t="shared" si="53"/>
        <v>268.60649014398143</v>
      </c>
      <c r="R36" s="59">
        <f t="shared" si="0"/>
        <v>561.9398234773148</v>
      </c>
      <c r="S36" s="59">
        <f ca="1">AVERAGE(OFFSET($R$3,0,0,'Données projet'!$E$9+1,1))-AVERAGE(OFFSET($H$3,0,0,'Données projet'!$E$9+1,1))</f>
        <v>457.88065872594228</v>
      </c>
      <c r="T36" s="59">
        <f t="shared" si="34"/>
        <v>204.62439362068329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549.04318345212914</v>
      </c>
      <c r="AN36" s="59">
        <f ca="1">AVERAGE(OFFSET($AM$3,0,0,'Données projet'!$E$10+1,1))-AVERAGE(OFFSET($H$3,0,0,'Données projet'!$E$10+1,1))</f>
        <v>430.16825592717629</v>
      </c>
      <c r="AO36" s="59">
        <f t="shared" si="36"/>
        <v>192.87542067077248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3.8113157894736847</v>
      </c>
      <c r="BD36" s="12">
        <f>IF('Données projet'!$A$88&gt;35,BD35+BC36-BL35,IF(A36&lt;'Données projet'!$A$88,$BA$205^A36,IF(A36='Données projet'!$A$88,'Données projet'!$B$88,BD35+BC36-BL35)))</f>
        <v>125.77342105263152</v>
      </c>
      <c r="BE36" s="13">
        <f>BD36*VLOOKUP('Données projet'!$B$11,Paramètres!$A$1:$I$89,3,0)*VLOOKUP('Données projet'!$B$11,Paramètres!$A$1:$I$89,5,0)</f>
        <v>105.95152989473681</v>
      </c>
      <c r="BF36" s="13">
        <f t="shared" si="37"/>
        <v>28.375061740374683</v>
      </c>
      <c r="BG36" s="20">
        <f t="shared" si="7"/>
        <v>233.95214709781916</v>
      </c>
      <c r="BH36" s="59">
        <f t="shared" si="8"/>
        <v>527.28548043115245</v>
      </c>
      <c r="BI36" s="59">
        <f ca="1">AVERAGE(OFFSET($BH$3,0,0,'Données projet'!$E$11+1,1))-AVERAGE(OFFSET($H$3,0,0,'Données projet'!$E$11+1,1))</f>
        <v>243.94505553629301</v>
      </c>
      <c r="BJ36" s="59">
        <f t="shared" si="38"/>
        <v>173.05364940250229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138.6</v>
      </c>
      <c r="BZ36" s="13">
        <f>BY36*VLOOKUP('Données projet'!$B$12,Paramètres!$A$1:$I$89,3,0)*VLOOKUP('Données projet'!$B$12,Paramètres!$A$1:$I$89,5,0)</f>
        <v>90.810720000000003</v>
      </c>
      <c r="CA36" s="13">
        <f t="shared" si="39"/>
        <v>24.760648970178448</v>
      </c>
      <c r="CB36" s="20">
        <f t="shared" si="10"/>
        <v>201.28680095639413</v>
      </c>
      <c r="CC36" s="59">
        <f t="shared" si="11"/>
        <v>494.62013428972745</v>
      </c>
      <c r="CD36" s="59">
        <f ca="1">AVERAGE(OFFSET($CC$3,0,0,'Données projet'!$E$12+1,1))-AVERAGE(OFFSET($H$3,0,0,'Données projet'!$E$12+1,1))</f>
        <v>140.9558843244115</v>
      </c>
      <c r="CE36" s="59">
        <f t="shared" si="40"/>
        <v>158.88947216184619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3.887142857142857</v>
      </c>
      <c r="CT36" s="12">
        <f>IF('Données projet'!$A$140&gt;35,CT35+CS36-DB35,IF(A36&lt;'Données projet'!$A$140,$CQ$205^A36,IF(A36='Données projet'!$A$140,'Données projet'!$B$140,CT35+CS36-DB35)))</f>
        <v>128.27571428571434</v>
      </c>
      <c r="CU36" s="17">
        <f>CT36*VLOOKUP('Données projet'!$B$13,Paramètres!$A$1:$I$89,3,0)*VLOOKUP('Données projet'!$B$13,Paramètres!$A$1:$I$89,5,0)</f>
        <v>124.06827085714291</v>
      </c>
      <c r="CV36" s="13">
        <f t="shared" si="41"/>
        <v>32.622007666753092</v>
      </c>
      <c r="CW36" s="20">
        <f t="shared" si="13"/>
        <v>272.9022350957855</v>
      </c>
      <c r="CX36" s="59">
        <f t="shared" si="14"/>
        <v>566.23556842911876</v>
      </c>
      <c r="CY36" s="59">
        <f ca="1">AVERAGE(OFFSET($CX$3,0,0,'Données projet'!$E$13+1,1))-AVERAGE(OFFSET($H$3,0,0,'Données projet'!$E$13+1,1))</f>
        <v>467.11196088914556</v>
      </c>
      <c r="CZ36" s="59">
        <f t="shared" si="42"/>
        <v>208.53783609106262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3.887142857142857</v>
      </c>
      <c r="DO36" s="12">
        <f>IF('Données projet'!$A$166&gt;35,DO35+DN36-DW35,IF(A36&lt;'Données projet'!$A$166,$DL$205^A36,IF(A36='Données projet'!$A$166,'Données projet'!$B$166,DO35+DN36-DW35)))</f>
        <v>128.27571428571434</v>
      </c>
      <c r="DP36" s="17">
        <f>DO36*VLOOKUP('Données projet'!$B$14,Paramètres!$A$1:$I$89,3,0)*VLOOKUP('Données projet'!$B$14,Paramètres!$A$1:$I$89,5,0)</f>
        <v>138.0759788571429</v>
      </c>
      <c r="DQ36" s="13">
        <f t="shared" si="43"/>
        <v>35.855884909144457</v>
      </c>
      <c r="DR36" s="20">
        <f t="shared" si="16"/>
        <v>302.93132939295043</v>
      </c>
      <c r="DS36" s="59">
        <f t="shared" si="17"/>
        <v>596.26466272628375</v>
      </c>
      <c r="DT36" s="59">
        <f ca="1">AVERAGE(OFFSET($DS$3,0,0,'Données projet'!$E$14+1,1))-AVERAGE(OFFSET($H$3,0,0,'Données projet'!$E$14+1,1))</f>
        <v>531.65020827367698</v>
      </c>
      <c r="DU36" s="59">
        <f t="shared" si="44"/>
        <v>235.89413420278396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19.624800000000004</v>
      </c>
      <c r="D37" s="11">
        <f t="shared" si="32"/>
        <v>6.3955039935657112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200.85848696787571</v>
      </c>
      <c r="H37" s="67">
        <f t="shared" si="1"/>
        <v>338.65202945546025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125.76617485714293</v>
      </c>
      <c r="P37" s="13">
        <f t="shared" si="33"/>
        <v>33.016169437099272</v>
      </c>
      <c r="Q37" s="20">
        <f t="shared" si="53"/>
        <v>276.54591631247177</v>
      </c>
      <c r="R37" s="59">
        <f t="shared" si="0"/>
        <v>569.87924964580509</v>
      </c>
      <c r="S37" s="59">
        <f ca="1">AVERAGE(OFFSET($R$3,0,0,'Données projet'!$E$9+1,1))-AVERAGE(OFFSET($H$3,0,0,'Données projet'!$E$9+1,1))</f>
        <v>457.88065872594228</v>
      </c>
      <c r="T37" s="59">
        <f t="shared" si="34"/>
        <v>204.62439362068329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556.60052600558856</v>
      </c>
      <c r="AN37" s="59">
        <f ca="1">AVERAGE(OFFSET($AM$3,0,0,'Données projet'!$E$10+1,1))-AVERAGE(OFFSET($H$3,0,0,'Données projet'!$E$10+1,1))</f>
        <v>430.16825592717629</v>
      </c>
      <c r="AO37" s="59">
        <f t="shared" si="36"/>
        <v>192.87542067077248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3.8113157894736847</v>
      </c>
      <c r="BD37" s="12">
        <f>IF('Données projet'!$A$88&gt;35,BD36+BC37-BL36,IF(A37&lt;'Données projet'!$A$88,$BA$205^A37,IF(A37='Données projet'!$A$88,'Données projet'!$B$88,BD36+BC37-BL36)))</f>
        <v>129.5847368421052</v>
      </c>
      <c r="BE37" s="13">
        <f>BD37*VLOOKUP('Données projet'!$B$11,Paramètres!$A$1:$I$89,3,0)*VLOOKUP('Données projet'!$B$11,Paramètres!$A$1:$I$89,5,0)</f>
        <v>109.16218231578944</v>
      </c>
      <c r="BF37" s="13">
        <f t="shared" si="37"/>
        <v>29.133500440197817</v>
      </c>
      <c r="BG37" s="20">
        <f t="shared" si="7"/>
        <v>240.86498080001115</v>
      </c>
      <c r="BH37" s="59">
        <f t="shared" si="8"/>
        <v>534.19831413334441</v>
      </c>
      <c r="BI37" s="59">
        <f ca="1">AVERAGE(OFFSET($BH$3,0,0,'Données projet'!$E$11+1,1))-AVERAGE(OFFSET($H$3,0,0,'Données projet'!$E$11+1,1))</f>
        <v>243.94505553629301</v>
      </c>
      <c r="BJ37" s="59">
        <f t="shared" si="38"/>
        <v>173.05364940250229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145.79999999999998</v>
      </c>
      <c r="BZ37" s="13">
        <f>BY37*VLOOKUP('Données projet'!$B$12,Paramètres!$A$1:$I$89,3,0)*VLOOKUP('Données projet'!$B$12,Paramètres!$A$1:$I$89,5,0)</f>
        <v>95.528159999999986</v>
      </c>
      <c r="CA37" s="13">
        <f t="shared" si="39"/>
        <v>25.893823366813653</v>
      </c>
      <c r="CB37" s="20">
        <f t="shared" si="10"/>
        <v>211.47662103053372</v>
      </c>
      <c r="CC37" s="59">
        <f t="shared" si="11"/>
        <v>504.80995436386706</v>
      </c>
      <c r="CD37" s="59">
        <f ca="1">AVERAGE(OFFSET($CC$3,0,0,'Données projet'!$E$12+1,1))-AVERAGE(OFFSET($H$3,0,0,'Données projet'!$E$12+1,1))</f>
        <v>140.9558843244115</v>
      </c>
      <c r="CE37" s="59">
        <f t="shared" si="40"/>
        <v>158.88947216184619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3.887142857142857</v>
      </c>
      <c r="CT37" s="12">
        <f>IF('Données projet'!$A$140&gt;35,CT36+CS37-DB36,IF(A37&lt;'Données projet'!$A$140,$CQ$205^A37,IF(A37='Données projet'!$A$140,'Données projet'!$B$140,CT36+CS37-DB36)))</f>
        <v>132.16285714285721</v>
      </c>
      <c r="CU37" s="17">
        <f>CT37*VLOOKUP('Données projet'!$B$13,Paramètres!$A$1:$I$89,3,0)*VLOOKUP('Données projet'!$B$13,Paramètres!$A$1:$I$89,5,0)</f>
        <v>127.8279154285715</v>
      </c>
      <c r="CV37" s="13">
        <f t="shared" si="41"/>
        <v>33.493963234877462</v>
      </c>
      <c r="CW37" s="20">
        <f t="shared" si="13"/>
        <v>280.96893867217358</v>
      </c>
      <c r="CX37" s="59">
        <f t="shared" si="14"/>
        <v>574.30227200550689</v>
      </c>
      <c r="CY37" s="59">
        <f ca="1">AVERAGE(OFFSET($CX$3,0,0,'Données projet'!$E$13+1,1))-AVERAGE(OFFSET($H$3,0,0,'Données projet'!$E$13+1,1))</f>
        <v>467.11196088914556</v>
      </c>
      <c r="CZ37" s="59">
        <f t="shared" si="42"/>
        <v>208.53783609106262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3.887142857142857</v>
      </c>
      <c r="DO37" s="12">
        <f>IF('Données projet'!$A$166&gt;35,DO36+DN37-DW36,IF(A37&lt;'Données projet'!$A$166,$DL$205^A37,IF(A37='Données projet'!$A$166,'Données projet'!$B$166,DO36+DN37-DW36)))</f>
        <v>132.16285714285721</v>
      </c>
      <c r="DP37" s="17">
        <f>DO37*VLOOKUP('Données projet'!$B$14,Paramètres!$A$1:$I$89,3,0)*VLOOKUP('Données projet'!$B$14,Paramètres!$A$1:$I$89,5,0)</f>
        <v>142.26009942857149</v>
      </c>
      <c r="DQ37" s="13">
        <f t="shared" si="43"/>
        <v>36.814278972929188</v>
      </c>
      <c r="DR37" s="20">
        <f t="shared" si="16"/>
        <v>311.88787571594702</v>
      </c>
      <c r="DS37" s="59">
        <f t="shared" si="17"/>
        <v>605.22120904928033</v>
      </c>
      <c r="DT37" s="59">
        <f ca="1">AVERAGE(OFFSET($DS$3,0,0,'Données projet'!$E$14+1,1))-AVERAGE(OFFSET($H$3,0,0,'Données projet'!$E$14+1,1))</f>
        <v>531.65020827367698</v>
      </c>
      <c r="DU37" s="59">
        <f t="shared" si="44"/>
        <v>235.89413420278396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20.202000000000005</v>
      </c>
      <c r="D38" s="11">
        <f t="shared" si="32"/>
        <v>6.5614304138099309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206.59490143993636</v>
      </c>
      <c r="H38" s="67">
        <f t="shared" si="1"/>
        <v>339.94630797071898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129.46518000000006</v>
      </c>
      <c r="P38" s="13">
        <f t="shared" si="33"/>
        <v>33.872748498012392</v>
      </c>
      <c r="Q38" s="20">
        <f t="shared" si="53"/>
        <v>284.48022546737167</v>
      </c>
      <c r="R38" s="59">
        <f t="shared" si="0"/>
        <v>577.81355880070498</v>
      </c>
      <c r="S38" s="59">
        <f ca="1">AVERAGE(OFFSET($R$3,0,0,'Données projet'!$E$9+1,1))-AVERAGE(OFFSET($H$3,0,0,'Données projet'!$E$9+1,1))</f>
        <v>457.88065872594228</v>
      </c>
      <c r="T38" s="59">
        <f t="shared" si="34"/>
        <v>204.62439362068329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564.1529745574893</v>
      </c>
      <c r="AN38" s="59">
        <f ca="1">AVERAGE(OFFSET($AM$3,0,0,'Données projet'!$E$10+1,1))-AVERAGE(OFFSET($H$3,0,0,'Données projet'!$E$10+1,1))</f>
        <v>430.16825592717629</v>
      </c>
      <c r="AO38" s="59">
        <f t="shared" si="36"/>
        <v>192.87542067077248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3.8113157894736847</v>
      </c>
      <c r="BD38" s="12">
        <f>IF('Données projet'!$A$88&gt;35,BD37+BC38-BL37,IF(A38&lt;'Données projet'!$A$88,$BA$205^A38,IF(A38='Données projet'!$A$88,'Données projet'!$B$88,BD37+BC38-BL37)))</f>
        <v>133.3960526315789</v>
      </c>
      <c r="BE38" s="13">
        <f>BD38*VLOOKUP('Données projet'!$B$11,Paramètres!$A$1:$I$89,3,0)*VLOOKUP('Données projet'!$B$11,Paramètres!$A$1:$I$89,5,0)</f>
        <v>112.37283473684207</v>
      </c>
      <c r="BF38" s="13">
        <f t="shared" si="37"/>
        <v>29.889346647484818</v>
      </c>
      <c r="BG38" s="20">
        <f t="shared" si="7"/>
        <v>247.77329924436927</v>
      </c>
      <c r="BH38" s="59">
        <f t="shared" si="8"/>
        <v>541.10663257770261</v>
      </c>
      <c r="BI38" s="59">
        <f ca="1">AVERAGE(OFFSET($BH$3,0,0,'Données projet'!$E$11+1,1))-AVERAGE(OFFSET($H$3,0,0,'Données projet'!$E$11+1,1))</f>
        <v>243.94505553629301</v>
      </c>
      <c r="BJ38" s="59">
        <f t="shared" si="38"/>
        <v>173.05364940250229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153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152.99999999999997</v>
      </c>
      <c r="BZ38" s="13">
        <f>BY38*VLOOKUP('Données projet'!$B$12,Paramètres!$A$1:$I$89,3,0)*VLOOKUP('Données projet'!$B$12,Paramètres!$A$1:$I$89,5,0)</f>
        <v>100.2456</v>
      </c>
      <c r="CA38" s="13">
        <f t="shared" si="39"/>
        <v>27.020500005754936</v>
      </c>
      <c r="CB38" s="20">
        <f t="shared" si="10"/>
        <v>221.65512417668984</v>
      </c>
      <c r="CC38" s="59">
        <f t="shared" si="11"/>
        <v>514.98845751002318</v>
      </c>
      <c r="CD38" s="59">
        <f ca="1">AVERAGE(OFFSET($CC$3,0,0,'Données projet'!$E$12+1,1))-AVERAGE(OFFSET($H$3,0,0,'Données projet'!$E$12+1,1))</f>
        <v>140.9558843244115</v>
      </c>
      <c r="CE38" s="59">
        <f t="shared" si="40"/>
        <v>158.88947216184619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3.887142857142857</v>
      </c>
      <c r="CT38" s="12">
        <f>IF('Données projet'!$A$140&gt;35,CT37+CS38-DB37,IF(A38&lt;'Données projet'!$A$140,$CQ$205^A38,IF(A38='Données projet'!$A$140,'Données projet'!$B$140,CT37+CS38-DB37)))</f>
        <v>136.05000000000007</v>
      </c>
      <c r="CU38" s="17">
        <f>CT38*VLOOKUP('Données projet'!$B$13,Paramètres!$A$1:$I$89,3,0)*VLOOKUP('Données projet'!$B$13,Paramètres!$A$1:$I$89,5,0)</f>
        <v>131.58756000000008</v>
      </c>
      <c r="CV38" s="13">
        <f t="shared" si="41"/>
        <v>34.362938287499752</v>
      </c>
      <c r="CW38" s="20">
        <f t="shared" si="13"/>
        <v>289.0304511840622</v>
      </c>
      <c r="CX38" s="59">
        <f t="shared" si="14"/>
        <v>582.36378451739552</v>
      </c>
      <c r="CY38" s="59">
        <f ca="1">AVERAGE(OFFSET($CX$3,0,0,'Données projet'!$E$13+1,1))-AVERAGE(OFFSET($H$3,0,0,'Données projet'!$E$13+1,1))</f>
        <v>467.11196088914556</v>
      </c>
      <c r="CZ38" s="59">
        <f t="shared" si="42"/>
        <v>208.53783609106262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3.887142857142857</v>
      </c>
      <c r="DO38" s="12">
        <f>IF('Données projet'!$A$166&gt;35,DO37+DN38-DW37,IF(A38&lt;'Données projet'!$A$166,$DL$205^A38,IF(A38='Données projet'!$A$166,'Données projet'!$B$166,DO37+DN38-DW37)))</f>
        <v>136.05000000000007</v>
      </c>
      <c r="DP38" s="17">
        <f>DO38*VLOOKUP('Données projet'!$B$14,Paramètres!$A$1:$I$89,3,0)*VLOOKUP('Données projet'!$B$14,Paramètres!$A$1:$I$89,5,0)</f>
        <v>146.44422000000006</v>
      </c>
      <c r="DQ38" s="13">
        <f t="shared" si="43"/>
        <v>37.769397057445374</v>
      </c>
      <c r="DR38" s="20">
        <f t="shared" si="16"/>
        <v>320.83871637505081</v>
      </c>
      <c r="DS38" s="59">
        <f t="shared" si="17"/>
        <v>614.17204970838407</v>
      </c>
      <c r="DT38" s="59">
        <f ca="1">AVERAGE(OFFSET($DS$3,0,0,'Données projet'!$E$14+1,1))-AVERAGE(OFFSET($H$3,0,0,'Données projet'!$E$14+1,1))</f>
        <v>531.65020827367698</v>
      </c>
      <c r="DU38" s="59">
        <f t="shared" si="44"/>
        <v>235.89413420278396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20.779200000000007</v>
      </c>
      <c r="D39" s="11">
        <f t="shared" si="32"/>
        <v>6.7268058475649397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212.32706268295749</v>
      </c>
      <c r="H39" s="67">
        <f t="shared" si="1"/>
        <v>341.23962685117561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133.16418514285721</v>
      </c>
      <c r="P39" s="13">
        <f t="shared" si="33"/>
        <v>34.726483144583192</v>
      </c>
      <c r="Q39" s="20">
        <f t="shared" si="53"/>
        <v>292.40958060062536</v>
      </c>
      <c r="R39" s="59">
        <f t="shared" si="0"/>
        <v>585.74291393395868</v>
      </c>
      <c r="S39" s="59">
        <f ca="1">AVERAGE(OFFSET($R$3,0,0,'Données projet'!$E$9+1,1))-AVERAGE(OFFSET($H$3,0,0,'Données projet'!$E$9+1,1))</f>
        <v>457.88065872594228</v>
      </c>
      <c r="T39" s="59">
        <f t="shared" si="34"/>
        <v>204.62439362068329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571.70068499618628</v>
      </c>
      <c r="AN39" s="59">
        <f ca="1">AVERAGE(OFFSET($AM$3,0,0,'Données projet'!$E$10+1,1))-AVERAGE(OFFSET($H$3,0,0,'Données projet'!$E$10+1,1))</f>
        <v>430.16825592717629</v>
      </c>
      <c r="AO39" s="59">
        <f t="shared" si="36"/>
        <v>192.87542067077248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3.8113157894736847</v>
      </c>
      <c r="BD39" s="12">
        <f>IF('Données projet'!$A$88&gt;35,BD38+BC39-BL38,IF(A39&lt;'Données projet'!$A$88,$BA$205^A39,IF(A39='Données projet'!$A$88,'Données projet'!$B$88,BD38+BC39-BL38)))</f>
        <v>137.20736842105259</v>
      </c>
      <c r="BE39" s="13">
        <f>BD39*VLOOKUP('Données projet'!$B$11,Paramètres!$A$1:$I$89,3,0)*VLOOKUP('Données projet'!$B$11,Paramètres!$A$1:$I$89,5,0)</f>
        <v>115.58348715789471</v>
      </c>
      <c r="BF39" s="13">
        <f t="shared" si="37"/>
        <v>30.642682940753755</v>
      </c>
      <c r="BG39" s="20">
        <f t="shared" si="7"/>
        <v>254.677246255146</v>
      </c>
      <c r="BH39" s="59">
        <f t="shared" si="8"/>
        <v>548.01057958847935</v>
      </c>
      <c r="BI39" s="59">
        <f ca="1">AVERAGE(OFFSET($BH$3,0,0,'Données projet'!$E$11+1,1))-AVERAGE(OFFSET($H$3,0,0,'Données projet'!$E$11+1,1))</f>
        <v>243.94505553629301</v>
      </c>
      <c r="BJ39" s="59">
        <f t="shared" si="38"/>
        <v>173.05364940250229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138.99999999999997</v>
      </c>
      <c r="BZ39" s="13">
        <f>BY39*VLOOKUP('Données projet'!$B$12,Paramètres!$A$1:$I$89,3,0)*VLOOKUP('Données projet'!$B$12,Paramètres!$A$1:$I$89,5,0)</f>
        <v>91.072799999999987</v>
      </c>
      <c r="CA39" s="13">
        <f t="shared" si="39"/>
        <v>24.823779817332358</v>
      </c>
      <c r="CB39" s="20">
        <f t="shared" si="10"/>
        <v>201.85320984852046</v>
      </c>
      <c r="CC39" s="59">
        <f t="shared" si="11"/>
        <v>495.18654318185378</v>
      </c>
      <c r="CD39" s="59">
        <f ca="1">AVERAGE(OFFSET($CC$3,0,0,'Données projet'!$E$12+1,1))-AVERAGE(OFFSET($H$3,0,0,'Données projet'!$E$12+1,1))</f>
        <v>140.9558843244115</v>
      </c>
      <c r="CE39" s="59">
        <f t="shared" si="40"/>
        <v>158.88947216184619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3.887142857142857</v>
      </c>
      <c r="CT39" s="12">
        <f>IF('Données projet'!$A$140&gt;35,CT38+CS39-DB38,IF(A39&lt;'Données projet'!$A$140,$CQ$205^A39,IF(A39='Données projet'!$A$140,'Données projet'!$B$140,CT38+CS39-DB38)))</f>
        <v>139.93714285714293</v>
      </c>
      <c r="CU39" s="17">
        <f>CT39*VLOOKUP('Données projet'!$B$13,Paramètres!$A$1:$I$89,3,0)*VLOOKUP('Données projet'!$B$13,Paramètres!$A$1:$I$89,5,0)</f>
        <v>135.34720457142865</v>
      </c>
      <c r="CV39" s="13">
        <f t="shared" si="41"/>
        <v>35.229027762811612</v>
      </c>
      <c r="CW39" s="20">
        <f t="shared" si="13"/>
        <v>297.08693798213511</v>
      </c>
      <c r="CX39" s="59">
        <f t="shared" si="14"/>
        <v>590.42027131546843</v>
      </c>
      <c r="CY39" s="59">
        <f ca="1">AVERAGE(OFFSET($CX$3,0,0,'Données projet'!$E$13+1,1))-AVERAGE(OFFSET($H$3,0,0,'Données projet'!$E$13+1,1))</f>
        <v>467.11196088914556</v>
      </c>
      <c r="CZ39" s="59">
        <f t="shared" si="42"/>
        <v>208.53783609106262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3.887142857142857</v>
      </c>
      <c r="DO39" s="12">
        <f>IF('Données projet'!$A$166&gt;35,DO38+DN39-DW38,IF(A39&lt;'Données projet'!$A$166,$DL$205^A39,IF(A39='Données projet'!$A$166,'Données projet'!$B$166,DO38+DN39-DW38)))</f>
        <v>139.93714285714293</v>
      </c>
      <c r="DP39" s="17">
        <f>DO39*VLOOKUP('Données projet'!$B$14,Paramètres!$A$1:$I$89,3,0)*VLOOKUP('Données projet'!$B$14,Paramètres!$A$1:$I$89,5,0)</f>
        <v>150.62834057142865</v>
      </c>
      <c r="DQ39" s="13">
        <f t="shared" si="43"/>
        <v>38.721343512275389</v>
      </c>
      <c r="DR39" s="20">
        <f t="shared" si="16"/>
        <v>329.78403311245114</v>
      </c>
      <c r="DS39" s="59">
        <f t="shared" si="17"/>
        <v>623.11736644578446</v>
      </c>
      <c r="DT39" s="59">
        <f ca="1">AVERAGE(OFFSET($DS$3,0,0,'Données projet'!$E$14+1,1))-AVERAGE(OFFSET($H$3,0,0,'Données projet'!$E$14+1,1))</f>
        <v>531.65020827367698</v>
      </c>
      <c r="DU39" s="59">
        <f t="shared" si="44"/>
        <v>235.89413420278396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21.356400000000008</v>
      </c>
      <c r="D40" s="11">
        <f t="shared" si="32"/>
        <v>6.8916473583854003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218.05510241560668</v>
      </c>
      <c r="H40" s="67">
        <f t="shared" si="1"/>
        <v>342.53201581585455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136.86319028571435</v>
      </c>
      <c r="P40" s="13">
        <f t="shared" si="33"/>
        <v>35.577461465758702</v>
      </c>
      <c r="Q40" s="20">
        <f t="shared" si="53"/>
        <v>300.33413513381555</v>
      </c>
      <c r="R40" s="59">
        <f t="shared" si="0"/>
        <v>593.66746846714886</v>
      </c>
      <c r="S40" s="59">
        <f ca="1">AVERAGE(OFFSET($R$3,0,0,'Données projet'!$E$9+1,1))-AVERAGE(OFFSET($H$3,0,0,'Données projet'!$E$9+1,1))</f>
        <v>457.88065872594228</v>
      </c>
      <c r="T40" s="59">
        <f t="shared" si="34"/>
        <v>204.62439362068329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579.24380405677198</v>
      </c>
      <c r="AN40" s="59">
        <f ca="1">AVERAGE(OFFSET($AM$3,0,0,'Données projet'!$E$10+1,1))-AVERAGE(OFFSET($H$3,0,0,'Données projet'!$E$10+1,1))</f>
        <v>430.16825592717629</v>
      </c>
      <c r="AO40" s="59">
        <f t="shared" si="36"/>
        <v>192.87542067077248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3.8113157894736847</v>
      </c>
      <c r="BD40" s="12">
        <f>IF('Données projet'!$A$88&gt;35,BD39+BC40-BL39,IF(A40&lt;'Données projet'!$A$88,$BA$205^A40,IF(A40='Données projet'!$A$88,'Données projet'!$B$88,BD39+BC40-BL39)))</f>
        <v>141.01868421052629</v>
      </c>
      <c r="BE40" s="13">
        <f>BD40*VLOOKUP('Données projet'!$B$11,Paramètres!$A$1:$I$89,3,0)*VLOOKUP('Données projet'!$B$11,Paramètres!$A$1:$I$89,5,0)</f>
        <v>118.79413957894737</v>
      </c>
      <c r="BF40" s="13">
        <f t="shared" si="37"/>
        <v>31.393587049778187</v>
      </c>
      <c r="BG40" s="20">
        <f t="shared" si="7"/>
        <v>261.57695721169699</v>
      </c>
      <c r="BH40" s="59">
        <f t="shared" si="8"/>
        <v>554.91029054503031</v>
      </c>
      <c r="BI40" s="59">
        <f ca="1">AVERAGE(OFFSET($BH$3,0,0,'Données projet'!$E$11+1,1))-AVERAGE(OFFSET($H$3,0,0,'Données projet'!$E$11+1,1))</f>
        <v>243.94505553629301</v>
      </c>
      <c r="BJ40" s="59">
        <f t="shared" si="38"/>
        <v>173.05364940250229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145.99999999999997</v>
      </c>
      <c r="BZ40" s="13">
        <f>BY40*VLOOKUP('Données projet'!$B$12,Paramètres!$A$1:$I$89,3,0)*VLOOKUP('Données projet'!$B$12,Paramètres!$A$1:$I$89,5,0)</f>
        <v>95.659199999999984</v>
      </c>
      <c r="CA40" s="13">
        <f t="shared" si="39"/>
        <v>25.92520602338745</v>
      </c>
      <c r="CB40" s="20">
        <f t="shared" si="10"/>
        <v>211.75950715739978</v>
      </c>
      <c r="CC40" s="59">
        <f t="shared" si="11"/>
        <v>505.09284049073312</v>
      </c>
      <c r="CD40" s="59">
        <f ca="1">AVERAGE(OFFSET($CC$3,0,0,'Données projet'!$E$12+1,1))-AVERAGE(OFFSET($H$3,0,0,'Données projet'!$E$12+1,1))</f>
        <v>140.9558843244115</v>
      </c>
      <c r="CE40" s="59">
        <f t="shared" si="40"/>
        <v>158.88947216184619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3.887142857142857</v>
      </c>
      <c r="CT40" s="12">
        <f>IF('Données projet'!$A$140&gt;35,CT39+CS40-DB39,IF(A40&lt;'Données projet'!$A$140,$CQ$205^A40,IF(A40='Données projet'!$A$140,'Données projet'!$B$140,CT39+CS40-DB39)))</f>
        <v>143.82428571428579</v>
      </c>
      <c r="CU40" s="17">
        <f>CT40*VLOOKUP('Données projet'!$B$13,Paramètres!$A$1:$I$89,3,0)*VLOOKUP('Données projet'!$B$13,Paramètres!$A$1:$I$89,5,0)</f>
        <v>139.10684914285721</v>
      </c>
      <c r="CV40" s="13">
        <f t="shared" si="41"/>
        <v>36.092321024539963</v>
      </c>
      <c r="CW40" s="20">
        <f t="shared" si="13"/>
        <v>305.13855470821676</v>
      </c>
      <c r="CX40" s="59">
        <f t="shared" si="14"/>
        <v>598.47188804155007</v>
      </c>
      <c r="CY40" s="59">
        <f ca="1">AVERAGE(OFFSET($CX$3,0,0,'Données projet'!$E$13+1,1))-AVERAGE(OFFSET($H$3,0,0,'Données projet'!$E$13+1,1))</f>
        <v>467.11196088914556</v>
      </c>
      <c r="CZ40" s="59">
        <f t="shared" si="42"/>
        <v>208.53783609106262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3.887142857142857</v>
      </c>
      <c r="DO40" s="12">
        <f>IF('Données projet'!$A$166&gt;35,DO39+DN40-DW39,IF(A40&lt;'Données projet'!$A$166,$DL$205^A40,IF(A40='Données projet'!$A$166,'Données projet'!$B$166,DO39+DN40-DW39)))</f>
        <v>143.82428571428579</v>
      </c>
      <c r="DP40" s="17">
        <f>DO40*VLOOKUP('Données projet'!$B$14,Paramètres!$A$1:$I$89,3,0)*VLOOKUP('Données projet'!$B$14,Paramètres!$A$1:$I$89,5,0)</f>
        <v>154.81246114285725</v>
      </c>
      <c r="DQ40" s="13">
        <f t="shared" si="43"/>
        <v>39.670216559930267</v>
      </c>
      <c r="DR40" s="20">
        <f t="shared" si="16"/>
        <v>338.72399699902149</v>
      </c>
      <c r="DS40" s="59">
        <f t="shared" si="17"/>
        <v>632.05733033235481</v>
      </c>
      <c r="DT40" s="59">
        <f ca="1">AVERAGE(OFFSET($DS$3,0,0,'Données projet'!$E$14+1,1))-AVERAGE(OFFSET($H$3,0,0,'Données projet'!$E$14+1,1))</f>
        <v>531.65020827367698</v>
      </c>
      <c r="DU40" s="59">
        <f t="shared" si="44"/>
        <v>235.89413420278396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21.933600000000009</v>
      </c>
      <c r="D41" s="11">
        <f t="shared" si="32"/>
        <v>7.0559710349657756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223.77914483131485</v>
      </c>
      <c r="H41" s="67">
        <f t="shared" si="1"/>
        <v>343.82350288589873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140.56219542857153</v>
      </c>
      <c r="P41" s="13">
        <f t="shared" si="33"/>
        <v>36.425766517864517</v>
      </c>
      <c r="Q41" s="20">
        <f t="shared" si="53"/>
        <v>308.2540337233761</v>
      </c>
      <c r="R41" s="59">
        <f t="shared" si="0"/>
        <v>601.58736705670935</v>
      </c>
      <c r="S41" s="59">
        <f ca="1">AVERAGE(OFFSET($R$3,0,0,'Données projet'!$E$9+1,1))-AVERAGE(OFFSET($H$3,0,0,'Données projet'!$E$9+1,1))</f>
        <v>457.88065872594228</v>
      </c>
      <c r="T41" s="59">
        <f t="shared" si="34"/>
        <v>204.62439362068329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586.78247009119764</v>
      </c>
      <c r="AN41" s="59">
        <f ca="1">AVERAGE(OFFSET($AM$3,0,0,'Données projet'!$E$10+1,1))-AVERAGE(OFFSET($H$3,0,0,'Données projet'!$E$10+1,1))</f>
        <v>430.16825592717629</v>
      </c>
      <c r="AO41" s="59">
        <f t="shared" si="36"/>
        <v>192.87542067077248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>
        <f>VLOOKUP(A41,'Données projet'!$A$87:$I$107,2,0)</f>
        <v>144.83000000000001</v>
      </c>
      <c r="BB41" s="12">
        <f>VLOOKUP(A41,'Données projet'!$A$87:$I$107,9,0)</f>
        <v>3.8113157894736847</v>
      </c>
      <c r="BC41" s="12">
        <f t="array" ref="BC41">INDEX(BB:BB,MIN(IF(ISNUMBER(BB41:BB237),ROW(BB41:BB237),"")))</f>
        <v>3.8113157894736847</v>
      </c>
      <c r="BD41" s="12">
        <f>IF('Données projet'!$A$88&gt;35,BD40+BC41-BL40,IF(A41&lt;'Données projet'!$A$88,$BA$205^A41,IF(A41='Données projet'!$A$88,'Données projet'!$B$88,BD40+BC41-BL40)))</f>
        <v>144.82999999999998</v>
      </c>
      <c r="BE41" s="13">
        <f>BD41*VLOOKUP('Données projet'!$B$11,Paramètres!$A$1:$I$89,3,0)*VLOOKUP('Données projet'!$B$11,Paramètres!$A$1:$I$89,5,0)</f>
        <v>122.00479199999999</v>
      </c>
      <c r="BF41" s="13">
        <f t="shared" si="37"/>
        <v>32.142132263541754</v>
      </c>
      <c r="BG41" s="20">
        <f t="shared" si="7"/>
        <v>268.47255975900185</v>
      </c>
      <c r="BH41" s="59">
        <f t="shared" si="8"/>
        <v>561.80589309233517</v>
      </c>
      <c r="BI41" s="59">
        <f ca="1">AVERAGE(OFFSET($BH$3,0,0,'Données projet'!$E$11+1,1))-AVERAGE(OFFSET($H$3,0,0,'Données projet'!$E$11+1,1))</f>
        <v>243.94505553629301</v>
      </c>
      <c r="BJ41" s="59">
        <f t="shared" si="38"/>
        <v>173.05364940250229</v>
      </c>
      <c r="BK41" s="15">
        <f>IF(ISNA(VLOOKUP(A41,'Données projet'!$A$87:$I$107,3,0)),0,VLOOKUP(A41,'Données projet'!$A$87:$I$107,3,0))</f>
        <v>1</v>
      </c>
      <c r="BL41" s="15">
        <f>IF(ISNA(VLOOKUP(A41,'Données projet'!$A$87:$I$107,4,0)),0,VLOOKUP(A41,'Données projet'!$A$87:$I$107,4,0))</f>
        <v>69.08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152.99999999999997</v>
      </c>
      <c r="BZ41" s="13">
        <f>BY41*VLOOKUP('Données projet'!$B$12,Paramètres!$A$1:$I$89,3,0)*VLOOKUP('Données projet'!$B$12,Paramètres!$A$1:$I$89,5,0)</f>
        <v>100.2456</v>
      </c>
      <c r="CA41" s="13">
        <f t="shared" si="39"/>
        <v>27.020500005754936</v>
      </c>
      <c r="CB41" s="20">
        <f t="shared" si="10"/>
        <v>221.65512417668984</v>
      </c>
      <c r="CC41" s="59">
        <f t="shared" si="11"/>
        <v>514.98845751002318</v>
      </c>
      <c r="CD41" s="59">
        <f ca="1">AVERAGE(OFFSET($CC$3,0,0,'Données projet'!$E$12+1,1))-AVERAGE(OFFSET($H$3,0,0,'Données projet'!$E$12+1,1))</f>
        <v>140.9558843244115</v>
      </c>
      <c r="CE41" s="59">
        <f t="shared" si="40"/>
        <v>158.88947216184619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3.887142857142857</v>
      </c>
      <c r="CT41" s="12">
        <f>IF('Données projet'!$A$140&gt;35,CT40+CS41-DB40,IF(A41&lt;'Données projet'!$A$140,$CQ$205^A41,IF(A41='Données projet'!$A$140,'Données projet'!$B$140,CT40+CS41-DB40)))</f>
        <v>147.71142857142866</v>
      </c>
      <c r="CU41" s="17">
        <f>CT41*VLOOKUP('Données projet'!$B$13,Paramètres!$A$1:$I$89,3,0)*VLOOKUP('Données projet'!$B$13,Paramètres!$A$1:$I$89,5,0)</f>
        <v>142.86649371428578</v>
      </c>
      <c r="CV41" s="13">
        <f t="shared" si="41"/>
        <v>36.952902330960896</v>
      </c>
      <c r="CW41" s="20">
        <f t="shared" si="13"/>
        <v>313.18544811213798</v>
      </c>
      <c r="CX41" s="59">
        <f t="shared" si="14"/>
        <v>606.51878144547129</v>
      </c>
      <c r="CY41" s="59">
        <f ca="1">AVERAGE(OFFSET($CX$3,0,0,'Données projet'!$E$13+1,1))-AVERAGE(OFFSET($H$3,0,0,'Données projet'!$E$13+1,1))</f>
        <v>467.11196088914556</v>
      </c>
      <c r="CZ41" s="59">
        <f t="shared" si="42"/>
        <v>208.53783609106262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3.887142857142857</v>
      </c>
      <c r="DO41" s="12">
        <f>IF('Données projet'!$A$166&gt;35,DO40+DN41-DW40,IF(A41&lt;'Données projet'!$A$166,$DL$205^A41,IF(A41='Données projet'!$A$166,'Données projet'!$B$166,DO40+DN41-DW40)))</f>
        <v>147.71142857142866</v>
      </c>
      <c r="DP41" s="17">
        <f>DO41*VLOOKUP('Données projet'!$B$14,Paramètres!$A$1:$I$89,3,0)*VLOOKUP('Données projet'!$B$14,Paramètres!$A$1:$I$89,5,0)</f>
        <v>158.99658171428578</v>
      </c>
      <c r="DQ41" s="13">
        <f t="shared" si="43"/>
        <v>40.616108811357734</v>
      </c>
      <c r="DR41" s="20">
        <f t="shared" si="16"/>
        <v>347.65876933216242</v>
      </c>
      <c r="DS41" s="59">
        <f t="shared" si="17"/>
        <v>640.99210266549574</v>
      </c>
      <c r="DT41" s="59">
        <f ca="1">AVERAGE(OFFSET($DS$3,0,0,'Données projet'!$E$14+1,1))-AVERAGE(OFFSET($H$3,0,0,'Données projet'!$E$14+1,1))</f>
        <v>531.65020827367698</v>
      </c>
      <c r="DU41" s="59">
        <f t="shared" si="44"/>
        <v>235.89413420278396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22.51080000000001</v>
      </c>
      <c r="D42" s="11">
        <f t="shared" si="32"/>
        <v>7.2197920710040782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229.49930721476844</v>
      </c>
      <c r="H42" s="67">
        <f t="shared" si="1"/>
        <v>345.11411452366542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144.26120057142867</v>
      </c>
      <c r="P42" s="13">
        <f t="shared" si="33"/>
        <v>37.271476736893916</v>
      </c>
      <c r="Q42" s="20">
        <f t="shared" si="53"/>
        <v>316.16941297866185</v>
      </c>
      <c r="R42" s="59">
        <f t="shared" si="0"/>
        <v>609.50274631199522</v>
      </c>
      <c r="S42" s="59">
        <f ca="1">AVERAGE(OFFSET($R$3,0,0,'Données projet'!$E$9+1,1))-AVERAGE(OFFSET($H$3,0,0,'Données projet'!$E$9+1,1))</f>
        <v>457.88065872594228</v>
      </c>
      <c r="T42" s="59">
        <f t="shared" si="34"/>
        <v>204.62439362068329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594.31681375504627</v>
      </c>
      <c r="AN42" s="59">
        <f ca="1">AVERAGE(OFFSET($AM$3,0,0,'Données projet'!$E$10+1,1))-AVERAGE(OFFSET($H$3,0,0,'Données projet'!$E$10+1,1))</f>
        <v>430.16825592717629</v>
      </c>
      <c r="AO42" s="59">
        <f t="shared" si="36"/>
        <v>192.87542067077248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8.9585714285714282</v>
      </c>
      <c r="BD42" s="12">
        <f>IF('Données projet'!$A$88&gt;35,BD41+BC42-BL41,IF(A42&lt;'Données projet'!$A$88,$BA$205^A42,IF(A42='Données projet'!$A$88,'Données projet'!$B$88,BD41+BC42-BL41)))</f>
        <v>84.708571428571403</v>
      </c>
      <c r="BE42" s="13">
        <f>BD42*VLOOKUP('Données projet'!$B$11,Paramètres!$A$1:$I$89,3,0)*VLOOKUP('Données projet'!$B$11,Paramètres!$A$1:$I$89,5,0)</f>
        <v>71.358500571428564</v>
      </c>
      <c r="BF42" s="13">
        <f t="shared" si="37"/>
        <v>20.010442816020877</v>
      </c>
      <c r="BG42" s="20">
        <f t="shared" si="7"/>
        <v>159.13424306647443</v>
      </c>
      <c r="BH42" s="59">
        <f t="shared" si="8"/>
        <v>452.46757639980774</v>
      </c>
      <c r="BI42" s="59">
        <f ca="1">AVERAGE(OFFSET($BH$3,0,0,'Données projet'!$E$11+1,1))-AVERAGE(OFFSET($H$3,0,0,'Données projet'!$E$11+1,1))</f>
        <v>243.94505553629301</v>
      </c>
      <c r="BJ42" s="59">
        <f t="shared" si="38"/>
        <v>173.05364940250229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159.99999999999997</v>
      </c>
      <c r="BZ42" s="13">
        <f>BY42*VLOOKUP('Données projet'!$B$12,Paramètres!$A$1:$I$89,3,0)*VLOOKUP('Données projet'!$B$12,Paramètres!$A$1:$I$89,5,0)</f>
        <v>104.83199999999998</v>
      </c>
      <c r="CA42" s="13">
        <f t="shared" si="39"/>
        <v>28.109974371137692</v>
      </c>
      <c r="CB42" s="20">
        <f t="shared" si="10"/>
        <v>231.54060536306474</v>
      </c>
      <c r="CC42" s="59">
        <f t="shared" si="11"/>
        <v>524.873938696398</v>
      </c>
      <c r="CD42" s="59">
        <f ca="1">AVERAGE(OFFSET($CC$3,0,0,'Données projet'!$E$12+1,1))-AVERAGE(OFFSET($H$3,0,0,'Données projet'!$E$12+1,1))</f>
        <v>140.9558843244115</v>
      </c>
      <c r="CE42" s="59">
        <f t="shared" si="40"/>
        <v>158.88947216184619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3.887142857142857</v>
      </c>
      <c r="CT42" s="12">
        <f>IF('Données projet'!$A$140&gt;35,CT41+CS42-DB41,IF(A42&lt;'Données projet'!$A$140,$CQ$205^A42,IF(A42='Données projet'!$A$140,'Données projet'!$B$140,CT41+CS42-DB41)))</f>
        <v>151.59857142857152</v>
      </c>
      <c r="CU42" s="17">
        <f>CT42*VLOOKUP('Données projet'!$B$13,Paramètres!$A$1:$I$89,3,0)*VLOOKUP('Données projet'!$B$13,Paramètres!$A$1:$I$89,5,0)</f>
        <v>146.62613828571438</v>
      </c>
      <c r="CV42" s="13">
        <f t="shared" si="41"/>
        <v>37.810851253154773</v>
      </c>
      <c r="CW42" s="20">
        <f t="shared" si="13"/>
        <v>321.22775678019707</v>
      </c>
      <c r="CX42" s="59">
        <f t="shared" si="14"/>
        <v>614.56109011353033</v>
      </c>
      <c r="CY42" s="59">
        <f ca="1">AVERAGE(OFFSET($CX$3,0,0,'Données projet'!$E$13+1,1))-AVERAGE(OFFSET($H$3,0,0,'Données projet'!$E$13+1,1))</f>
        <v>467.11196088914556</v>
      </c>
      <c r="CZ42" s="59">
        <f t="shared" si="42"/>
        <v>208.53783609106262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3.887142857142857</v>
      </c>
      <c r="DO42" s="12">
        <f>IF('Données projet'!$A$166&gt;35,DO41+DN42-DW41,IF(A42&lt;'Données projet'!$A$166,$DL$205^A42,IF(A42='Données projet'!$A$166,'Données projet'!$B$166,DO41+DN42-DW41)))</f>
        <v>151.59857142857152</v>
      </c>
      <c r="DP42" s="17">
        <f>DO42*VLOOKUP('Données projet'!$B$14,Paramètres!$A$1:$I$89,3,0)*VLOOKUP('Données projet'!$B$14,Paramètres!$A$1:$I$89,5,0)</f>
        <v>163.18070228571437</v>
      </c>
      <c r="DQ42" s="13">
        <f t="shared" si="43"/>
        <v>41.559107725659999</v>
      </c>
      <c r="DR42" s="20">
        <f t="shared" si="16"/>
        <v>356.58850243647703</v>
      </c>
      <c r="DS42" s="59">
        <f t="shared" si="17"/>
        <v>649.92183576981029</v>
      </c>
      <c r="DT42" s="59">
        <f ca="1">AVERAGE(OFFSET($DS$3,0,0,'Données projet'!$E$14+1,1))-AVERAGE(OFFSET($H$3,0,0,'Données projet'!$E$14+1,1))</f>
        <v>531.65020827367698</v>
      </c>
      <c r="DU42" s="59">
        <f t="shared" si="44"/>
        <v>235.89413420278396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23.088000000000012</v>
      </c>
      <c r="D43" s="11">
        <f t="shared" si="32"/>
        <v>7.3831248366439288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235.21570049339184</v>
      </c>
      <c r="H43" s="67">
        <f t="shared" si="1"/>
        <v>346.40387575715482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147.96020571428582</v>
      </c>
      <c r="P43" s="13">
        <f t="shared" si="33"/>
        <v>38.11466630732037</v>
      </c>
      <c r="Q43" s="20">
        <f t="shared" si="53"/>
        <v>324.08040210429743</v>
      </c>
      <c r="R43" s="59">
        <f t="shared" si="0"/>
        <v>617.41373543763075</v>
      </c>
      <c r="S43" s="59">
        <f ca="1">AVERAGE(OFFSET($R$3,0,0,'Données projet'!$E$9+1,1))-AVERAGE(OFFSET($H$3,0,0,'Données projet'!$E$9+1,1))</f>
        <v>457.88065872594228</v>
      </c>
      <c r="T43" s="59">
        <f t="shared" si="34"/>
        <v>204.62439362068329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601.84695862188767</v>
      </c>
      <c r="AN43" s="59">
        <f ca="1">AVERAGE(OFFSET($AM$3,0,0,'Données projet'!$E$10+1,1))-AVERAGE(OFFSET($H$3,0,0,'Données projet'!$E$10+1,1))</f>
        <v>430.16825592717629</v>
      </c>
      <c r="AO43" s="59">
        <f t="shared" si="36"/>
        <v>192.87542067077248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8.9585714285714282</v>
      </c>
      <c r="BD43" s="12">
        <f>IF('Données projet'!$A$88&gt;35,BD42+BC43-BL42,IF(A43&lt;'Données projet'!$A$88,$BA$205^A43,IF(A43='Données projet'!$A$88,'Données projet'!$B$88,BD42+BC43-BL42)))</f>
        <v>93.667142857142835</v>
      </c>
      <c r="BE43" s="13">
        <f>BD43*VLOOKUP('Données projet'!$B$11,Paramètres!$A$1:$I$89,3,0)*VLOOKUP('Données projet'!$B$11,Paramètres!$A$1:$I$89,5,0)</f>
        <v>78.905201142857138</v>
      </c>
      <c r="BF43" s="13">
        <f t="shared" si="37"/>
        <v>21.869285821611935</v>
      </c>
      <c r="BG43" s="20">
        <f t="shared" si="7"/>
        <v>175.51556479645032</v>
      </c>
      <c r="BH43" s="59">
        <f t="shared" si="8"/>
        <v>468.84889812978361</v>
      </c>
      <c r="BI43" s="59">
        <f ca="1">AVERAGE(OFFSET($BH$3,0,0,'Données projet'!$E$11+1,1))-AVERAGE(OFFSET($H$3,0,0,'Données projet'!$E$11+1,1))</f>
        <v>243.94505553629301</v>
      </c>
      <c r="BJ43" s="59">
        <f t="shared" si="38"/>
        <v>173.05364940250229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167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166.99999999999997</v>
      </c>
      <c r="BZ43" s="13">
        <f>BY43*VLOOKUP('Données projet'!$B$12,Paramètres!$A$1:$I$89,3,0)*VLOOKUP('Données projet'!$B$12,Paramètres!$A$1:$I$89,5,0)</f>
        <v>109.41839999999998</v>
      </c>
      <c r="CA43" s="13">
        <f t="shared" si="39"/>
        <v>29.193912826430967</v>
      </c>
      <c r="CB43" s="20">
        <f t="shared" si="10"/>
        <v>241.41644483936719</v>
      </c>
      <c r="CC43" s="59">
        <f t="shared" si="11"/>
        <v>534.74977817270053</v>
      </c>
      <c r="CD43" s="59">
        <f ca="1">AVERAGE(OFFSET($CC$3,0,0,'Données projet'!$E$12+1,1))-AVERAGE(OFFSET($H$3,0,0,'Données projet'!$E$12+1,1))</f>
        <v>140.9558843244115</v>
      </c>
      <c r="CE43" s="59">
        <f t="shared" si="40"/>
        <v>158.88947216184619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3.887142857142857</v>
      </c>
      <c r="CT43" s="12">
        <f>IF('Données projet'!$A$140&gt;35,CT42+CS43-DB42,IF(A43&lt;'Données projet'!$A$140,$CQ$205^A43,IF(A43='Données projet'!$A$140,'Données projet'!$B$140,CT42+CS43-DB42)))</f>
        <v>155.48571428571438</v>
      </c>
      <c r="CU43" s="17">
        <f>CT43*VLOOKUP('Données projet'!$B$13,Paramètres!$A$1:$I$89,3,0)*VLOOKUP('Données projet'!$B$13,Paramètres!$A$1:$I$89,5,0)</f>
        <v>150.38578285714294</v>
      </c>
      <c r="CV43" s="13">
        <f t="shared" si="41"/>
        <v>38.666243049156442</v>
      </c>
      <c r="CW43" s="20">
        <f t="shared" si="13"/>
        <v>329.26561178680475</v>
      </c>
      <c r="CX43" s="59">
        <f t="shared" si="14"/>
        <v>622.59894512013807</v>
      </c>
      <c r="CY43" s="59">
        <f ca="1">AVERAGE(OFFSET($CX$3,0,0,'Données projet'!$E$13+1,1))-AVERAGE(OFFSET($H$3,0,0,'Données projet'!$E$13+1,1))</f>
        <v>467.11196088914556</v>
      </c>
      <c r="CZ43" s="59">
        <f t="shared" si="42"/>
        <v>208.53783609106262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3.887142857142857</v>
      </c>
      <c r="DO43" s="12">
        <f>IF('Données projet'!$A$166&gt;35,DO42+DN43-DW42,IF(A43&lt;'Données projet'!$A$166,$DL$205^A43,IF(A43='Données projet'!$A$166,'Données projet'!$B$166,DO42+DN43-DW42)))</f>
        <v>155.48571428571438</v>
      </c>
      <c r="DP43" s="17">
        <f>DO43*VLOOKUP('Données projet'!$B$14,Paramètres!$A$1:$I$89,3,0)*VLOOKUP('Données projet'!$B$14,Paramètres!$A$1:$I$89,5,0)</f>
        <v>167.36482285714294</v>
      </c>
      <c r="DQ43" s="13">
        <f t="shared" si="43"/>
        <v>42.499296021333798</v>
      </c>
      <c r="DR43" s="20">
        <f t="shared" si="16"/>
        <v>365.51334038001369</v>
      </c>
      <c r="DS43" s="59">
        <f t="shared" si="17"/>
        <v>658.84667371334695</v>
      </c>
      <c r="DT43" s="59">
        <f ca="1">AVERAGE(OFFSET($DS$3,0,0,'Données projet'!$E$14+1,1))-AVERAGE(OFFSET($H$3,0,0,'Données projet'!$E$14+1,1))</f>
        <v>531.65020827367698</v>
      </c>
      <c r="DU43" s="59">
        <f t="shared" si="44"/>
        <v>235.89413420278396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23.665200000000013</v>
      </c>
      <c r="D44" s="11">
        <f t="shared" si="32"/>
        <v>7.5459829425713734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240.92842973213001</v>
      </c>
      <c r="H44" s="67">
        <f t="shared" si="1"/>
        <v>347.69281029164517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151.65921085714294</v>
      </c>
      <c r="P44" s="13">
        <f t="shared" si="33"/>
        <v>38.955405492991275</v>
      </c>
      <c r="Q44" s="20">
        <f t="shared" si="53"/>
        <v>331.98712347648376</v>
      </c>
      <c r="R44" s="59">
        <f t="shared" si="0"/>
        <v>625.32045680981707</v>
      </c>
      <c r="S44" s="59">
        <f ca="1">AVERAGE(OFFSET($R$3,0,0,'Données projet'!$E$9+1,1))-AVERAGE(OFFSET($H$3,0,0,'Données projet'!$E$9+1,1))</f>
        <v>457.88065872594228</v>
      </c>
      <c r="T44" s="59">
        <f t="shared" si="34"/>
        <v>204.62439362068329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609.37302173446676</v>
      </c>
      <c r="AN44" s="59">
        <f ca="1">AVERAGE(OFFSET($AM$3,0,0,'Données projet'!$E$10+1,1))-AVERAGE(OFFSET($H$3,0,0,'Données projet'!$E$10+1,1))</f>
        <v>430.16825592717629</v>
      </c>
      <c r="AO44" s="59">
        <f t="shared" si="36"/>
        <v>192.87542067077248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8.9585714285714282</v>
      </c>
      <c r="BD44" s="12">
        <f>IF('Données projet'!$A$88&gt;35,BD43+BC44-BL43,IF(A44&lt;'Données projet'!$A$88,$BA$205^A44,IF(A44='Données projet'!$A$88,'Données projet'!$B$88,BD43+BC44-BL43)))</f>
        <v>102.62571428571427</v>
      </c>
      <c r="BE44" s="13">
        <f>BD44*VLOOKUP('Données projet'!$B$11,Paramètres!$A$1:$I$89,3,0)*VLOOKUP('Données projet'!$B$11,Paramètres!$A$1:$I$89,5,0)</f>
        <v>86.451901714285711</v>
      </c>
      <c r="BF44" s="13">
        <f t="shared" si="37"/>
        <v>23.707516319057149</v>
      </c>
      <c r="BG44" s="20">
        <f t="shared" si="7"/>
        <v>191.86098640807214</v>
      </c>
      <c r="BH44" s="59">
        <f t="shared" si="8"/>
        <v>485.19431974140548</v>
      </c>
      <c r="BI44" s="59">
        <f ca="1">AVERAGE(OFFSET($BH$3,0,0,'Données projet'!$E$11+1,1))-AVERAGE(OFFSET($H$3,0,0,'Données projet'!$E$11+1,1))</f>
        <v>243.94505553629301</v>
      </c>
      <c r="BJ44" s="59">
        <f t="shared" si="38"/>
        <v>173.05364940250229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151.39999999999998</v>
      </c>
      <c r="BZ44" s="13">
        <f>BY44*VLOOKUP('Données projet'!$B$12,Paramètres!$A$1:$I$89,3,0)*VLOOKUP('Données projet'!$B$12,Paramètres!$A$1:$I$89,5,0)</f>
        <v>99.197279999999978</v>
      </c>
      <c r="CA44" s="13">
        <f t="shared" si="39"/>
        <v>26.770670966897111</v>
      </c>
      <c r="CB44" s="20">
        <f t="shared" si="10"/>
        <v>219.39418126734574</v>
      </c>
      <c r="CC44" s="59">
        <f t="shared" si="11"/>
        <v>512.72751460067911</v>
      </c>
      <c r="CD44" s="59">
        <f ca="1">AVERAGE(OFFSET($CC$3,0,0,'Données projet'!$E$12+1,1))-AVERAGE(OFFSET($H$3,0,0,'Données projet'!$E$12+1,1))</f>
        <v>140.9558843244115</v>
      </c>
      <c r="CE44" s="59">
        <f t="shared" si="40"/>
        <v>158.88947216184619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3.887142857142857</v>
      </c>
      <c r="CT44" s="12">
        <f>IF('Données projet'!$A$140&gt;35,CT43+CS44-DB43,IF(A44&lt;'Données projet'!$A$140,$CQ$205^A44,IF(A44='Données projet'!$A$140,'Données projet'!$B$140,CT43+CS44-DB43)))</f>
        <v>159.37285714285724</v>
      </c>
      <c r="CU44" s="17">
        <f>CT44*VLOOKUP('Données projet'!$B$13,Paramètres!$A$1:$I$89,3,0)*VLOOKUP('Données projet'!$B$13,Paramètres!$A$1:$I$89,5,0)</f>
        <v>154.14542742857151</v>
      </c>
      <c r="CV44" s="13">
        <f t="shared" si="41"/>
        <v>39.519148999637181</v>
      </c>
      <c r="CW44" s="20">
        <f t="shared" si="13"/>
        <v>337.29913727913015</v>
      </c>
      <c r="CX44" s="59">
        <f t="shared" si="14"/>
        <v>630.63247061246352</v>
      </c>
      <c r="CY44" s="59">
        <f ca="1">AVERAGE(OFFSET($CX$3,0,0,'Données projet'!$E$13+1,1))-AVERAGE(OFFSET($H$3,0,0,'Données projet'!$E$13+1,1))</f>
        <v>467.11196088914556</v>
      </c>
      <c r="CZ44" s="59">
        <f t="shared" si="42"/>
        <v>208.53783609106262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3.887142857142857</v>
      </c>
      <c r="DO44" s="12">
        <f>IF('Données projet'!$A$166&gt;35,DO43+DN44-DW43,IF(A44&lt;'Données projet'!$A$166,$DL$205^A44,IF(A44='Données projet'!$A$166,'Données projet'!$B$166,DO43+DN44-DW43)))</f>
        <v>159.37285714285724</v>
      </c>
      <c r="DP44" s="17">
        <f>DO44*VLOOKUP('Données projet'!$B$14,Paramètres!$A$1:$I$89,3,0)*VLOOKUP('Données projet'!$B$14,Paramètres!$A$1:$I$89,5,0)</f>
        <v>171.54894342857153</v>
      </c>
      <c r="DQ44" s="13">
        <f t="shared" si="43"/>
        <v>43.436752045229305</v>
      </c>
      <c r="DR44" s="20">
        <f t="shared" si="16"/>
        <v>374.43341961686974</v>
      </c>
      <c r="DS44" s="59">
        <f t="shared" si="17"/>
        <v>667.766752950203</v>
      </c>
      <c r="DT44" s="59">
        <f ca="1">AVERAGE(OFFSET($DS$3,0,0,'Données projet'!$E$14+1,1))-AVERAGE(OFFSET($H$3,0,0,'Données projet'!$E$14+1,1))</f>
        <v>531.65020827367698</v>
      </c>
      <c r="DU44" s="59">
        <f t="shared" si="44"/>
        <v>235.89413420278396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5" s="11">
        <f t="shared" si="32"/>
        <v>7.7083792976822068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246.63759457859965</v>
      </c>
      <c r="H45" s="67">
        <f t="shared" si="1"/>
        <v>348.98094061012984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155.35821600000008</v>
      </c>
      <c r="P45" s="13">
        <f t="shared" si="33"/>
        <v>39.793760934829947</v>
      </c>
      <c r="Q45" s="20">
        <f t="shared" si="53"/>
        <v>339.88969316149564</v>
      </c>
      <c r="R45" s="59">
        <f t="shared" si="0"/>
        <v>633.2230264948289</v>
      </c>
      <c r="S45" s="59">
        <f ca="1">AVERAGE(OFFSET($R$3,0,0,'Données projet'!$E$9+1,1))-AVERAGE(OFFSET($H$3,0,0,'Données projet'!$E$9+1,1))</f>
        <v>457.88065872594228</v>
      </c>
      <c r="T45" s="59">
        <f t="shared" si="34"/>
        <v>204.62439362068329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5.8637510046788428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5.8637510046788428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616.89511410060504</v>
      </c>
      <c r="AN45" s="59">
        <f ca="1">AVERAGE(OFFSET($AM$3,0,0,'Données projet'!$E$10+1,1))-AVERAGE(OFFSET($H$3,0,0,'Données projet'!$E$10+1,1))</f>
        <v>430.16825592717629</v>
      </c>
      <c r="AO45" s="59">
        <f t="shared" si="36"/>
        <v>192.87542067077248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8.9585714285714282</v>
      </c>
      <c r="BD45" s="12">
        <f>IF('Données projet'!$A$88&gt;35,BD44+BC45-BL44,IF(A45&lt;'Données projet'!$A$88,$BA$205^A45,IF(A45='Données projet'!$A$88,'Données projet'!$B$88,BD44+BC45-BL44)))</f>
        <v>111.5842857142857</v>
      </c>
      <c r="BE45" s="13">
        <f>BD45*VLOOKUP('Données projet'!$B$11,Paramètres!$A$1:$I$89,3,0)*VLOOKUP('Données projet'!$B$11,Paramètres!$A$1:$I$89,5,0)</f>
        <v>93.998602285714284</v>
      </c>
      <c r="BF45" s="13">
        <f t="shared" si="37"/>
        <v>25.527138240982005</v>
      </c>
      <c r="BG45" s="20">
        <f t="shared" si="7"/>
        <v>208.17399808399605</v>
      </c>
      <c r="BH45" s="59">
        <f t="shared" si="8"/>
        <v>501.5073314173294</v>
      </c>
      <c r="BI45" s="59">
        <f ca="1">AVERAGE(OFFSET($BH$3,0,0,'Données projet'!$E$11+1,1))-AVERAGE(OFFSET($H$3,0,0,'Données projet'!$E$11+1,1))</f>
        <v>243.94505553629301</v>
      </c>
      <c r="BJ45" s="59">
        <f t="shared" si="38"/>
        <v>173.05364940250229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157.79999999999998</v>
      </c>
      <c r="BZ45" s="13">
        <f>BY45*VLOOKUP('Données projet'!$B$12,Paramètres!$A$1:$I$89,3,0)*VLOOKUP('Données projet'!$B$12,Paramètres!$A$1:$I$89,5,0)</f>
        <v>103.39055999999999</v>
      </c>
      <c r="CA45" s="13">
        <f t="shared" si="39"/>
        <v>27.768177525719913</v>
      </c>
      <c r="CB45" s="20">
        <f t="shared" si="10"/>
        <v>228.43480119062883</v>
      </c>
      <c r="CC45" s="59">
        <f t="shared" si="11"/>
        <v>521.76813452396209</v>
      </c>
      <c r="CD45" s="59">
        <f ca="1">AVERAGE(OFFSET($CC$3,0,0,'Données projet'!$E$12+1,1))-AVERAGE(OFFSET($H$3,0,0,'Données projet'!$E$12+1,1))</f>
        <v>140.9558843244115</v>
      </c>
      <c r="CE45" s="59">
        <f t="shared" si="40"/>
        <v>158.88947216184619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163.26</v>
      </c>
      <c r="CR45" s="12">
        <f>VLOOKUP(A45,'Données projet'!$A$139:$I$159,9,0)</f>
        <v>3.887142857142857</v>
      </c>
      <c r="CS45" s="12">
        <f t="array" ref="CS45">INDEX(CR:CR,MIN(IF(ISNUMBER(CR45:CR241),ROW(CR45:CR241),"")))</f>
        <v>3.887142857142857</v>
      </c>
      <c r="CT45" s="12">
        <f>IF('Données projet'!$A$140&gt;35,CT44+CS45-DB44,IF(A45&lt;'Données projet'!$A$140,$CQ$205^A45,IF(A45='Données projet'!$A$140,'Données projet'!$B$140,CT44+CS45-DB44)))</f>
        <v>163.2600000000001</v>
      </c>
      <c r="CU45" s="17">
        <f>CT45*VLOOKUP('Données projet'!$B$13,Paramètres!$A$1:$I$89,3,0)*VLOOKUP('Données projet'!$B$13,Paramètres!$A$1:$I$89,5,0)</f>
        <v>157.9050720000001</v>
      </c>
      <c r="CV45" s="13">
        <f t="shared" si="41"/>
        <v>40.369636709915028</v>
      </c>
      <c r="CW45" s="20">
        <f t="shared" si="13"/>
        <v>345.32845100310215</v>
      </c>
      <c r="CX45" s="59">
        <f t="shared" si="14"/>
        <v>638.6617843364354</v>
      </c>
      <c r="CY45" s="59">
        <f ca="1">AVERAGE(OFFSET($CX$3,0,0,'Données projet'!$E$13+1,1))-AVERAGE(OFFSET($H$3,0,0,'Données projet'!$E$13+1,1))</f>
        <v>467.11196088914556</v>
      </c>
      <c r="CZ45" s="59">
        <f t="shared" si="42"/>
        <v>208.53783609106262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0.129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5.9598780703293146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5.9598780703293146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163.26</v>
      </c>
      <c r="DM45" s="12">
        <f>VLOOKUP(A45,'Données projet'!$A$165:$I$185,9,0)</f>
        <v>3.887142857142857</v>
      </c>
      <c r="DN45" s="12">
        <f t="array" ref="DN45">INDEX(DM:DM,MIN(IF(ISNUMBER(DM45:DM241),ROW(DM45:DM241),"")))</f>
        <v>3.887142857142857</v>
      </c>
      <c r="DO45" s="12">
        <f>IF('Données projet'!$A$166&gt;35,DO44+DN45-DW44,IF(A45&lt;'Données projet'!$A$166,$DL$205^A45,IF(A45='Données projet'!$A$166,'Données projet'!$B$166,DO44+DN45-DW44)))</f>
        <v>163.2600000000001</v>
      </c>
      <c r="DP45" s="17">
        <f>DO45*VLOOKUP('Données projet'!$B$14,Paramètres!$A$1:$I$89,3,0)*VLOOKUP('Données projet'!$B$14,Paramètres!$A$1:$I$89,5,0)</f>
        <v>175.7330640000001</v>
      </c>
      <c r="DQ45" s="13">
        <f t="shared" si="43"/>
        <v>44.371550104499022</v>
      </c>
      <c r="DR45" s="20">
        <f t="shared" si="16"/>
        <v>383.34886956533597</v>
      </c>
      <c r="DS45" s="59">
        <f t="shared" si="17"/>
        <v>676.68220289866929</v>
      </c>
      <c r="DT45" s="59">
        <f ca="1">AVERAGE(OFFSET($DS$3,0,0,'Données projet'!$E$14+1,1))-AVERAGE(OFFSET($H$3,0,0,'Données projet'!$E$14+1,1))</f>
        <v>531.65020827367698</v>
      </c>
      <c r="DU45" s="59">
        <f t="shared" si="44"/>
        <v>235.89413420278396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43.21</v>
      </c>
      <c r="DX45" s="16">
        <f>IF(ISNA(VLOOKUP(A45,'Données projet'!$A$165:$I$185,5,0)),0%,VLOOKUP(A45,'Données projet'!$A$165:$I$185,5,0)*VLOOKUP('Données projet'!$B$14,Paramètres!$A$1:$I$89,7,0))</f>
        <v>0.129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6.6327675298826243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6.6327675298826243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24.819600000000015</v>
      </c>
      <c r="D46" s="11">
        <f t="shared" si="32"/>
        <v>7.870326161102529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252.34328966465125</v>
      </c>
      <c r="H46" s="67">
        <f t="shared" si="1"/>
        <v>350.26828806392024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123.15726150000009</v>
      </c>
      <c r="P46" s="13">
        <f t="shared" si="33"/>
        <v>32.410261982961771</v>
      </c>
      <c r="Q46" s="20">
        <f t="shared" si="53"/>
        <v>270.94677006615854</v>
      </c>
      <c r="R46" s="59">
        <f t="shared" si="0"/>
        <v>564.28010339949185</v>
      </c>
      <c r="S46" s="59">
        <f ca="1">AVERAGE(OFFSET($R$3,0,0,'Données projet'!$E$9+1,1))-AVERAGE(OFFSET($H$3,0,0,'Données projet'!$E$9+1,1))</f>
        <v>457.88065872594228</v>
      </c>
      <c r="T46" s="59">
        <f t="shared" si="34"/>
        <v>204.62439362068329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5.7487664240120502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5.7487664240120502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551.27084023838916</v>
      </c>
      <c r="AN46" s="59">
        <f ca="1">AVERAGE(OFFSET($AM$3,0,0,'Données projet'!$E$10+1,1))-AVERAGE(OFFSET($H$3,0,0,'Données projet'!$E$10+1,1))</f>
        <v>430.16825592717629</v>
      </c>
      <c r="AO46" s="59">
        <f t="shared" si="36"/>
        <v>192.87542067077248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8.9585714285714282</v>
      </c>
      <c r="BD46" s="12">
        <f>IF('Données projet'!$A$88&gt;35,BD45+BC46-BL45,IF(A46&lt;'Données projet'!$A$88,$BA$205^A46,IF(A46='Données projet'!$A$88,'Données projet'!$B$88,BD45+BC46-BL45)))</f>
        <v>120.54285714285713</v>
      </c>
      <c r="BE46" s="13">
        <f>BD46*VLOOKUP('Données projet'!$B$11,Paramètres!$A$1:$I$89,3,0)*VLOOKUP('Données projet'!$B$11,Paramètres!$A$1:$I$89,5,0)</f>
        <v>101.54530285714286</v>
      </c>
      <c r="BF46" s="13">
        <f t="shared" si="37"/>
        <v>27.329815434376485</v>
      </c>
      <c r="BG46" s="20">
        <f t="shared" si="7"/>
        <v>224.45749769106285</v>
      </c>
      <c r="BH46" s="59">
        <f t="shared" si="8"/>
        <v>517.7908310243962</v>
      </c>
      <c r="BI46" s="59">
        <f ca="1">AVERAGE(OFFSET($BH$3,0,0,'Données projet'!$E$11+1,1))-AVERAGE(OFFSET($H$3,0,0,'Données projet'!$E$11+1,1))</f>
        <v>243.94505553629301</v>
      </c>
      <c r="BJ46" s="59">
        <f t="shared" si="38"/>
        <v>173.05364940250229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164.2</v>
      </c>
      <c r="BZ46" s="13">
        <f>BY46*VLOOKUP('Données projet'!$B$12,Paramètres!$A$1:$I$89,3,0)*VLOOKUP('Données projet'!$B$12,Paramètres!$A$1:$I$89,5,0)</f>
        <v>107.58384</v>
      </c>
      <c r="CA46" s="13">
        <f t="shared" si="39"/>
        <v>28.760984680893039</v>
      </c>
      <c r="CB46" s="20">
        <f t="shared" si="10"/>
        <v>237.46723631922202</v>
      </c>
      <c r="CC46" s="59">
        <f t="shared" si="11"/>
        <v>530.8005696525554</v>
      </c>
      <c r="CD46" s="59">
        <f ca="1">AVERAGE(OFFSET($CC$3,0,0,'Données projet'!$E$12+1,1))-AVERAGE(OFFSET($H$3,0,0,'Données projet'!$E$12+1,1))</f>
        <v>140.9558843244115</v>
      </c>
      <c r="CE46" s="59">
        <f t="shared" si="40"/>
        <v>158.88947216184619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9.3712500000000034</v>
      </c>
      <c r="CT46" s="12">
        <f>IF('Données projet'!$A$140&gt;35,CT45+CS46-DB45,IF(A46&lt;'Données projet'!$A$140,$CQ$205^A46,IF(A46='Données projet'!$A$140,'Données projet'!$B$140,CT45+CS46-DB45)))</f>
        <v>129.4212500000001</v>
      </c>
      <c r="CU46" s="17">
        <f>CT46*VLOOKUP('Données projet'!$B$13,Paramètres!$A$1:$I$89,3,0)*VLOOKUP('Données projet'!$B$13,Paramètres!$A$1:$I$89,5,0)</f>
        <v>125.1762330000001</v>
      </c>
      <c r="CV46" s="13">
        <f t="shared" si="41"/>
        <v>32.879287385479394</v>
      </c>
      <c r="CW46" s="20">
        <f t="shared" si="13"/>
        <v>275.28003133804344</v>
      </c>
      <c r="CX46" s="59">
        <f t="shared" si="14"/>
        <v>568.61336467137676</v>
      </c>
      <c r="CY46" s="59">
        <f ca="1">AVERAGE(OFFSET($CX$3,0,0,'Données projet'!$E$13+1,1))-AVERAGE(OFFSET($H$3,0,0,'Données projet'!$E$13+1,1))</f>
        <v>467.11196088914556</v>
      </c>
      <c r="CZ46" s="59">
        <f t="shared" si="42"/>
        <v>208.53783609106262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5.8430084965368367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5.8430084965368367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9.3712500000000034</v>
      </c>
      <c r="DO46" s="12">
        <f>IF('Données projet'!$A$166&gt;35,DO45+DN46-DW45,IF(A46&lt;'Données projet'!$A$166,$DL$205^A46,IF(A46='Données projet'!$A$166,'Données projet'!$B$166,DO45+DN46-DW45)))</f>
        <v>129.4212500000001</v>
      </c>
      <c r="DP46" s="17">
        <f>DO46*VLOOKUP('Données projet'!$B$14,Paramètres!$A$1:$I$89,3,0)*VLOOKUP('Données projet'!$B$14,Paramètres!$A$1:$I$89,5,0)</f>
        <v>139.30903350000008</v>
      </c>
      <c r="DQ46" s="13">
        <f t="shared" si="43"/>
        <v>36.138669220838089</v>
      </c>
      <c r="DR46" s="20">
        <f t="shared" si="16"/>
        <v>305.57141557212645</v>
      </c>
      <c r="DS46" s="59">
        <f t="shared" si="17"/>
        <v>598.90474890545977</v>
      </c>
      <c r="DT46" s="59">
        <f ca="1">AVERAGE(OFFSET($DS$3,0,0,'Données projet'!$E$14+1,1))-AVERAGE(OFFSET($H$3,0,0,'Données projet'!$E$14+1,1))</f>
        <v>531.65020827367698</v>
      </c>
      <c r="DU46" s="59">
        <f t="shared" si="44"/>
        <v>235.89413420278396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6.5027030042103506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6.5027030042103506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25.396800000000017</v>
      </c>
      <c r="D47" s="11">
        <f t="shared" si="32"/>
        <v>8.0318351892337905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258.04560496952416</v>
      </c>
      <c r="H47" s="67">
        <f t="shared" si="1"/>
        <v>351.55487295458221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132.0749430000001</v>
      </c>
      <c r="P47" s="13">
        <f t="shared" si="33"/>
        <v>34.475374974961412</v>
      </c>
      <c r="Q47" s="20">
        <f t="shared" si="53"/>
        <v>290.07513713972457</v>
      </c>
      <c r="R47" s="59">
        <f t="shared" si="0"/>
        <v>583.40847047305783</v>
      </c>
      <c r="S47" s="59">
        <f ca="1">AVERAGE(OFFSET($R$3,0,0,'Données projet'!$E$9+1,1))-AVERAGE(OFFSET($H$3,0,0,'Données projet'!$E$9+1,1))</f>
        <v>457.88065872594228</v>
      </c>
      <c r="T47" s="59">
        <f t="shared" si="34"/>
        <v>204.62439362068329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5.636036620838464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5.636036620838464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569.47860202017466</v>
      </c>
      <c r="AN47" s="59">
        <f ca="1">AVERAGE(OFFSET($AM$3,0,0,'Données projet'!$E$10+1,1))-AVERAGE(OFFSET($H$3,0,0,'Données projet'!$E$10+1,1))</f>
        <v>430.16825592717629</v>
      </c>
      <c r="AO47" s="59">
        <f t="shared" si="36"/>
        <v>192.87542067077248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8.9585714285714282</v>
      </c>
      <c r="BD47" s="12">
        <f>IF('Données projet'!$A$88&gt;35,BD46+BC47-BL46,IF(A47&lt;'Données projet'!$A$88,$BA$205^A47,IF(A47='Données projet'!$A$88,'Données projet'!$B$88,BD46+BC47-BL46)))</f>
        <v>129.50142857142856</v>
      </c>
      <c r="BE47" s="13">
        <f>BD47*VLOOKUP('Données projet'!$B$11,Paramètres!$A$1:$I$89,3,0)*VLOOKUP('Données projet'!$B$11,Paramètres!$A$1:$I$89,5,0)</f>
        <v>109.09200342857145</v>
      </c>
      <c r="BF47" s="13">
        <f t="shared" si="37"/>
        <v>29.116950405918221</v>
      </c>
      <c r="BG47" s="20">
        <f t="shared" si="7"/>
        <v>240.7139279284028</v>
      </c>
      <c r="BH47" s="59">
        <f t="shared" si="8"/>
        <v>534.04726126173614</v>
      </c>
      <c r="BI47" s="59">
        <f ca="1">AVERAGE(OFFSET($BH$3,0,0,'Données projet'!$E$11+1,1))-AVERAGE(OFFSET($H$3,0,0,'Données projet'!$E$11+1,1))</f>
        <v>243.94505553629301</v>
      </c>
      <c r="BJ47" s="59">
        <f t="shared" si="38"/>
        <v>173.05364940250229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170.6</v>
      </c>
      <c r="BZ47" s="13">
        <f>BY47*VLOOKUP('Données projet'!$B$12,Paramètres!$A$1:$I$89,3,0)*VLOOKUP('Données projet'!$B$12,Paramètres!$A$1:$I$89,5,0)</f>
        <v>111.77712000000001</v>
      </c>
      <c r="CA47" s="13">
        <f t="shared" si="39"/>
        <v>29.749296563258223</v>
      </c>
      <c r="CB47" s="20">
        <f t="shared" si="10"/>
        <v>246.49184218100808</v>
      </c>
      <c r="CC47" s="59">
        <f t="shared" si="11"/>
        <v>539.82517551434137</v>
      </c>
      <c r="CD47" s="59">
        <f ca="1">AVERAGE(OFFSET($CC$3,0,0,'Données projet'!$E$12+1,1))-AVERAGE(OFFSET($H$3,0,0,'Données projet'!$E$12+1,1))</f>
        <v>140.9558843244115</v>
      </c>
      <c r="CE47" s="59">
        <f t="shared" si="40"/>
        <v>158.88947216184619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9.3712500000000034</v>
      </c>
      <c r="CT47" s="12">
        <f>IF('Données projet'!$A$140&gt;35,CT46+CS47-DB46,IF(A47&lt;'Données projet'!$A$140,$CQ$205^A47,IF(A47='Données projet'!$A$140,'Données projet'!$B$140,CT46+CS47-DB46)))</f>
        <v>138.7925000000001</v>
      </c>
      <c r="CU47" s="17">
        <f>CT47*VLOOKUP('Données projet'!$B$13,Paramètres!$A$1:$I$89,3,0)*VLOOKUP('Données projet'!$B$13,Paramètres!$A$1:$I$89,5,0)</f>
        <v>134.24010600000011</v>
      </c>
      <c r="CV47" s="13">
        <f t="shared" si="41"/>
        <v>34.974285679017981</v>
      </c>
      <c r="CW47" s="20">
        <f t="shared" si="13"/>
        <v>294.71506550762314</v>
      </c>
      <c r="CX47" s="59">
        <f t="shared" si="14"/>
        <v>588.04839884095645</v>
      </c>
      <c r="CY47" s="59">
        <f ca="1">AVERAGE(OFFSET($CX$3,0,0,'Données projet'!$E$13+1,1))-AVERAGE(OFFSET($H$3,0,0,'Données projet'!$E$13+1,1))</f>
        <v>467.11196088914556</v>
      </c>
      <c r="CZ47" s="59">
        <f t="shared" si="42"/>
        <v>208.53783609106262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5.728430663803028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5.728430663803028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9.3712500000000034</v>
      </c>
      <c r="DO47" s="12">
        <f>IF('Données projet'!$A$166&gt;35,DO46+DN47-DW46,IF(A47&lt;'Données projet'!$A$166,$DL$205^A47,IF(A47='Données projet'!$A$166,'Données projet'!$B$166,DO46+DN47-DW46)))</f>
        <v>138.7925000000001</v>
      </c>
      <c r="DP47" s="17">
        <f>DO47*VLOOKUP('Données projet'!$B$14,Paramètres!$A$1:$I$89,3,0)*VLOOKUP('Données projet'!$B$14,Paramètres!$A$1:$I$89,5,0)</f>
        <v>149.3962470000001</v>
      </c>
      <c r="DQ47" s="13">
        <f t="shared" si="43"/>
        <v>38.441348395747688</v>
      </c>
      <c r="DR47" s="20">
        <f t="shared" si="16"/>
        <v>327.15047864759407</v>
      </c>
      <c r="DS47" s="59">
        <f t="shared" si="17"/>
        <v>620.48381198092738</v>
      </c>
      <c r="DT47" s="59">
        <f ca="1">AVERAGE(OFFSET($DS$3,0,0,'Données projet'!$E$14+1,1))-AVERAGE(OFFSET($H$3,0,0,'Données projet'!$E$14+1,1))</f>
        <v>531.65020827367698</v>
      </c>
      <c r="DU47" s="59">
        <f t="shared" si="44"/>
        <v>235.89413420278396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6.3751889645549831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6.3751889645549831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25.974000000000018</v>
      </c>
      <c r="D48" s="11">
        <f t="shared" si="32"/>
        <v>8.1929174784004726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263.7446261490565</v>
      </c>
      <c r="H48" s="67">
        <f t="shared" si="1"/>
        <v>352.84071460821417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140.99262450000012</v>
      </c>
      <c r="P48" s="13">
        <f t="shared" si="33"/>
        <v>36.524308241039392</v>
      </c>
      <c r="Q48" s="20">
        <f t="shared" si="53"/>
        <v>309.17532452397717</v>
      </c>
      <c r="R48" s="59">
        <f t="shared" si="0"/>
        <v>602.50865785731048</v>
      </c>
      <c r="S48" s="59">
        <f ca="1">AVERAGE(OFFSET($R$3,0,0,'Données projet'!$E$9+1,1))-AVERAGE(OFFSET($H$3,0,0,'Données projet'!$E$9+1,1))</f>
        <v>457.88065872594228</v>
      </c>
      <c r="T48" s="59">
        <f t="shared" si="34"/>
        <v>204.62439362068329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5.525517380346721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5.525517380346721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587.65941225278311</v>
      </c>
      <c r="AN48" s="59">
        <f ca="1">AVERAGE(OFFSET($AM$3,0,0,'Données projet'!$E$10+1,1))-AVERAGE(OFFSET($H$3,0,0,'Données projet'!$E$10+1,1))</f>
        <v>430.16825592717629</v>
      </c>
      <c r="AO48" s="59">
        <f t="shared" si="36"/>
        <v>192.87542067077248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138.46</v>
      </c>
      <c r="BB48" s="12">
        <f>VLOOKUP(A48,'Données projet'!$A$87:$I$107,9,0)</f>
        <v>8.9585714285714282</v>
      </c>
      <c r="BC48" s="12">
        <f t="array" ref="BC48">INDEX(BB:BB,MIN(IF(ISNUMBER(BB48:BB244),ROW(BB48:BB244),"")))</f>
        <v>8.9585714285714282</v>
      </c>
      <c r="BD48" s="12">
        <f>IF('Données projet'!$A$88&gt;35,BD47+BC48-BL47,IF(A48&lt;'Données projet'!$A$88,$BA$205^A48,IF(A48='Données projet'!$A$88,'Données projet'!$B$88,BD47+BC48-BL47)))</f>
        <v>138.45999999999998</v>
      </c>
      <c r="BE48" s="13">
        <f>BD48*VLOOKUP('Données projet'!$B$11,Paramètres!$A$1:$I$89,3,0)*VLOOKUP('Données projet'!$B$11,Paramètres!$A$1:$I$89,5,0)</f>
        <v>116.638704</v>
      </c>
      <c r="BF48" s="13">
        <f t="shared" si="37"/>
        <v>30.889740632339958</v>
      </c>
      <c r="BG48" s="20">
        <f t="shared" si="7"/>
        <v>256.94537440132541</v>
      </c>
      <c r="BH48" s="59">
        <f t="shared" si="8"/>
        <v>550.27870773465872</v>
      </c>
      <c r="BI48" s="59">
        <f ca="1">AVERAGE(OFFSET($BH$3,0,0,'Données projet'!$E$11+1,1))-AVERAGE(OFFSET($H$3,0,0,'Données projet'!$E$11+1,1))</f>
        <v>243.94505553629301</v>
      </c>
      <c r="BJ48" s="59">
        <f t="shared" si="38"/>
        <v>173.05364940250229</v>
      </c>
      <c r="BK48" s="15">
        <f>IF(ISNA(VLOOKUP(A48,'Données projet'!$A$87:$I$107,3,0)),0,VLOOKUP(A48,'Données projet'!$A$87:$I$107,3,0))</f>
        <v>2</v>
      </c>
      <c r="BL48" s="15">
        <f>IF(ISNA(VLOOKUP(A48,'Données projet'!$A$87:$I$107,4,0)),0,VLOOKUP(A48,'Données projet'!$A$87:$I$107,4,0))</f>
        <v>39.119999999999997</v>
      </c>
      <c r="BM48" s="16">
        <f>IF(ISNA(VLOOKUP(A48,'Données projet'!$A$87:$I$107,5,0)),0%,VLOOKUP(A48,'Données projet'!$A$87:$I$107,5,0)*VLOOKUP('Données projet'!$B$11,Paramètres!$A$1:$I$89,7,0))</f>
        <v>0.129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4.6995256571467445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4.6995256571467445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177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177</v>
      </c>
      <c r="BZ48" s="13">
        <f>BY48*VLOOKUP('Données projet'!$B$12,Paramètres!$A$1:$I$89,3,0)*VLOOKUP('Données projet'!$B$12,Paramètres!$A$1:$I$89,5,0)</f>
        <v>115.97040000000001</v>
      </c>
      <c r="CA48" s="13">
        <f t="shared" si="39"/>
        <v>30.733301120222794</v>
      </c>
      <c r="CB48" s="20">
        <f t="shared" si="10"/>
        <v>255.50894611772139</v>
      </c>
      <c r="CC48" s="59">
        <f t="shared" si="11"/>
        <v>548.84227945105476</v>
      </c>
      <c r="CD48" s="59">
        <f ca="1">AVERAGE(OFFSET($CC$3,0,0,'Données projet'!$E$12+1,1))-AVERAGE(OFFSET($H$3,0,0,'Données projet'!$E$12+1,1))</f>
        <v>140.9558843244115</v>
      </c>
      <c r="CE48" s="59">
        <f t="shared" si="40"/>
        <v>158.88947216184619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2.0555752987974283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2.0555752987974283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9.3712500000000034</v>
      </c>
      <c r="CT48" s="12">
        <f>IF('Données projet'!$A$140&gt;35,CT47+CS48-DB47,IF(A48&lt;'Données projet'!$A$140,$CQ$205^A48,IF(A48='Données projet'!$A$140,'Données projet'!$B$140,CT47+CS48-DB47)))</f>
        <v>148.16375000000011</v>
      </c>
      <c r="CU48" s="17">
        <f>CT48*VLOOKUP('Données projet'!$B$13,Paramètres!$A$1:$I$89,3,0)*VLOOKUP('Données projet'!$B$13,Paramètres!$A$1:$I$89,5,0)</f>
        <v>143.30397900000011</v>
      </c>
      <c r="CV48" s="13">
        <f t="shared" si="41"/>
        <v>37.052870101583345</v>
      </c>
      <c r="CW48" s="20">
        <f t="shared" si="13"/>
        <v>314.12151218525787</v>
      </c>
      <c r="CX48" s="59">
        <f t="shared" si="14"/>
        <v>607.45484551859113</v>
      </c>
      <c r="CY48" s="59">
        <f ca="1">AVERAGE(OFFSET($CX$3,0,0,'Données projet'!$E$13+1,1))-AVERAGE(OFFSET($H$3,0,0,'Données projet'!$E$13+1,1))</f>
        <v>467.11196088914556</v>
      </c>
      <c r="CZ48" s="59">
        <f t="shared" si="42"/>
        <v>208.53783609106262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5.6160996324835519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5.6160996324835519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9.3712500000000034</v>
      </c>
      <c r="DO48" s="12">
        <f>IF('Données projet'!$A$166&gt;35,DO47+DN48-DW47,IF(A48&lt;'Données projet'!$A$166,$DL$205^A48,IF(A48='Données projet'!$A$166,'Données projet'!$B$166,DO47+DN48-DW47)))</f>
        <v>148.16375000000011</v>
      </c>
      <c r="DP48" s="17">
        <f>DO48*VLOOKUP('Données projet'!$B$14,Paramètres!$A$1:$I$89,3,0)*VLOOKUP('Données projet'!$B$14,Paramètres!$A$1:$I$89,5,0)</f>
        <v>159.48346050000009</v>
      </c>
      <c r="DQ48" s="13">
        <f t="shared" si="43"/>
        <v>40.725986563661593</v>
      </c>
      <c r="DR48" s="20">
        <f t="shared" si="16"/>
        <v>348.69812030254405</v>
      </c>
      <c r="DS48" s="59">
        <f t="shared" si="17"/>
        <v>642.03145363587737</v>
      </c>
      <c r="DT48" s="59">
        <f ca="1">AVERAGE(OFFSET($DS$3,0,0,'Données projet'!$E$14+1,1))-AVERAGE(OFFSET($H$3,0,0,'Données projet'!$E$14+1,1))</f>
        <v>531.65020827367698</v>
      </c>
      <c r="DU48" s="59">
        <f t="shared" si="44"/>
        <v>235.89413420278396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6.2501753974413727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6.2501753974413727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26.551200000000019</v>
      </c>
      <c r="D49" s="11">
        <f t="shared" si="32"/>
        <v>8.353583603599974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269.44043483480698</v>
      </c>
      <c r="H49" s="67">
        <f t="shared" si="1"/>
        <v>354.12583144293666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149.91030600000011</v>
      </c>
      <c r="P49" s="13">
        <f t="shared" si="33"/>
        <v>38.558201627976892</v>
      </c>
      <c r="Q49" s="20">
        <f t="shared" si="53"/>
        <v>328.24931745205993</v>
      </c>
      <c r="R49" s="59">
        <f t="shared" si="0"/>
        <v>621.5826507853933</v>
      </c>
      <c r="S49" s="59">
        <f ca="1">AVERAGE(OFFSET($R$3,0,0,'Données projet'!$E$9+1,1))-AVERAGE(OFFSET($H$3,0,0,'Données projet'!$E$9+1,1))</f>
        <v>457.88065872594228</v>
      </c>
      <c r="T49" s="59">
        <f t="shared" si="34"/>
        <v>204.62439362068329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5.4171653547509413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5.4171653547509413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605.81516964801767</v>
      </c>
      <c r="AN49" s="59">
        <f ca="1">AVERAGE(OFFSET($AM$3,0,0,'Données projet'!$E$10+1,1))-AVERAGE(OFFSET($H$3,0,0,'Données projet'!$E$10+1,1))</f>
        <v>430.16825592717629</v>
      </c>
      <c r="AO49" s="59">
        <f t="shared" si="36"/>
        <v>192.87542067077248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8.9771428571428569</v>
      </c>
      <c r="BD49" s="12">
        <f>IF('Données projet'!$A$88&gt;35,BD48+BC49-BL48,IF(A49&lt;'Données projet'!$A$88,$BA$205^A49,IF(A49='Données projet'!$A$88,'Données projet'!$B$88,BD48+BC49-BL48)))</f>
        <v>108.31714285714284</v>
      </c>
      <c r="BE49" s="13">
        <f>BD49*VLOOKUP('Données projet'!$B$11,Paramètres!$A$1:$I$89,3,0)*VLOOKUP('Données projet'!$B$11,Paramètres!$A$1:$I$89,5,0)</f>
        <v>91.24636114285714</v>
      </c>
      <c r="BF49" s="13">
        <f t="shared" si="37"/>
        <v>24.865576257283283</v>
      </c>
      <c r="BG49" s="20">
        <f t="shared" si="7"/>
        <v>202.22829097191121</v>
      </c>
      <c r="BH49" s="59">
        <f t="shared" si="8"/>
        <v>495.56162430524455</v>
      </c>
      <c r="BI49" s="59">
        <f ca="1">AVERAGE(OFFSET($BH$3,0,0,'Données projet'!$E$11+1,1))-AVERAGE(OFFSET($H$3,0,0,'Données projet'!$E$11+1,1))</f>
        <v>243.94505553629301</v>
      </c>
      <c r="BJ49" s="59">
        <f t="shared" si="38"/>
        <v>173.05364940250229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4.6073708254377115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4.6073708254377115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5.8</v>
      </c>
      <c r="BY49" s="12">
        <f>IF('Données projet'!$A$114&gt;35,BY48+BX49-CG48,IF(A49&lt;'Données projet'!$A$114,$BV$205^A49,IF(A49='Données projet'!$A$114,'Données projet'!$B$114,BY48+BX49-CG48)))</f>
        <v>160.80000000000001</v>
      </c>
      <c r="BZ49" s="13">
        <f>BY49*VLOOKUP('Données projet'!$B$12,Paramètres!$A$1:$I$89,3,0)*VLOOKUP('Données projet'!$B$12,Paramètres!$A$1:$I$89,5,0)</f>
        <v>105.35616</v>
      </c>
      <c r="CA49" s="13">
        <f t="shared" si="39"/>
        <v>28.234128165723941</v>
      </c>
      <c r="CB49" s="20">
        <f t="shared" si="10"/>
        <v>232.66975188863583</v>
      </c>
      <c r="CC49" s="59">
        <f t="shared" si="11"/>
        <v>526.00308522196917</v>
      </c>
      <c r="CD49" s="59">
        <f ca="1">AVERAGE(OFFSET($CC$3,0,0,'Données projet'!$E$12+1,1))-AVERAGE(OFFSET($H$3,0,0,'Données projet'!$E$12+1,1))</f>
        <v>140.9558843244115</v>
      </c>
      <c r="CE49" s="59">
        <f t="shared" si="40"/>
        <v>158.88947216184619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2.0152667209651427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2.0152667209651427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9.3712500000000034</v>
      </c>
      <c r="CT49" s="12">
        <f>IF('Données projet'!$A$140&gt;35,CT48+CS49-DB48,IF(A49&lt;'Données projet'!$A$140,$CQ$205^A49,IF(A49='Données projet'!$A$140,'Données projet'!$B$140,CT48+CS49-DB48)))</f>
        <v>157.53500000000011</v>
      </c>
      <c r="CU49" s="17">
        <f>CT49*VLOOKUP('Données projet'!$B$13,Paramètres!$A$1:$I$89,3,0)*VLOOKUP('Données projet'!$B$13,Paramètres!$A$1:$I$89,5,0)</f>
        <v>152.36785200000011</v>
      </c>
      <c r="CV49" s="13">
        <f t="shared" si="41"/>
        <v>39.116196995259784</v>
      </c>
      <c r="CW49" s="20">
        <f t="shared" si="13"/>
        <v>333.50138533341101</v>
      </c>
      <c r="CX49" s="59">
        <f t="shared" si="14"/>
        <v>626.83471866674427</v>
      </c>
      <c r="CY49" s="59">
        <f ca="1">AVERAGE(OFFSET($CX$3,0,0,'Données projet'!$E$13+1,1))-AVERAGE(OFFSET($H$3,0,0,'Données projet'!$E$13+1,1))</f>
        <v>467.11196088914556</v>
      </c>
      <c r="CZ49" s="59">
        <f t="shared" si="42"/>
        <v>208.53783609106262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5.5059713441730871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5.5059713441730871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9.3712500000000034</v>
      </c>
      <c r="DO49" s="12">
        <f>IF('Données projet'!$A$166&gt;35,DO48+DN49-DW48,IF(A49&lt;'Données projet'!$A$166,$DL$205^A49,IF(A49='Données projet'!$A$166,'Données projet'!$B$166,DO48+DN49-DW48)))</f>
        <v>157.53500000000011</v>
      </c>
      <c r="DP49" s="17">
        <f>DO49*VLOOKUP('Données projet'!$B$14,Paramètres!$A$1:$I$89,3,0)*VLOOKUP('Données projet'!$B$14,Paramètres!$A$1:$I$89,5,0)</f>
        <v>169.57067400000011</v>
      </c>
      <c r="DQ49" s="13">
        <f t="shared" si="43"/>
        <v>42.993854696897486</v>
      </c>
      <c r="DR49" s="20">
        <f t="shared" si="16"/>
        <v>370.21655414709659</v>
      </c>
      <c r="DS49" s="59">
        <f t="shared" si="17"/>
        <v>663.5498874804299</v>
      </c>
      <c r="DT49" s="59">
        <f ca="1">AVERAGE(OFFSET($DS$3,0,0,'Données projet'!$E$14+1,1))-AVERAGE(OFFSET($H$3,0,0,'Données projet'!$E$14+1,1))</f>
        <v>531.65020827367698</v>
      </c>
      <c r="DU49" s="59">
        <f t="shared" si="44"/>
        <v>235.89413420278396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6.127613270128113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6.127613270128113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27.12840000000002</v>
      </c>
      <c r="D50" s="11">
        <f t="shared" si="32"/>
        <v>8.5138436537878874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275.13310890643294</v>
      </c>
      <c r="H50" s="67">
        <f t="shared" si="1"/>
        <v>355.41024103034727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158.82798750000009</v>
      </c>
      <c r="P50" s="13">
        <f t="shared" si="33"/>
        <v>40.578051709576528</v>
      </c>
      <c r="Q50" s="20">
        <f t="shared" si="53"/>
        <v>347.29885162334591</v>
      </c>
      <c r="R50" s="59">
        <f t="shared" si="0"/>
        <v>640.63218495667923</v>
      </c>
      <c r="S50" s="59">
        <f ca="1">AVERAGE(OFFSET($R$3,0,0,'Données projet'!$E$9+1,1))-AVERAGE(OFFSET($H$3,0,0,'Données projet'!$E$9+1,1))</f>
        <v>457.88065872594228</v>
      </c>
      <c r="T50" s="59">
        <f t="shared" si="34"/>
        <v>204.62439362068329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5.3109380462888849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5.3109380462888849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623.94753425920567</v>
      </c>
      <c r="AN50" s="59">
        <f ca="1">AVERAGE(OFFSET($AM$3,0,0,'Données projet'!$E$10+1,1))-AVERAGE(OFFSET($H$3,0,0,'Données projet'!$E$10+1,1))</f>
        <v>430.16825592717629</v>
      </c>
      <c r="AO50" s="59">
        <f t="shared" si="36"/>
        <v>192.87542067077248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8.9771428571428569</v>
      </c>
      <c r="BD50" s="12">
        <f>IF('Données projet'!$A$88&gt;35,BD49+BC50-BL49,IF(A50&lt;'Données projet'!$A$88,$BA$205^A50,IF(A50='Données projet'!$A$88,'Données projet'!$B$88,BD49+BC50-BL49)))</f>
        <v>117.29428571428569</v>
      </c>
      <c r="BE50" s="13">
        <f>BD50*VLOOKUP('Données projet'!$B$11,Paramètres!$A$1:$I$89,3,0)*VLOOKUP('Données projet'!$B$11,Paramètres!$A$1:$I$89,5,0)</f>
        <v>98.80870628571428</v>
      </c>
      <c r="BF50" s="13">
        <f t="shared" si="37"/>
        <v>26.677990596244378</v>
      </c>
      <c r="BG50" s="20">
        <f t="shared" si="7"/>
        <v>218.55599706941132</v>
      </c>
      <c r="BH50" s="59">
        <f t="shared" si="8"/>
        <v>511.88933040274463</v>
      </c>
      <c r="BI50" s="59">
        <f ca="1">AVERAGE(OFFSET($BH$3,0,0,'Données projet'!$E$11+1,1))-AVERAGE(OFFSET($H$3,0,0,'Données projet'!$E$11+1,1))</f>
        <v>243.94505553629301</v>
      </c>
      <c r="BJ50" s="59">
        <f t="shared" si="38"/>
        <v>173.05364940250229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4.5170230937695957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4.5170230937695957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5.8</v>
      </c>
      <c r="BY50" s="12">
        <f>IF('Données projet'!$A$114&gt;35,BY49+BX50-CG49,IF(A50&lt;'Données projet'!$A$114,$BV$205^A50,IF(A50='Données projet'!$A$114,'Données projet'!$B$114,BY49+BX50-CG49)))</f>
        <v>166.60000000000002</v>
      </c>
      <c r="BZ50" s="13">
        <f>BY50*VLOOKUP('Données projet'!$B$12,Paramètres!$A$1:$I$89,3,0)*VLOOKUP('Données projet'!$B$12,Paramètres!$A$1:$I$89,5,0)</f>
        <v>109.15632000000002</v>
      </c>
      <c r="CA50" s="13">
        <f t="shared" si="39"/>
        <v>29.13211799879036</v>
      </c>
      <c r="CB50" s="20">
        <f t="shared" si="10"/>
        <v>240.85236284789323</v>
      </c>
      <c r="CC50" s="59">
        <f t="shared" si="11"/>
        <v>534.1856961812266</v>
      </c>
      <c r="CD50" s="59">
        <f ca="1">AVERAGE(OFFSET($CC$3,0,0,'Données projet'!$E$12+1,1))-AVERAGE(OFFSET($H$3,0,0,'Données projet'!$E$12+1,1))</f>
        <v>140.9558843244115</v>
      </c>
      <c r="CE50" s="59">
        <f t="shared" si="40"/>
        <v>158.88947216184619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1.9757485697583435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1.9757485697583435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9.3712500000000034</v>
      </c>
      <c r="CT50" s="12">
        <f>IF('Données projet'!$A$140&gt;35,CT49+CS50-DB49,IF(A50&lt;'Données projet'!$A$140,$CQ$205^A50,IF(A50='Données projet'!$A$140,'Données projet'!$B$140,CT49+CS50-DB49)))</f>
        <v>166.90625000000011</v>
      </c>
      <c r="CU50" s="17">
        <f>CT50*VLOOKUP('Données projet'!$B$13,Paramètres!$A$1:$I$89,3,0)*VLOOKUP('Données projet'!$B$13,Paramètres!$A$1:$I$89,5,0)</f>
        <v>161.43172500000011</v>
      </c>
      <c r="CV50" s="13">
        <f t="shared" si="41"/>
        <v>41.165277355776809</v>
      </c>
      <c r="CW50" s="20">
        <f t="shared" si="13"/>
        <v>352.85644576964478</v>
      </c>
      <c r="CX50" s="59">
        <f t="shared" si="14"/>
        <v>646.18977910297804</v>
      </c>
      <c r="CY50" s="59">
        <f ca="1">AVERAGE(OFFSET($CX$3,0,0,'Données projet'!$E$13+1,1))-AVERAGE(OFFSET($H$3,0,0,'Données projet'!$E$13+1,1))</f>
        <v>467.11196088914556</v>
      </c>
      <c r="CZ50" s="59">
        <f t="shared" si="42"/>
        <v>208.53783609106262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5.3980026044247671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5.3980026044247671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9.3712500000000034</v>
      </c>
      <c r="DO50" s="12">
        <f>IF('Données projet'!$A$166&gt;35,DO49+DN50-DW49,IF(A50&lt;'Données projet'!$A$166,$DL$205^A50,IF(A50='Données projet'!$A$166,'Données projet'!$B$166,DO49+DN50-DW49)))</f>
        <v>166.90625000000011</v>
      </c>
      <c r="DP50" s="17">
        <f>DO50*VLOOKUP('Données projet'!$B$14,Paramètres!$A$1:$I$89,3,0)*VLOOKUP('Données projet'!$B$14,Paramètres!$A$1:$I$89,5,0)</f>
        <v>179.65788750000013</v>
      </c>
      <c r="DQ50" s="13">
        <f t="shared" si="43"/>
        <v>45.246064012977243</v>
      </c>
      <c r="DR50" s="20">
        <f t="shared" si="16"/>
        <v>391.70771555176884</v>
      </c>
      <c r="DS50" s="59">
        <f t="shared" si="17"/>
        <v>685.0410488851021</v>
      </c>
      <c r="DT50" s="59">
        <f ca="1">AVERAGE(OFFSET($DS$3,0,0,'Données projet'!$E$14+1,1))-AVERAGE(OFFSET($H$3,0,0,'Données projet'!$E$14+1,1))</f>
        <v>531.65020827367698</v>
      </c>
      <c r="DU50" s="59">
        <f t="shared" si="44"/>
        <v>235.89413420278396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6.0074545113759505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6.0074545113759505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27.705600000000022</v>
      </c>
      <c r="D51" s="11">
        <f t="shared" si="32"/>
        <v>8.6737072640755422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280.82272274023239</v>
      </c>
      <c r="H51" s="67">
        <f t="shared" si="1"/>
        <v>356.69396015159828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167.74566900000011</v>
      </c>
      <c r="P51" s="13">
        <f t="shared" si="33"/>
        <v>42.584736830182422</v>
      </c>
      <c r="Q51" s="20">
        <f t="shared" si="53"/>
        <v>366.32545682090125</v>
      </c>
      <c r="R51" s="59">
        <f t="shared" si="0"/>
        <v>659.65879015423457</v>
      </c>
      <c r="S51" s="59">
        <f ca="1">AVERAGE(OFFSET($R$3,0,0,'Données projet'!$E$9+1,1))-AVERAGE(OFFSET($H$3,0,0,'Données projet'!$E$9+1,1))</f>
        <v>457.88065872594228</v>
      </c>
      <c r="T51" s="59">
        <f t="shared" si="34"/>
        <v>204.62439362068329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5.2067937905535082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5.2067937905535082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642.05796919770614</v>
      </c>
      <c r="AN51" s="59">
        <f ca="1">AVERAGE(OFFSET($AM$3,0,0,'Données projet'!$E$10+1,1))-AVERAGE(OFFSET($H$3,0,0,'Données projet'!$E$10+1,1))</f>
        <v>430.16825592717629</v>
      </c>
      <c r="AO51" s="59">
        <f t="shared" si="36"/>
        <v>192.87542067077248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8.9771428571428569</v>
      </c>
      <c r="BD51" s="12">
        <f>IF('Données projet'!$A$88&gt;35,BD50+BC51-BL50,IF(A51&lt;'Données projet'!$A$88,$BA$205^A51,IF(A51='Données projet'!$A$88,'Données projet'!$B$88,BD50+BC51-BL50)))</f>
        <v>126.27142857142854</v>
      </c>
      <c r="BE51" s="13">
        <f>BD51*VLOOKUP('Données projet'!$B$11,Paramètres!$A$1:$I$89,3,0)*VLOOKUP('Données projet'!$B$11,Paramètres!$A$1:$I$89,5,0)</f>
        <v>106.37105142857141</v>
      </c>
      <c r="BF51" s="13">
        <f t="shared" si="37"/>
        <v>28.474313816998091</v>
      </c>
      <c r="BG51" s="20">
        <f t="shared" si="7"/>
        <v>234.85567780270017</v>
      </c>
      <c r="BH51" s="59">
        <f t="shared" si="8"/>
        <v>528.18901113603351</v>
      </c>
      <c r="BI51" s="59">
        <f ca="1">AVERAGE(OFFSET($BH$3,0,0,'Données projet'!$E$11+1,1))-AVERAGE(OFFSET($H$3,0,0,'Données projet'!$E$11+1,1))</f>
        <v>243.94505553629301</v>
      </c>
      <c r="BJ51" s="59">
        <f t="shared" si="38"/>
        <v>173.05364940250229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4.4284470260128161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4.4284470260128161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5.8</v>
      </c>
      <c r="BY51" s="12">
        <f>IF('Données projet'!$A$114&gt;35,BY50+BX51-CG50,IF(A51&lt;'Données projet'!$A$114,$BV$205^A51,IF(A51='Données projet'!$A$114,'Données projet'!$B$114,BY50+BX51-CG50)))</f>
        <v>172.40000000000003</v>
      </c>
      <c r="BZ51" s="13">
        <f>BY51*VLOOKUP('Données projet'!$B$12,Paramètres!$A$1:$I$89,3,0)*VLOOKUP('Données projet'!$B$12,Paramètres!$A$1:$I$89,5,0)</f>
        <v>112.95648000000003</v>
      </c>
      <c r="CA51" s="13">
        <f t="shared" si="39"/>
        <v>30.026475458997034</v>
      </c>
      <c r="CB51" s="20">
        <f t="shared" si="10"/>
        <v>249.02864742441989</v>
      </c>
      <c r="CC51" s="59">
        <f t="shared" si="11"/>
        <v>542.36198075775314</v>
      </c>
      <c r="CD51" s="59">
        <f ca="1">AVERAGE(OFFSET($CC$3,0,0,'Données projet'!$E$12+1,1))-AVERAGE(OFFSET($H$3,0,0,'Données projet'!$E$12+1,1))</f>
        <v>140.9558843244115</v>
      </c>
      <c r="CE51" s="59">
        <f t="shared" si="40"/>
        <v>158.88947216184619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1.9370053453930174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1.9370053453930174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9.3712500000000034</v>
      </c>
      <c r="CT51" s="12">
        <f>IF('Données projet'!$A$140&gt;35,CT50+CS51-DB50,IF(A51&lt;'Données projet'!$A$140,$CQ$205^A51,IF(A51='Données projet'!$A$140,'Données projet'!$B$140,CT50+CS51-DB50)))</f>
        <v>176.27750000000012</v>
      </c>
      <c r="CU51" s="17">
        <f>CT51*VLOOKUP('Données projet'!$B$13,Paramètres!$A$1:$I$89,3,0)*VLOOKUP('Données projet'!$B$13,Paramètres!$A$1:$I$89,5,0)</f>
        <v>170.49559800000011</v>
      </c>
      <c r="CV51" s="13">
        <f t="shared" si="41"/>
        <v>43.201002238446733</v>
      </c>
      <c r="CW51" s="20">
        <f t="shared" si="13"/>
        <v>372.18824541529494</v>
      </c>
      <c r="CX51" s="59">
        <f t="shared" si="14"/>
        <v>665.52157874862826</v>
      </c>
      <c r="CY51" s="59">
        <f ca="1">AVERAGE(OFFSET($CX$3,0,0,'Données projet'!$E$13+1,1))-AVERAGE(OFFSET($H$3,0,0,'Données projet'!$E$13+1,1))</f>
        <v>467.11196088914556</v>
      </c>
      <c r="CZ51" s="59">
        <f t="shared" si="42"/>
        <v>208.53783609106262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5.2921510658084827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5.2921510658084827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9.3712500000000034</v>
      </c>
      <c r="DO51" s="12">
        <f>IF('Données projet'!$A$166&gt;35,DO50+DN51-DW50,IF(A51&lt;'Données projet'!$A$166,$DL$205^A51,IF(A51='Données projet'!$A$166,'Données projet'!$B$166,DO50+DN51-DW50)))</f>
        <v>176.27750000000012</v>
      </c>
      <c r="DP51" s="17">
        <f>DO51*VLOOKUP('Données projet'!$B$14,Paramètres!$A$1:$I$89,3,0)*VLOOKUP('Données projet'!$B$14,Paramètres!$A$1:$I$89,5,0)</f>
        <v>189.74510100000012</v>
      </c>
      <c r="DQ51" s="13">
        <f t="shared" si="43"/>
        <v>47.483593899100271</v>
      </c>
      <c r="DR51" s="20">
        <f t="shared" si="16"/>
        <v>413.17331028259986</v>
      </c>
      <c r="DS51" s="59">
        <f t="shared" si="17"/>
        <v>706.50664361593317</v>
      </c>
      <c r="DT51" s="59">
        <f ca="1">AVERAGE(OFFSET($DS$3,0,0,'Données projet'!$E$14+1,1))-AVERAGE(OFFSET($H$3,0,0,'Données projet'!$E$14+1,1))</f>
        <v>531.65020827367698</v>
      </c>
      <c r="DU51" s="59">
        <f t="shared" si="44"/>
        <v>235.89413420278396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5.8896519925933122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5.8896519925933122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28.282800000000023</v>
      </c>
      <c r="D52" s="11">
        <f t="shared" si="32"/>
        <v>8.8331836451686723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286.50934743638999</v>
      </c>
      <c r="H52" s="67">
        <f t="shared" si="1"/>
        <v>357.9770048486688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176.66335050000012</v>
      </c>
      <c r="P52" s="13">
        <f t="shared" si="33"/>
        <v>44.579036670703012</v>
      </c>
      <c r="Q52" s="20">
        <f t="shared" si="53"/>
        <v>385.33049098897459</v>
      </c>
      <c r="R52" s="59">
        <f t="shared" si="0"/>
        <v>678.66382432230785</v>
      </c>
      <c r="S52" s="59">
        <f ca="1">AVERAGE(OFFSET($R$3,0,0,'Données projet'!$E$9+1,1))-AVERAGE(OFFSET($H$3,0,0,'Données projet'!$E$9+1,1))</f>
        <v>457.88065872594228</v>
      </c>
      <c r="T52" s="59">
        <f t="shared" si="34"/>
        <v>204.62439362068329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5.1046917401513792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5.1046917401513792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660.14777322521934</v>
      </c>
      <c r="AN52" s="59">
        <f ca="1">AVERAGE(OFFSET($AM$3,0,0,'Données projet'!$E$10+1,1))-AVERAGE(OFFSET($H$3,0,0,'Données projet'!$E$10+1,1))</f>
        <v>430.16825592717629</v>
      </c>
      <c r="AO52" s="59">
        <f t="shared" si="36"/>
        <v>192.87542067077248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8.9771428571428569</v>
      </c>
      <c r="BD52" s="12">
        <f>IF('Données projet'!$A$88&gt;35,BD51+BC52-BL51,IF(A52&lt;'Données projet'!$A$88,$BA$205^A52,IF(A52='Données projet'!$A$88,'Données projet'!$B$88,BD51+BC52-BL51)))</f>
        <v>135.24857142857141</v>
      </c>
      <c r="BE52" s="13">
        <f>BD52*VLOOKUP('Données projet'!$B$11,Paramètres!$A$1:$I$89,3,0)*VLOOKUP('Données projet'!$B$11,Paramètres!$A$1:$I$89,5,0)</f>
        <v>113.93339657142857</v>
      </c>
      <c r="BF52" s="13">
        <f t="shared" si="37"/>
        <v>30.255820014498838</v>
      </c>
      <c r="BG52" s="20">
        <f t="shared" si="7"/>
        <v>251.12955222049018</v>
      </c>
      <c r="BH52" s="59">
        <f t="shared" si="8"/>
        <v>544.46288555382353</v>
      </c>
      <c r="BI52" s="59">
        <f ca="1">AVERAGE(OFFSET($BH$3,0,0,'Données projet'!$E$11+1,1))-AVERAGE(OFFSET($H$3,0,0,'Données projet'!$E$11+1,1))</f>
        <v>243.94505553629301</v>
      </c>
      <c r="BJ52" s="59">
        <f t="shared" si="38"/>
        <v>173.05364940250229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4.3416078809186809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4.3416078809186809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5.8</v>
      </c>
      <c r="BY52" s="12">
        <f>IF('Données projet'!$A$114&gt;35,BY51+BX52-CG51,IF(A52&lt;'Données projet'!$A$114,$BV$205^A52,IF(A52='Données projet'!$A$114,'Données projet'!$B$114,BY51+BX52-CG51)))</f>
        <v>178.20000000000005</v>
      </c>
      <c r="BZ52" s="13">
        <f>BY52*VLOOKUP('Données projet'!$B$12,Paramètres!$A$1:$I$89,3,0)*VLOOKUP('Données projet'!$B$12,Paramètres!$A$1:$I$89,5,0)</f>
        <v>116.75664000000003</v>
      </c>
      <c r="CA52" s="13">
        <f t="shared" si="39"/>
        <v>30.91733675897062</v>
      </c>
      <c r="CB52" s="20">
        <f t="shared" si="10"/>
        <v>257.19884285520715</v>
      </c>
      <c r="CC52" s="59">
        <f t="shared" si="11"/>
        <v>550.53217618854046</v>
      </c>
      <c r="CD52" s="59">
        <f ca="1">AVERAGE(OFFSET($CC$3,0,0,'Données projet'!$E$12+1,1))-AVERAGE(OFFSET($H$3,0,0,'Données projet'!$E$12+1,1))</f>
        <v>140.9558843244115</v>
      </c>
      <c r="CE52" s="59">
        <f t="shared" si="40"/>
        <v>158.88947216184619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1.8990218520264619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1.8990218520264619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9.3712500000000034</v>
      </c>
      <c r="CT52" s="12">
        <f>IF('Données projet'!$A$140&gt;35,CT51+CS52-DB51,IF(A52&lt;'Données projet'!$A$140,$CQ$205^A52,IF(A52='Données projet'!$A$140,'Données projet'!$B$140,CT51+CS52-DB51)))</f>
        <v>185.64875000000012</v>
      </c>
      <c r="CU52" s="17">
        <f>CT52*VLOOKUP('Données projet'!$B$13,Paramètres!$A$1:$I$89,3,0)*VLOOKUP('Données projet'!$B$13,Paramètres!$A$1:$I$89,5,0)</f>
        <v>179.55947100000012</v>
      </c>
      <c r="CV52" s="13">
        <f t="shared" si="41"/>
        <v>45.224162607337405</v>
      </c>
      <c r="CW52" s="20">
        <f t="shared" si="13"/>
        <v>391.49816186611287</v>
      </c>
      <c r="CX52" s="59">
        <f t="shared" si="14"/>
        <v>684.83149519944618</v>
      </c>
      <c r="CY52" s="59">
        <f ca="1">AVERAGE(OFFSET($CX$3,0,0,'Données projet'!$E$13+1,1))-AVERAGE(OFFSET($H$3,0,0,'Données projet'!$E$13+1,1))</f>
        <v>467.11196088914556</v>
      </c>
      <c r="CZ52" s="59">
        <f t="shared" si="42"/>
        <v>208.53783609106262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5.1883752113014001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5.1883752113014001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9.3712500000000034</v>
      </c>
      <c r="DO52" s="12">
        <f>IF('Données projet'!$A$166&gt;35,DO51+DN52-DW51,IF(A52&lt;'Données projet'!$A$166,$DL$205^A52,IF(A52='Données projet'!$A$166,'Données projet'!$B$166,DO51+DN52-DW51)))</f>
        <v>185.64875000000012</v>
      </c>
      <c r="DP52" s="17">
        <f>DO52*VLOOKUP('Données projet'!$B$14,Paramètres!$A$1:$I$89,3,0)*VLOOKUP('Données projet'!$B$14,Paramètres!$A$1:$I$89,5,0)</f>
        <v>199.83231450000014</v>
      </c>
      <c r="DQ52" s="13">
        <f t="shared" si="43"/>
        <v>49.707313728999587</v>
      </c>
      <c r="DR52" s="20">
        <f t="shared" si="16"/>
        <v>434.61485249884117</v>
      </c>
      <c r="DS52" s="59">
        <f t="shared" si="17"/>
        <v>727.94818583217443</v>
      </c>
      <c r="DT52" s="59">
        <f ca="1">AVERAGE(OFFSET($DS$3,0,0,'Données projet'!$E$14+1,1))-AVERAGE(OFFSET($H$3,0,0,'Données projet'!$E$14+1,1))</f>
        <v>531.65020827367698</v>
      </c>
      <c r="DU52" s="59">
        <f t="shared" si="44"/>
        <v>235.89413420278396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5.7741595093515592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5.7741595093515592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28.860000000000024</v>
      </c>
      <c r="D53" s="11">
        <f t="shared" si="32"/>
        <v>8.9922816103350787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292.19305102714816</v>
      </c>
      <c r="H53" s="67">
        <f t="shared" si="1"/>
        <v>359.25939047133363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185.58103200000011</v>
      </c>
      <c r="P53" s="13">
        <f t="shared" si="33"/>
        <v>46.561647751644131</v>
      </c>
      <c r="Q53" s="20">
        <f t="shared" si="53"/>
        <v>404.31516723411369</v>
      </c>
      <c r="R53" s="59">
        <f t="shared" si="0"/>
        <v>697.64850056744694</v>
      </c>
      <c r="S53" s="59">
        <f ca="1">AVERAGE(OFFSET($R$3,0,0,'Données projet'!$E$9+1,1))-AVERAGE(OFFSET($H$3,0,0,'Données projet'!$E$9+1,1))</f>
        <v>457.88065872594228</v>
      </c>
      <c r="T53" s="59">
        <f t="shared" si="34"/>
        <v>204.62439362068329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9.8329246592918835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9.8329246592918835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678.21810657812716</v>
      </c>
      <c r="AN53" s="59">
        <f ca="1">AVERAGE(OFFSET($AM$3,0,0,'Données projet'!$E$10+1,1))-AVERAGE(OFFSET($H$3,0,0,'Données projet'!$E$10+1,1))</f>
        <v>430.16825592717629</v>
      </c>
      <c r="AO53" s="59">
        <f t="shared" si="36"/>
        <v>192.87542067077248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8.9771428571428569</v>
      </c>
      <c r="BD53" s="12">
        <f>IF('Données projet'!$A$88&gt;35,BD52+BC53-BL52,IF(A53&lt;'Données projet'!$A$88,$BA$205^A53,IF(A53='Données projet'!$A$88,'Données projet'!$B$88,BD52+BC53-BL52)))</f>
        <v>144.22571428571428</v>
      </c>
      <c r="BE53" s="13">
        <f>BD53*VLOOKUP('Données projet'!$B$11,Paramètres!$A$1:$I$89,3,0)*VLOOKUP('Données projet'!$B$11,Paramètres!$A$1:$I$89,5,0)</f>
        <v>121.49574171428571</v>
      </c>
      <c r="BF53" s="13">
        <f t="shared" si="37"/>
        <v>32.02360457917726</v>
      </c>
      <c r="BG53" s="20">
        <f t="shared" si="7"/>
        <v>267.37952812778133</v>
      </c>
      <c r="BH53" s="59">
        <f t="shared" si="8"/>
        <v>560.7128614611147</v>
      </c>
      <c r="BI53" s="59">
        <f ca="1">AVERAGE(OFFSET($BH$3,0,0,'Données projet'!$E$11+1,1))-AVERAGE(OFFSET($H$3,0,0,'Données projet'!$E$11+1,1))</f>
        <v>243.94505553629301</v>
      </c>
      <c r="BJ53" s="59">
        <f t="shared" si="38"/>
        <v>173.05364940250229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4.2564715984931931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4.2564715984931931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184</v>
      </c>
      <c r="BW53" s="12">
        <f>VLOOKUP(A53,'Données projet'!$A$113:$I$133,9,0)</f>
        <v>5.8</v>
      </c>
      <c r="BX53" s="12">
        <f t="array" ref="BX53">INDEX(BW:BW,MIN(IF(ISNUMBER(BW53:BW249),ROW(BW53:BW249),"")))</f>
        <v>5.8</v>
      </c>
      <c r="BY53" s="12">
        <f>IF('Données projet'!$A$114&gt;35,BY52+BX53-CG52,IF(A53&lt;'Données projet'!$A$114,$BV$205^A53,IF(A53='Données projet'!$A$114,'Données projet'!$B$114,BY52+BX53-CG52)))</f>
        <v>184.00000000000006</v>
      </c>
      <c r="BZ53" s="13">
        <f>BY53*VLOOKUP('Données projet'!$B$12,Paramètres!$A$1:$I$89,3,0)*VLOOKUP('Données projet'!$B$12,Paramètres!$A$1:$I$89,5,0)</f>
        <v>120.55680000000002</v>
      </c>
      <c r="CA53" s="13">
        <f t="shared" si="39"/>
        <v>31.804828741198779</v>
      </c>
      <c r="CB53" s="20">
        <f t="shared" si="10"/>
        <v>265.36317005758792</v>
      </c>
      <c r="CC53" s="59">
        <f t="shared" si="11"/>
        <v>558.69650339092118</v>
      </c>
      <c r="CD53" s="59">
        <f ca="1">AVERAGE(OFFSET($CC$3,0,0,'Données projet'!$E$12+1,1))-AVERAGE(OFFSET($H$3,0,0,'Données projet'!$E$12+1,1))</f>
        <v>140.9558843244115</v>
      </c>
      <c r="CE53" s="59">
        <f t="shared" si="40"/>
        <v>158.88947216184619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3.8239232497401812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3.8239232497401812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195.02</v>
      </c>
      <c r="CR53" s="12">
        <f>VLOOKUP(A53,'Données projet'!$A$139:$I$159,9,0)</f>
        <v>9.3712500000000034</v>
      </c>
      <c r="CS53" s="12">
        <f t="array" ref="CS53">INDEX(CR:CR,MIN(IF(ISNUMBER(CR53:CR249),ROW(CR53:CR249),"")))</f>
        <v>9.3712500000000034</v>
      </c>
      <c r="CT53" s="12">
        <f>IF('Données projet'!$A$140&gt;35,CT52+CS53-DB52,IF(A53&lt;'Données projet'!$A$140,$CQ$205^A53,IF(A53='Données projet'!$A$140,'Données projet'!$B$140,CT52+CS53-DB52)))</f>
        <v>195.02000000000012</v>
      </c>
      <c r="CU53" s="17">
        <f>CT53*VLOOKUP('Données projet'!$B$13,Paramètres!$A$1:$I$89,3,0)*VLOOKUP('Données projet'!$B$13,Paramètres!$A$1:$I$89,5,0)</f>
        <v>188.62334400000012</v>
      </c>
      <c r="CV53" s="13">
        <f t="shared" si="41"/>
        <v>47.235465062657511</v>
      </c>
      <c r="CW53" s="20">
        <f t="shared" si="13"/>
        <v>410.78742578412863</v>
      </c>
      <c r="CX53" s="59">
        <f t="shared" si="14"/>
        <v>704.12075911746194</v>
      </c>
      <c r="CY53" s="59">
        <f ca="1">AVERAGE(OFFSET($CX$3,0,0,'Données projet'!$E$13+1,1))-AVERAGE(OFFSET($H$3,0,0,'Données projet'!$E$13+1,1))</f>
        <v>467.11196088914556</v>
      </c>
      <c r="CZ53" s="59">
        <f t="shared" si="42"/>
        <v>208.53783609106262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9.9941201455097826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9.9941201455097826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195.02</v>
      </c>
      <c r="DM53" s="12">
        <f>VLOOKUP(A53,'Données projet'!$A$165:$I$185,9,0)</f>
        <v>9.3712500000000034</v>
      </c>
      <c r="DN53" s="12">
        <f t="array" ref="DN53">INDEX(DM:DM,MIN(IF(ISNUMBER(DM53:DM249),ROW(DM53:DM249),"")))</f>
        <v>9.3712500000000034</v>
      </c>
      <c r="DO53" s="12">
        <f>IF('Données projet'!$A$166&gt;35,DO52+DN53-DW52,IF(A53&lt;'Données projet'!$A$166,$DL$205^A53,IF(A53='Données projet'!$A$166,'Données projet'!$B$166,DO52+DN53-DW52)))</f>
        <v>195.02000000000012</v>
      </c>
      <c r="DP53" s="17">
        <f>DO53*VLOOKUP('Données projet'!$B$14,Paramètres!$A$1:$I$89,3,0)*VLOOKUP('Données projet'!$B$14,Paramètres!$A$1:$I$89,5,0)</f>
        <v>209.91952800000013</v>
      </c>
      <c r="DQ53" s="13">
        <f t="shared" si="43"/>
        <v>51.918000149410624</v>
      </c>
      <c r="DR53" s="20">
        <f t="shared" si="16"/>
        <v>456.03369486022365</v>
      </c>
      <c r="DS53" s="59">
        <f t="shared" si="17"/>
        <v>749.36702819355696</v>
      </c>
      <c r="DT53" s="59">
        <f ca="1">AVERAGE(OFFSET($DS$3,0,0,'Données projet'!$E$14+1,1))-AVERAGE(OFFSET($H$3,0,0,'Données projet'!$E$14+1,1))</f>
        <v>531.65020827367698</v>
      </c>
      <c r="DU53" s="59">
        <f t="shared" si="44"/>
        <v>235.89413420278396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35.58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11.122488549035081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11.122488549035081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29.437200000000026</v>
      </c>
      <c r="D54" s="11">
        <f t="shared" si="32"/>
        <v>9.1510096001539285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297.87389866785509</v>
      </c>
      <c r="H54" s="67">
        <f t="shared" si="1"/>
        <v>360.54113172026814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160.81445250000016</v>
      </c>
      <c r="P54" s="13">
        <f t="shared" si="33"/>
        <v>41.026163121263572</v>
      </c>
      <c r="Q54" s="20">
        <f t="shared" si="53"/>
        <v>351.53907220703439</v>
      </c>
      <c r="R54" s="59">
        <f t="shared" si="0"/>
        <v>644.87240554036771</v>
      </c>
      <c r="S54" s="59">
        <f ca="1">AVERAGE(OFFSET($R$3,0,0,'Données projet'!$E$9+1,1))-AVERAGE(OFFSET($H$3,0,0,'Données projet'!$E$9+1,1))</f>
        <v>457.88065872594228</v>
      </c>
      <c r="T54" s="59">
        <f t="shared" si="34"/>
        <v>204.62439362068329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9.6401070042150092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9.6401070042150092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627.98358832154099</v>
      </c>
      <c r="AN54" s="59">
        <f ca="1">AVERAGE(OFFSET($AM$3,0,0,'Données projet'!$E$10+1,1))-AVERAGE(OFFSET($H$3,0,0,'Données projet'!$E$10+1,1))</f>
        <v>430.16825592717629</v>
      </c>
      <c r="AO54" s="59">
        <f t="shared" si="36"/>
        <v>192.87542067077248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8.9771428571428569</v>
      </c>
      <c r="BD54" s="12">
        <f>IF('Données projet'!$A$88&gt;35,BD53+BC54-BL53,IF(A54&lt;'Données projet'!$A$88,$BA$205^A54,IF(A54='Données projet'!$A$88,'Données projet'!$B$88,BD53+BC54-BL53)))</f>
        <v>153.20285714285714</v>
      </c>
      <c r="BE54" s="13">
        <f>BD54*VLOOKUP('Données projet'!$B$11,Paramètres!$A$1:$I$89,3,0)*VLOOKUP('Données projet'!$B$11,Paramètres!$A$1:$I$89,5,0)</f>
        <v>129.05808685714285</v>
      </c>
      <c r="BF54" s="13">
        <f t="shared" si="37"/>
        <v>33.778618832279214</v>
      </c>
      <c r="BG54" s="20">
        <f t="shared" si="7"/>
        <v>283.60726240907678</v>
      </c>
      <c r="BH54" s="59">
        <f t="shared" si="8"/>
        <v>576.9405957424101</v>
      </c>
      <c r="BI54" s="59">
        <f ca="1">AVERAGE(OFFSET($BH$3,0,0,'Données projet'!$E$11+1,1))-AVERAGE(OFFSET($H$3,0,0,'Données projet'!$E$11+1,1))</f>
        <v>243.94505553629301</v>
      </c>
      <c r="BJ54" s="59">
        <f t="shared" si="38"/>
        <v>173.05364940250229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4.1730047866380637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4.1730047866380637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168.60000000000005</v>
      </c>
      <c r="BZ54" s="13">
        <f>BY54*VLOOKUP('Données projet'!$B$12,Paramètres!$A$1:$I$89,3,0)*VLOOKUP('Données projet'!$B$12,Paramètres!$A$1:$I$89,5,0)</f>
        <v>110.46672000000002</v>
      </c>
      <c r="CA54" s="13">
        <f t="shared" si="39"/>
        <v>29.440920333682921</v>
      </c>
      <c r="CB54" s="20">
        <f t="shared" si="10"/>
        <v>243.67247358116444</v>
      </c>
      <c r="CC54" s="59">
        <f t="shared" si="11"/>
        <v>537.00580691449773</v>
      </c>
      <c r="CD54" s="59">
        <f ca="1">AVERAGE(OFFSET($CC$3,0,0,'Données projet'!$E$12+1,1))-AVERAGE(OFFSET($H$3,0,0,'Données projet'!$E$12+1,1))</f>
        <v>140.9558843244115</v>
      </c>
      <c r="CE54" s="59">
        <f t="shared" si="40"/>
        <v>158.88947216184619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3.7489384471756568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3.7489384471756568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9.5537500000000009</v>
      </c>
      <c r="CT54" s="12">
        <f>IF('Données projet'!$A$140&gt;35,CT53+CS54-DB53,IF(A54&lt;'Données projet'!$A$140,$CQ$205^A54,IF(A54='Données projet'!$A$140,'Données projet'!$B$140,CT53+CS54-DB53)))</f>
        <v>168.99375000000015</v>
      </c>
      <c r="CU54" s="17">
        <f>CT54*VLOOKUP('Données projet'!$B$13,Paramètres!$A$1:$I$89,3,0)*VLOOKUP('Données projet'!$B$13,Paramètres!$A$1:$I$89,5,0)</f>
        <v>163.45075500000016</v>
      </c>
      <c r="CV54" s="13">
        <f t="shared" si="41"/>
        <v>41.619873615853834</v>
      </c>
      <c r="CW54" s="20">
        <f t="shared" si="13"/>
        <v>357.16467817261235</v>
      </c>
      <c r="CX54" s="59">
        <f t="shared" si="14"/>
        <v>650.49801150594567</v>
      </c>
      <c r="CY54" s="59">
        <f ca="1">AVERAGE(OFFSET($CX$3,0,0,'Données projet'!$E$13+1,1))-AVERAGE(OFFSET($H$3,0,0,'Données projet'!$E$13+1,1))</f>
        <v>467.11196088914556</v>
      </c>
      <c r="CZ54" s="59">
        <f t="shared" si="42"/>
        <v>208.53783609106262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9.798141545267713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9.798141545267713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9.5537500000000009</v>
      </c>
      <c r="DO54" s="12">
        <f>IF('Données projet'!$A$166&gt;35,DO53+DN54-DW53,IF(A54&lt;'Données projet'!$A$166,$DL$205^A54,IF(A54='Données projet'!$A$166,'Données projet'!$B$166,DO53+DN54-DW53)))</f>
        <v>168.99375000000015</v>
      </c>
      <c r="DP54" s="17">
        <f>DO54*VLOOKUP('Données projet'!$B$14,Paramètres!$A$1:$I$89,3,0)*VLOOKUP('Données projet'!$B$14,Paramètres!$A$1:$I$89,5,0)</f>
        <v>181.90487250000015</v>
      </c>
      <c r="DQ54" s="13">
        <f t="shared" si="43"/>
        <v>45.745725203298825</v>
      </c>
      <c r="DR54" s="20">
        <f t="shared" si="16"/>
        <v>396.49145766657904</v>
      </c>
      <c r="DS54" s="59">
        <f t="shared" si="17"/>
        <v>689.82479099991235</v>
      </c>
      <c r="DT54" s="59">
        <f ca="1">AVERAGE(OFFSET($DS$3,0,0,'Données projet'!$E$14+1,1))-AVERAGE(OFFSET($H$3,0,0,'Données projet'!$E$14+1,1))</f>
        <v>531.65020827367698</v>
      </c>
      <c r="DU54" s="59">
        <f t="shared" si="44"/>
        <v>235.89413420278396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10.904383332636648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10.904383332636648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30.014400000000027</v>
      </c>
      <c r="D55" s="11">
        <f t="shared" si="32"/>
        <v>9.3093757052690869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303.5519528126037</v>
      </c>
      <c r="H55" s="67">
        <f t="shared" si="1"/>
        <v>361.82224268667704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169.90580100000014</v>
      </c>
      <c r="P55" s="13">
        <f t="shared" si="33"/>
        <v>43.068925462384662</v>
      </c>
      <c r="Q55" s="20">
        <f t="shared" si="53"/>
        <v>370.93098192198687</v>
      </c>
      <c r="R55" s="59">
        <f t="shared" si="0"/>
        <v>664.26431525532018</v>
      </c>
      <c r="S55" s="59">
        <f ca="1">AVERAGE(OFFSET($R$3,0,0,'Données projet'!$E$9+1,1))-AVERAGE(OFFSET($H$3,0,0,'Données projet'!$E$9+1,1))</f>
        <v>457.88065872594228</v>
      </c>
      <c r="T55" s="59">
        <f t="shared" si="34"/>
        <v>204.62439362068329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9.4510703857470357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9.4510703857470357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646.44171372078893</v>
      </c>
      <c r="AN55" s="59">
        <f ca="1">AVERAGE(OFFSET($AM$3,0,0,'Données projet'!$E$10+1,1))-AVERAGE(OFFSET($H$3,0,0,'Données projet'!$E$10+1,1))</f>
        <v>430.16825592717629</v>
      </c>
      <c r="AO55" s="59">
        <f t="shared" si="36"/>
        <v>192.87542067077248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162.18</v>
      </c>
      <c r="BB55" s="12">
        <f>VLOOKUP(A55,'Données projet'!$A$87:$I$107,9,0)</f>
        <v>8.9771428571428569</v>
      </c>
      <c r="BC55" s="12">
        <f t="array" ref="BC55">INDEX(BB:BB,MIN(IF(ISNUMBER(BB55:BB251),ROW(BB55:BB251),"")))</f>
        <v>8.9771428571428569</v>
      </c>
      <c r="BD55" s="12">
        <f>IF('Données projet'!$A$88&gt;35,BD54+BC55-BL54,IF(A55&lt;'Données projet'!$A$88,$BA$205^A55,IF(A55='Données projet'!$A$88,'Données projet'!$B$88,BD54+BC55-BL54)))</f>
        <v>162.18</v>
      </c>
      <c r="BE55" s="13">
        <f>BD55*VLOOKUP('Données projet'!$B$11,Paramètres!$A$1:$I$89,3,0)*VLOOKUP('Données projet'!$B$11,Paramètres!$A$1:$I$89,5,0)</f>
        <v>136.62043200000002</v>
      </c>
      <c r="BF55" s="13">
        <f t="shared" si="37"/>
        <v>35.521696309060069</v>
      </c>
      <c r="BG55" s="20">
        <f t="shared" si="7"/>
        <v>299.81420680494631</v>
      </c>
      <c r="BH55" s="59">
        <f t="shared" si="8"/>
        <v>593.14754013827962</v>
      </c>
      <c r="BI55" s="59">
        <f ca="1">AVERAGE(OFFSET($BH$3,0,0,'Données projet'!$E$11+1,1))-AVERAGE(OFFSET($H$3,0,0,'Données projet'!$E$11+1,1))</f>
        <v>243.94505553629301</v>
      </c>
      <c r="BJ55" s="59">
        <f t="shared" si="38"/>
        <v>173.05364940250229</v>
      </c>
      <c r="BK55" s="15">
        <f>IF(ISNA(VLOOKUP(A55,'Données projet'!$A$87:$I$107,3,0)),0,VLOOKUP(A55,'Données projet'!$A$87:$I$107,3,0))</f>
        <v>3</v>
      </c>
      <c r="BL55" s="15">
        <f>IF(ISNA(VLOOKUP(A55,'Données projet'!$A$87:$I$107,4,0)),0,VLOOKUP(A55,'Données projet'!$A$87:$I$107,4,0))</f>
        <v>40.9</v>
      </c>
      <c r="BM55" s="16">
        <f>IF(ISNA(VLOOKUP(A55,'Données projet'!$A$87:$I$107,5,0)),0%,VLOOKUP(A55,'Données projet'!$A$87:$I$107,5,0)*VLOOKUP('Données projet'!$B$11,Paramètres!$A$1:$I$89,7,0))</f>
        <v>0.129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9.004533587841566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9.004533587841566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174.20000000000005</v>
      </c>
      <c r="BZ55" s="13">
        <f>BY55*VLOOKUP('Données projet'!$B$12,Paramètres!$A$1:$I$89,3,0)*VLOOKUP('Données projet'!$B$12,Paramètres!$A$1:$I$89,5,0)</f>
        <v>114.13584000000003</v>
      </c>
      <c r="CA55" s="13">
        <f t="shared" si="39"/>
        <v>30.303317693701107</v>
      </c>
      <c r="CB55" s="20">
        <f t="shared" si="10"/>
        <v>251.56486631652947</v>
      </c>
      <c r="CC55" s="59">
        <f t="shared" si="11"/>
        <v>544.89819964986282</v>
      </c>
      <c r="CD55" s="59">
        <f ca="1">AVERAGE(OFFSET($CC$3,0,0,'Données projet'!$E$12+1,1))-AVERAGE(OFFSET($H$3,0,0,'Données projet'!$E$12+1,1))</f>
        <v>140.9558843244115</v>
      </c>
      <c r="CE55" s="59">
        <f t="shared" si="40"/>
        <v>158.88947216184619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3.6754240508532092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3.6754240508532092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9.5537500000000009</v>
      </c>
      <c r="CT55" s="12">
        <f>IF('Données projet'!$A$140&gt;35,CT54+CS55-DB54,IF(A55&lt;'Données projet'!$A$140,$CQ$205^A55,IF(A55='Données projet'!$A$140,'Données projet'!$B$140,CT54+CS55-DB54)))</f>
        <v>178.54750000000016</v>
      </c>
      <c r="CU55" s="17">
        <f>CT55*VLOOKUP('Données projet'!$B$13,Paramètres!$A$1:$I$89,3,0)*VLOOKUP('Données projet'!$B$13,Paramètres!$A$1:$I$89,5,0)</f>
        <v>172.69114200000016</v>
      </c>
      <c r="CV55" s="13">
        <f t="shared" si="41"/>
        <v>43.69219781086543</v>
      </c>
      <c r="CW55" s="20">
        <f t="shared" si="13"/>
        <v>376.86765017059088</v>
      </c>
      <c r="CX55" s="59">
        <f t="shared" si="14"/>
        <v>670.20098350392414</v>
      </c>
      <c r="CY55" s="59">
        <f ca="1">AVERAGE(OFFSET($CX$3,0,0,'Données projet'!$E$13+1,1))-AVERAGE(OFFSET($H$3,0,0,'Données projet'!$E$13+1,1))</f>
        <v>467.11196088914556</v>
      </c>
      <c r="CZ55" s="59">
        <f t="shared" si="42"/>
        <v>208.53783609106262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9.6060059658412467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9.6060059658412467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9.5537500000000009</v>
      </c>
      <c r="DO55" s="12">
        <f>IF('Données projet'!$A$166&gt;35,DO54+DN55-DW54,IF(A55&lt;'Données projet'!$A$166,$DL$205^A55,IF(A55='Données projet'!$A$166,'Données projet'!$B$166,DO54+DN55-DW54)))</f>
        <v>178.54750000000016</v>
      </c>
      <c r="DP55" s="17">
        <f>DO55*VLOOKUP('Données projet'!$B$14,Paramètres!$A$1:$I$89,3,0)*VLOOKUP('Données projet'!$B$14,Paramètres!$A$1:$I$89,5,0)</f>
        <v>192.18852900000016</v>
      </c>
      <c r="DQ55" s="13">
        <f t="shared" si="43"/>
        <v>48.023482556243664</v>
      </c>
      <c r="DR55" s="20">
        <f t="shared" si="16"/>
        <v>418.36925346045797</v>
      </c>
      <c r="DS55" s="59">
        <f t="shared" si="17"/>
        <v>711.70258679379128</v>
      </c>
      <c r="DT55" s="59">
        <f ca="1">AVERAGE(OFFSET($DS$3,0,0,'Données projet'!$E$14+1,1))-AVERAGE(OFFSET($H$3,0,0,'Données projet'!$E$14+1,1))</f>
        <v>531.65020827367698</v>
      </c>
      <c r="DU55" s="59">
        <f t="shared" si="44"/>
        <v>235.89413420278396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10.690555026500743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10.690555026500743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30.591600000000028</v>
      </c>
      <c r="D56" s="11">
        <f t="shared" si="32"/>
        <v>9.4673876873427094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309.227273375979</v>
      </c>
      <c r="H56" s="67">
        <f t="shared" si="1"/>
        <v>363.10273688878857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178.99714950000015</v>
      </c>
      <c r="P56" s="13">
        <f t="shared" si="33"/>
        <v>45.098997909899069</v>
      </c>
      <c r="Q56" s="20">
        <f t="shared" si="53"/>
        <v>390.30079007224117</v>
      </c>
      <c r="R56" s="59">
        <f t="shared" si="0"/>
        <v>683.63412340557443</v>
      </c>
      <c r="S56" s="59">
        <f ca="1">AVERAGE(OFFSET($R$3,0,0,'Données projet'!$E$9+1,1))-AVERAGE(OFFSET($H$3,0,0,'Données projet'!$E$9+1,1))</f>
        <v>457.88065872594228</v>
      </c>
      <c r="T56" s="59">
        <f t="shared" si="34"/>
        <v>204.62439362068329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9.2657406600662657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9.2657406600662657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664.8787007958623</v>
      </c>
      <c r="AN56" s="59">
        <f ca="1">AVERAGE(OFFSET($AM$3,0,0,'Données projet'!$E$10+1,1))-AVERAGE(OFFSET($H$3,0,0,'Données projet'!$E$10+1,1))</f>
        <v>430.16825592717629</v>
      </c>
      <c r="AO56" s="59">
        <f t="shared" si="36"/>
        <v>192.87542067077248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8.757142857142858</v>
      </c>
      <c r="BD56" s="12">
        <f>IF('Données projet'!$A$88&gt;35,BD55+BC56-BL55,IF(A56&lt;'Données projet'!$A$88,$BA$205^A56,IF(A56='Données projet'!$A$88,'Données projet'!$B$88,BD55+BC56-BL55)))</f>
        <v>130.03714285714287</v>
      </c>
      <c r="BE56" s="13">
        <f>BD56*VLOOKUP('Données projet'!$B$11,Paramètres!$A$1:$I$89,3,0)*VLOOKUP('Données projet'!$B$11,Paramètres!$A$1:$I$89,5,0)</f>
        <v>109.54328914285718</v>
      </c>
      <c r="BF56" s="13">
        <f t="shared" si="37"/>
        <v>29.223353890386761</v>
      </c>
      <c r="BG56" s="20">
        <f t="shared" si="7"/>
        <v>241.6852366162332</v>
      </c>
      <c r="BH56" s="59">
        <f t="shared" si="8"/>
        <v>535.01856994956654</v>
      </c>
      <c r="BI56" s="59">
        <f ca="1">AVERAGE(OFFSET($BH$3,0,0,'Données projet'!$E$11+1,1))-AVERAGE(OFFSET($H$3,0,0,'Données projet'!$E$11+1,1))</f>
        <v>243.94505553629301</v>
      </c>
      <c r="BJ56" s="59">
        <f t="shared" si="38"/>
        <v>173.05364940250229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8.8279601764071689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8.8279601764071689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179.80000000000004</v>
      </c>
      <c r="BZ56" s="13">
        <f>BY56*VLOOKUP('Données projet'!$B$12,Paramètres!$A$1:$I$89,3,0)*VLOOKUP('Données projet'!$B$12,Paramètres!$A$1:$I$89,5,0)</f>
        <v>117.80496000000004</v>
      </c>
      <c r="CA56" s="13">
        <f t="shared" si="39"/>
        <v>31.162493487829593</v>
      </c>
      <c r="CB56" s="20">
        <f t="shared" si="10"/>
        <v>259.45164815796994</v>
      </c>
      <c r="CC56" s="59">
        <f t="shared" si="11"/>
        <v>552.78498149130326</v>
      </c>
      <c r="CD56" s="59">
        <f ca="1">AVERAGE(OFFSET($CC$3,0,0,'Données projet'!$E$12+1,1))-AVERAGE(OFFSET($H$3,0,0,'Données projet'!$E$12+1,1))</f>
        <v>140.9558843244115</v>
      </c>
      <c r="CE56" s="59">
        <f t="shared" si="40"/>
        <v>158.88947216184619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3.6033512270032908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3.6033512270032908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9.5537500000000009</v>
      </c>
      <c r="CT56" s="12">
        <f>IF('Données projet'!$A$140&gt;35,CT55+CS56-DB55,IF(A56&lt;'Données projet'!$A$140,$CQ$205^A56,IF(A56='Données projet'!$A$140,'Données projet'!$B$140,CT55+CS56-DB55)))</f>
        <v>188.10125000000016</v>
      </c>
      <c r="CU56" s="17">
        <f>CT56*VLOOKUP('Données projet'!$B$13,Paramètres!$A$1:$I$89,3,0)*VLOOKUP('Données projet'!$B$13,Paramètres!$A$1:$I$89,5,0)</f>
        <v>181.93152900000015</v>
      </c>
      <c r="CV56" s="13">
        <f t="shared" si="41"/>
        <v>45.751648470358951</v>
      </c>
      <c r="CW56" s="20">
        <f t="shared" si="13"/>
        <v>396.54820076087543</v>
      </c>
      <c r="CX56" s="59">
        <f t="shared" si="14"/>
        <v>689.88153409420875</v>
      </c>
      <c r="CY56" s="59">
        <f ca="1">AVERAGE(OFFSET($CX$3,0,0,'Données projet'!$E$13+1,1))-AVERAGE(OFFSET($H$3,0,0,'Données projet'!$E$13+1,1))</f>
        <v>467.11196088914556</v>
      </c>
      <c r="CZ56" s="59">
        <f t="shared" si="42"/>
        <v>208.53783609106262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9.4176380479362027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9.4176380479362027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9.5537500000000009</v>
      </c>
      <c r="DO56" s="12">
        <f>IF('Données projet'!$A$166&gt;35,DO55+DN56-DW55,IF(A56&lt;'Données projet'!$A$166,$DL$205^A56,IF(A56='Données projet'!$A$166,'Données projet'!$B$166,DO55+DN56-DW55)))</f>
        <v>188.10125000000016</v>
      </c>
      <c r="DP56" s="17">
        <f>DO56*VLOOKUP('Données projet'!$B$14,Paramètres!$A$1:$I$89,3,0)*VLOOKUP('Données projet'!$B$14,Paramètres!$A$1:$I$89,5,0)</f>
        <v>202.47218550000019</v>
      </c>
      <c r="DQ56" s="13">
        <f t="shared" si="43"/>
        <v>50.287090197355241</v>
      </c>
      <c r="DR56" s="20">
        <f t="shared" si="16"/>
        <v>440.22240517289401</v>
      </c>
      <c r="DS56" s="59">
        <f t="shared" si="17"/>
        <v>733.55573850622727</v>
      </c>
      <c r="DT56" s="59">
        <f ca="1">AVERAGE(OFFSET($DS$3,0,0,'Données projet'!$E$14+1,1))-AVERAGE(OFFSET($H$3,0,0,'Données projet'!$E$14+1,1))</f>
        <v>531.65020827367698</v>
      </c>
      <c r="DU56" s="59">
        <f t="shared" si="44"/>
        <v>235.89413420278396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10.480919763025774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10.480919763025774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31.168800000000029</v>
      </c>
      <c r="D57" s="11">
        <f t="shared" si="32"/>
        <v>9.6250529983827278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314.89991788225291</v>
      </c>
      <c r="H57" s="67">
        <f t="shared" si="1"/>
        <v>364.38262730551662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188.08849800000019</v>
      </c>
      <c r="P57" s="13">
        <f t="shared" si="33"/>
        <v>47.117098521969908</v>
      </c>
      <c r="Q57" s="20">
        <f t="shared" si="53"/>
        <v>409.64974727576458</v>
      </c>
      <c r="R57" s="59">
        <f t="shared" si="0"/>
        <v>702.9830806090979</v>
      </c>
      <c r="S57" s="59">
        <f ca="1">AVERAGE(OFFSET($R$3,0,0,'Données projet'!$E$9+1,1))-AVERAGE(OFFSET($H$3,0,0,'Données projet'!$E$9+1,1))</f>
        <v>457.88065872594228</v>
      </c>
      <c r="T57" s="59">
        <f t="shared" si="34"/>
        <v>204.62439362068329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9.0840451372661253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9.0840451372661253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683.2957456597228</v>
      </c>
      <c r="AN57" s="59">
        <f ca="1">AVERAGE(OFFSET($AM$3,0,0,'Données projet'!$E$10+1,1))-AVERAGE(OFFSET($H$3,0,0,'Données projet'!$E$10+1,1))</f>
        <v>430.16825592717629</v>
      </c>
      <c r="AO57" s="59">
        <f t="shared" si="36"/>
        <v>192.87542067077248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8.757142857142858</v>
      </c>
      <c r="BD57" s="12">
        <f>IF('Données projet'!$A$88&gt;35,BD56+BC57-BL56,IF(A57&lt;'Données projet'!$A$88,$BA$205^A57,IF(A57='Données projet'!$A$88,'Données projet'!$B$88,BD56+BC57-BL56)))</f>
        <v>138.79428571428573</v>
      </c>
      <c r="BE57" s="13">
        <f>BD57*VLOOKUP('Données projet'!$B$11,Paramètres!$A$1:$I$89,3,0)*VLOOKUP('Données projet'!$B$11,Paramètres!$A$1:$I$89,5,0)</f>
        <v>116.9203062857143</v>
      </c>
      <c r="BF57" s="13">
        <f t="shared" si="37"/>
        <v>30.95562804985342</v>
      </c>
      <c r="BG57" s="20">
        <f t="shared" si="7"/>
        <v>257.55058563444715</v>
      </c>
      <c r="BH57" s="59">
        <f t="shared" si="8"/>
        <v>550.88391896778046</v>
      </c>
      <c r="BI57" s="59">
        <f ca="1">AVERAGE(OFFSET($BH$3,0,0,'Données projet'!$E$11+1,1))-AVERAGE(OFFSET($H$3,0,0,'Données projet'!$E$11+1,1))</f>
        <v>243.94505553629301</v>
      </c>
      <c r="BJ57" s="59">
        <f t="shared" si="38"/>
        <v>173.05364940250229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8.6548492618718544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8.6548492618718544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185.40000000000003</v>
      </c>
      <c r="BZ57" s="13">
        <f>BY57*VLOOKUP('Données projet'!$B$12,Paramètres!$A$1:$I$89,3,0)*VLOOKUP('Données projet'!$B$12,Paramètres!$A$1:$I$89,5,0)</f>
        <v>121.47408000000001</v>
      </c>
      <c r="CA57" s="13">
        <f t="shared" si="39"/>
        <v>32.018559567275666</v>
      </c>
      <c r="CB57" s="20">
        <f t="shared" si="10"/>
        <v>267.33301391300517</v>
      </c>
      <c r="CC57" s="59">
        <f t="shared" si="11"/>
        <v>560.66634724633855</v>
      </c>
      <c r="CD57" s="59">
        <f ca="1">AVERAGE(OFFSET($CC$3,0,0,'Données projet'!$E$12+1,1))-AVERAGE(OFFSET($H$3,0,0,'Données projet'!$E$12+1,1))</f>
        <v>140.9558843244115</v>
      </c>
      <c r="CE57" s="59">
        <f t="shared" si="40"/>
        <v>158.88947216184619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3.5326917072689872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3.5326917072689872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9.5537500000000009</v>
      </c>
      <c r="CT57" s="12">
        <f>IF('Données projet'!$A$140&gt;35,CT56+CS57-DB56,IF(A57&lt;'Données projet'!$A$140,$CQ$205^A57,IF(A57='Données projet'!$A$140,'Données projet'!$B$140,CT56+CS57-DB56)))</f>
        <v>197.65500000000017</v>
      </c>
      <c r="CU57" s="17">
        <f>CT57*VLOOKUP('Données projet'!$B$13,Paramètres!$A$1:$I$89,3,0)*VLOOKUP('Données projet'!$B$13,Paramètres!$A$1:$I$89,5,0)</f>
        <v>191.17191600000018</v>
      </c>
      <c r="CV57" s="13">
        <f t="shared" si="41"/>
        <v>47.798954043882908</v>
      </c>
      <c r="CW57" s="20">
        <f t="shared" si="13"/>
        <v>416.20759865976305</v>
      </c>
      <c r="CX57" s="59">
        <f t="shared" si="14"/>
        <v>709.54093199309636</v>
      </c>
      <c r="CY57" s="59">
        <f ca="1">AVERAGE(OFFSET($CX$3,0,0,'Données projet'!$E$13+1,1))-AVERAGE(OFFSET($H$3,0,0,'Données projet'!$E$13+1,1))</f>
        <v>467.11196088914556</v>
      </c>
      <c r="CZ57" s="59">
        <f t="shared" si="42"/>
        <v>208.53783609106262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9.2329639100081913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9.2329639100081913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9.5537500000000009</v>
      </c>
      <c r="DO57" s="12">
        <f>IF('Données projet'!$A$166&gt;35,DO56+DN57-DW56,IF(A57&lt;'Données projet'!$A$166,$DL$205^A57,IF(A57='Données projet'!$A$166,'Données projet'!$B$166,DO56+DN57-DW56)))</f>
        <v>197.65500000000017</v>
      </c>
      <c r="DP57" s="17">
        <f>DO57*VLOOKUP('Données projet'!$B$14,Paramètres!$A$1:$I$89,3,0)*VLOOKUP('Données projet'!$B$14,Paramètres!$A$1:$I$89,5,0)</f>
        <v>212.75584200000017</v>
      </c>
      <c r="DQ57" s="13">
        <f t="shared" si="43"/>
        <v>52.537348788672297</v>
      </c>
      <c r="DR57" s="20">
        <f t="shared" si="16"/>
        <v>462.05230729027113</v>
      </c>
      <c r="DS57" s="59">
        <f t="shared" si="17"/>
        <v>755.38564062360444</v>
      </c>
      <c r="DT57" s="59">
        <f ca="1">AVERAGE(OFFSET($DS$3,0,0,'Données projet'!$E$14+1,1))-AVERAGE(OFFSET($H$3,0,0,'Données projet'!$E$14+1,1))</f>
        <v>531.65020827367698</v>
      </c>
      <c r="DU57" s="59">
        <f t="shared" si="44"/>
        <v>235.89413420278396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10.275395319202664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10.275395319202664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31.746000000000031</v>
      </c>
      <c r="D58" s="11">
        <f t="shared" si="32"/>
        <v>9.7823787985981721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320.5699416032142</v>
      </c>
      <c r="H58" s="67">
        <f t="shared" si="1"/>
        <v>365.6619264075585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197.17984650000017</v>
      </c>
      <c r="P58" s="13">
        <f t="shared" si="33"/>
        <v>49.123872019410832</v>
      </c>
      <c r="Q58" s="20">
        <f t="shared" si="53"/>
        <v>428.97897642130755</v>
      </c>
      <c r="R58" s="59">
        <f t="shared" si="0"/>
        <v>722.31230975464086</v>
      </c>
      <c r="S58" s="59">
        <f ca="1">AVERAGE(OFFSET($R$3,0,0,'Données projet'!$E$9+1,1))-AVERAGE(OFFSET($H$3,0,0,'Données projet'!$E$9+1,1))</f>
        <v>457.88065872594228</v>
      </c>
      <c r="T58" s="59">
        <f t="shared" si="34"/>
        <v>204.62439362068329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8.9059125528447698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8.9059125528447698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701.69392226286891</v>
      </c>
      <c r="AN58" s="59">
        <f ca="1">AVERAGE(OFFSET($AM$3,0,0,'Données projet'!$E$10+1,1))-AVERAGE(OFFSET($H$3,0,0,'Données projet'!$E$10+1,1))</f>
        <v>430.16825592717629</v>
      </c>
      <c r="AO58" s="59">
        <f t="shared" si="36"/>
        <v>192.87542067077248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8.757142857142858</v>
      </c>
      <c r="BD58" s="12">
        <f>IF('Données projet'!$A$88&gt;35,BD57+BC58-BL57,IF(A58&lt;'Données projet'!$A$88,$BA$205^A58,IF(A58='Données projet'!$A$88,'Données projet'!$B$88,BD57+BC58-BL57)))</f>
        <v>147.5514285714286</v>
      </c>
      <c r="BE58" s="13">
        <f>BD58*VLOOKUP('Données projet'!$B$11,Paramètres!$A$1:$I$89,3,0)*VLOOKUP('Données projet'!$B$11,Paramètres!$A$1:$I$89,5,0)</f>
        <v>124.29732342857146</v>
      </c>
      <c r="BF58" s="13">
        <f t="shared" si="37"/>
        <v>32.675217782102486</v>
      </c>
      <c r="BG58" s="20">
        <f t="shared" si="7"/>
        <v>273.39384260859043</v>
      </c>
      <c r="BH58" s="59">
        <f t="shared" si="8"/>
        <v>566.72717594192375</v>
      </c>
      <c r="BI58" s="59">
        <f ca="1">AVERAGE(OFFSET($BH$3,0,0,'Données projet'!$E$11+1,1))-AVERAGE(OFFSET($H$3,0,0,'Données projet'!$E$11+1,1))</f>
        <v>243.94505553629301</v>
      </c>
      <c r="BJ58" s="59">
        <f t="shared" si="38"/>
        <v>173.05364940250229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8.4851329467833452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8.4851329467833452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191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191.00000000000003</v>
      </c>
      <c r="BZ58" s="13">
        <f>BY58*VLOOKUP('Données projet'!$B$12,Paramètres!$A$1:$I$89,3,0)*VLOOKUP('Données projet'!$B$12,Paramètres!$A$1:$I$89,5,0)</f>
        <v>125.14320000000002</v>
      </c>
      <c r="CA58" s="13">
        <f t="shared" si="39"/>
        <v>32.871620642334328</v>
      </c>
      <c r="CB58" s="20">
        <f t="shared" si="10"/>
        <v>275.20914595206563</v>
      </c>
      <c r="CC58" s="59">
        <f t="shared" si="11"/>
        <v>568.54247928539894</v>
      </c>
      <c r="CD58" s="59">
        <f ca="1">AVERAGE(OFFSET($CC$3,0,0,'Données projet'!$E$12+1,1))-AVERAGE(OFFSET($H$3,0,0,'Données projet'!$E$12+1,1))</f>
        <v>140.9558843244115</v>
      </c>
      <c r="CE58" s="59">
        <f t="shared" si="40"/>
        <v>158.88947216184619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20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5.3321225947071937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5.3321225947071937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9.5537500000000009</v>
      </c>
      <c r="CT58" s="12">
        <f>IF('Données projet'!$A$140&gt;35,CT57+CS58-DB57,IF(A58&lt;'Données projet'!$A$140,$CQ$205^A58,IF(A58='Données projet'!$A$140,'Données projet'!$B$140,CT57+CS58-DB57)))</f>
        <v>207.20875000000018</v>
      </c>
      <c r="CU58" s="17">
        <f>CT58*VLOOKUP('Données projet'!$B$13,Paramètres!$A$1:$I$89,3,0)*VLOOKUP('Données projet'!$B$13,Paramètres!$A$1:$I$89,5,0)</f>
        <v>200.41230300000018</v>
      </c>
      <c r="CV58" s="13">
        <f t="shared" si="41"/>
        <v>49.834768582334036</v>
      </c>
      <c r="CW58" s="20">
        <f t="shared" si="13"/>
        <v>435.84698300589872</v>
      </c>
      <c r="CX58" s="59">
        <f t="shared" si="14"/>
        <v>729.18031633923204</v>
      </c>
      <c r="CY58" s="59">
        <f ca="1">AVERAGE(OFFSET($CX$3,0,0,'Données projet'!$E$13+1,1))-AVERAGE(OFFSET($H$3,0,0,'Données projet'!$E$13+1,1))</f>
        <v>467.11196088914556</v>
      </c>
      <c r="CZ58" s="59">
        <f t="shared" si="42"/>
        <v>208.53783609106262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9.0519111192848456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9.0519111192848456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9.5537500000000009</v>
      </c>
      <c r="DO58" s="12">
        <f>IF('Données projet'!$A$166&gt;35,DO57+DN58-DW57,IF(A58&lt;'Données projet'!$A$166,$DL$205^A58,IF(A58='Données projet'!$A$166,'Données projet'!$B$166,DO57+DN58-DW57)))</f>
        <v>207.20875000000018</v>
      </c>
      <c r="DP58" s="17">
        <f>DO58*VLOOKUP('Données projet'!$B$14,Paramètres!$A$1:$I$89,3,0)*VLOOKUP('Données projet'!$B$14,Paramètres!$A$1:$I$89,5,0)</f>
        <v>223.03949850000021</v>
      </c>
      <c r="DQ58" s="13">
        <f t="shared" si="43"/>
        <v>54.774977218312529</v>
      </c>
      <c r="DR58" s="20">
        <f t="shared" si="16"/>
        <v>483.86021187606133</v>
      </c>
      <c r="DS58" s="59">
        <f t="shared" si="17"/>
        <v>777.19354520939464</v>
      </c>
      <c r="DT58" s="59">
        <f ca="1">AVERAGE(OFFSET($DS$3,0,0,'Données projet'!$E$14+1,1))-AVERAGE(OFFSET($H$3,0,0,'Données projet'!$E$14+1,1))</f>
        <v>531.65020827367698</v>
      </c>
      <c r="DU58" s="59">
        <f t="shared" si="44"/>
        <v>235.89413420278396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10.073901084365392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10.073901084365392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32.323200000000028</v>
      </c>
      <c r="D59" s="11">
        <f t="shared" si="32"/>
        <v>9.9393719729191581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326.23739768569197</v>
      </c>
      <c r="H59" s="67">
        <f t="shared" si="1"/>
        <v>366.94064618616756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206.27119500000018</v>
      </c>
      <c r="P59" s="13">
        <f t="shared" si="33"/>
        <v>51.11990031069643</v>
      </c>
      <c r="Q59" s="20">
        <f t="shared" si="53"/>
        <v>448.28949099946317</v>
      </c>
      <c r="R59" s="59">
        <f t="shared" si="0"/>
        <v>741.62282433279643</v>
      </c>
      <c r="S59" s="59">
        <f ca="1">AVERAGE(OFFSET($R$3,0,0,'Données projet'!$E$9+1,1))-AVERAGE(OFFSET($H$3,0,0,'Données projet'!$E$9+1,1))</f>
        <v>457.88065872594228</v>
      </c>
      <c r="T59" s="59">
        <f t="shared" si="34"/>
        <v>204.62439362068329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8.7312730397537681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8.7312730397537681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720.07419992548193</v>
      </c>
      <c r="AN59" s="59">
        <f ca="1">AVERAGE(OFFSET($AM$3,0,0,'Données projet'!$E$10+1,1))-AVERAGE(OFFSET($H$3,0,0,'Données projet'!$E$10+1,1))</f>
        <v>430.16825592717629</v>
      </c>
      <c r="AO59" s="59">
        <f t="shared" si="36"/>
        <v>192.87542067077248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8.757142857142858</v>
      </c>
      <c r="BD59" s="12">
        <f>IF('Données projet'!$A$88&gt;35,BD58+BC59-BL58,IF(A59&lt;'Données projet'!$A$88,$BA$205^A59,IF(A59='Données projet'!$A$88,'Données projet'!$B$88,BD58+BC59-BL58)))</f>
        <v>156.30857142857147</v>
      </c>
      <c r="BE59" s="13">
        <f>BD59*VLOOKUP('Données projet'!$B$11,Paramètres!$A$1:$I$89,3,0)*VLOOKUP('Données projet'!$B$11,Paramètres!$A$1:$I$89,5,0)</f>
        <v>131.67434057142862</v>
      </c>
      <c r="BF59" s="13">
        <f t="shared" si="37"/>
        <v>34.382961649798958</v>
      </c>
      <c r="BG59" s="20">
        <f t="shared" si="7"/>
        <v>289.21646803530473</v>
      </c>
      <c r="BH59" s="59">
        <f t="shared" si="8"/>
        <v>582.5498013686381</v>
      </c>
      <c r="BI59" s="59">
        <f ca="1">AVERAGE(OFFSET($BH$3,0,0,'Données projet'!$E$11+1,1))-AVERAGE(OFFSET($H$3,0,0,'Données projet'!$E$11+1,1))</f>
        <v>243.94505553629301</v>
      </c>
      <c r="BJ59" s="59">
        <f t="shared" si="38"/>
        <v>173.05364940250229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8.3187446651169914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8.3187446651169914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176.00000000000003</v>
      </c>
      <c r="BZ59" s="13">
        <f>BY59*VLOOKUP('Données projet'!$B$12,Paramètres!$A$1:$I$89,3,0)*VLOOKUP('Données projet'!$B$12,Paramètres!$A$1:$I$89,5,0)</f>
        <v>115.31520000000003</v>
      </c>
      <c r="CA59" s="13">
        <f t="shared" si="39"/>
        <v>30.579827148797317</v>
      </c>
      <c r="CB59" s="20">
        <f t="shared" si="10"/>
        <v>254.10050561748869</v>
      </c>
      <c r="CC59" s="59">
        <f t="shared" si="11"/>
        <v>547.43383895082206</v>
      </c>
      <c r="CD59" s="59">
        <f ca="1">AVERAGE(OFFSET($CC$3,0,0,'Données projet'!$E$12+1,1))-AVERAGE(OFFSET($H$3,0,0,'Données projet'!$E$12+1,1))</f>
        <v>140.9558843244115</v>
      </c>
      <c r="CE59" s="59">
        <f t="shared" si="40"/>
        <v>158.88947216184619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5.2275629228986329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5.2275629228986329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9.5537500000000009</v>
      </c>
      <c r="CT59" s="12">
        <f>IF('Données projet'!$A$140&gt;35,CT58+CS59-DB58,IF(A59&lt;'Données projet'!$A$140,$CQ$205^A59,IF(A59='Données projet'!$A$140,'Données projet'!$B$140,CT58+CS59-DB58)))</f>
        <v>216.76250000000019</v>
      </c>
      <c r="CU59" s="17">
        <f>CT59*VLOOKUP('Données projet'!$B$13,Paramètres!$A$1:$I$89,3,0)*VLOOKUP('Données projet'!$B$13,Paramètres!$A$1:$I$89,5,0)</f>
        <v>209.65269000000021</v>
      </c>
      <c r="CV59" s="13">
        <f t="shared" si="41"/>
        <v>51.859682415280766</v>
      </c>
      <c r="CW59" s="20">
        <f t="shared" si="13"/>
        <v>455.46738195661436</v>
      </c>
      <c r="CX59" s="59">
        <f t="shared" si="14"/>
        <v>748.80071528994768</v>
      </c>
      <c r="CY59" s="59">
        <f ca="1">AVERAGE(OFFSET($CX$3,0,0,'Données projet'!$E$13+1,1))-AVERAGE(OFFSET($H$3,0,0,'Données projet'!$E$13+1,1))</f>
        <v>467.11196088914556</v>
      </c>
      <c r="CZ59" s="59">
        <f t="shared" si="42"/>
        <v>208.53783609106262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8.874408663356288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8.874408663356288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9.5537500000000009</v>
      </c>
      <c r="DO59" s="12">
        <f>IF('Données projet'!$A$166&gt;35,DO58+DN59-DW58,IF(A59&lt;'Données projet'!$A$166,$DL$205^A59,IF(A59='Données projet'!$A$166,'Données projet'!$B$166,DO58+DN59-DW58)))</f>
        <v>216.76250000000019</v>
      </c>
      <c r="DP59" s="17">
        <f>DO59*VLOOKUP('Données projet'!$B$14,Paramètres!$A$1:$I$89,3,0)*VLOOKUP('Données projet'!$B$14,Paramètres!$A$1:$I$89,5,0)</f>
        <v>233.32315500000018</v>
      </c>
      <c r="DQ59" s="13">
        <f t="shared" si="43"/>
        <v>57.000624336257076</v>
      </c>
      <c r="DR59" s="20">
        <f t="shared" si="16"/>
        <v>505.64724901064801</v>
      </c>
      <c r="DS59" s="59">
        <f t="shared" si="17"/>
        <v>798.98058234398127</v>
      </c>
      <c r="DT59" s="59">
        <f ca="1">AVERAGE(OFFSET($DS$3,0,0,'Données projet'!$E$14+1,1))-AVERAGE(OFFSET($H$3,0,0,'Données projet'!$E$14+1,1))</f>
        <v>531.65020827367698</v>
      </c>
      <c r="DU59" s="59">
        <f t="shared" si="44"/>
        <v>235.89413420278396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9.8763580285739323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9.8763580285739323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32.900400000000026</v>
      </c>
      <c r="D60" s="11">
        <f t="shared" si="32"/>
        <v>10.096039146303513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331.90233726971155</v>
      </c>
      <c r="H60" s="67">
        <f t="shared" si="1"/>
        <v>368.21879817981198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215.36254350000016</v>
      </c>
      <c r="P60" s="13">
        <f t="shared" si="33"/>
        <v>53.105711109039405</v>
      </c>
      <c r="Q60" s="20">
        <f t="shared" si="53"/>
        <v>467.58221011074392</v>
      </c>
      <c r="R60" s="59">
        <f t="shared" si="0"/>
        <v>760.91554344407723</v>
      </c>
      <c r="S60" s="59">
        <f ca="1">AVERAGE(OFFSET($R$3,0,0,'Données projet'!$E$9+1,1))-AVERAGE(OFFSET($H$3,0,0,'Données projet'!$E$9+1,1))</f>
        <v>457.88065872594228</v>
      </c>
      <c r="T60" s="59">
        <f t="shared" si="34"/>
        <v>204.62439362068329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8.5600581009948957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8.5600581009948957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738.43745769141424</v>
      </c>
      <c r="AN60" s="59">
        <f ca="1">AVERAGE(OFFSET($AM$3,0,0,'Données projet'!$E$10+1,1))-AVERAGE(OFFSET($H$3,0,0,'Données projet'!$E$10+1,1))</f>
        <v>430.16825592717629</v>
      </c>
      <c r="AO60" s="59">
        <f t="shared" si="36"/>
        <v>192.87542067077248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8.757142857142858</v>
      </c>
      <c r="BD60" s="12">
        <f>IF('Données projet'!$A$88&gt;35,BD59+BC60-BL59,IF(A60&lt;'Données projet'!$A$88,$BA$205^A60,IF(A60='Données projet'!$A$88,'Données projet'!$B$88,BD59+BC60-BL59)))</f>
        <v>165.06571428571434</v>
      </c>
      <c r="BE60" s="13">
        <f>BD60*VLOOKUP('Données projet'!$B$11,Paramètres!$A$1:$I$89,3,0)*VLOOKUP('Données projet'!$B$11,Paramètres!$A$1:$I$89,5,0)</f>
        <v>139.05135771428579</v>
      </c>
      <c r="BF60" s="13">
        <f t="shared" si="37"/>
        <v>36.079598948273173</v>
      </c>
      <c r="BG60" s="20">
        <f t="shared" si="7"/>
        <v>305.01974952062346</v>
      </c>
      <c r="BH60" s="59">
        <f t="shared" si="8"/>
        <v>598.35308285395672</v>
      </c>
      <c r="BI60" s="59">
        <f ca="1">AVERAGE(OFFSET($BH$3,0,0,'Données projet'!$E$11+1,1))-AVERAGE(OFFSET($H$3,0,0,'Données projet'!$E$11+1,1))</f>
        <v>243.94505553629301</v>
      </c>
      <c r="BJ60" s="59">
        <f t="shared" si="38"/>
        <v>173.05364940250229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8.1556191561672833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8.1556191561672833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181.00000000000003</v>
      </c>
      <c r="BZ60" s="13">
        <f>BY60*VLOOKUP('Données projet'!$B$12,Paramètres!$A$1:$I$89,3,0)*VLOOKUP('Données projet'!$B$12,Paramètres!$A$1:$I$89,5,0)</f>
        <v>118.59120000000001</v>
      </c>
      <c r="CA60" s="13">
        <f t="shared" si="39"/>
        <v>31.346194334434067</v>
      </c>
      <c r="CB60" s="20">
        <f t="shared" si="10"/>
        <v>261.14096179913935</v>
      </c>
      <c r="CC60" s="59">
        <f t="shared" si="11"/>
        <v>554.47429513247266</v>
      </c>
      <c r="CD60" s="59">
        <f ca="1">AVERAGE(OFFSET($CC$3,0,0,'Données projet'!$E$12+1,1))-AVERAGE(OFFSET($H$3,0,0,'Données projet'!$E$12+1,1))</f>
        <v>140.9558843244115</v>
      </c>
      <c r="CE60" s="59">
        <f t="shared" si="40"/>
        <v>158.88947216184619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5.1250536024791353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5.1250536024791353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9.5537500000000009</v>
      </c>
      <c r="CT60" s="12">
        <f>IF('Données projet'!$A$140&gt;35,CT59+CS60-DB59,IF(A60&lt;'Données projet'!$A$140,$CQ$205^A60,IF(A60='Données projet'!$A$140,'Données projet'!$B$140,CT59+CS60-DB59)))</f>
        <v>226.3162500000002</v>
      </c>
      <c r="CU60" s="17">
        <f>CT60*VLOOKUP('Données projet'!$B$13,Paramètres!$A$1:$I$89,3,0)*VLOOKUP('Données projet'!$B$13,Paramètres!$A$1:$I$89,5,0)</f>
        <v>218.8930770000002</v>
      </c>
      <c r="CV60" s="13">
        <f t="shared" si="41"/>
        <v>53.874230892742354</v>
      </c>
      <c r="CW60" s="20">
        <f t="shared" si="13"/>
        <v>475.06972791319322</v>
      </c>
      <c r="CX60" s="59">
        <f t="shared" si="14"/>
        <v>768.40306124652648</v>
      </c>
      <c r="CY60" s="59">
        <f ca="1">AVERAGE(OFFSET($CX$3,0,0,'Données projet'!$E$13+1,1))-AVERAGE(OFFSET($H$3,0,0,'Données projet'!$E$13+1,1))</f>
        <v>467.11196088914556</v>
      </c>
      <c r="CZ60" s="59">
        <f t="shared" si="42"/>
        <v>208.53783609106262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8.7003869223226804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8.7003869223226804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9.5537500000000009</v>
      </c>
      <c r="DO60" s="12">
        <f>IF('Données projet'!$A$166&gt;35,DO59+DN60-DW59,IF(A60&lt;'Données projet'!$A$166,$DL$205^A60,IF(A60='Données projet'!$A$166,'Données projet'!$B$166,DO59+DN60-DW59)))</f>
        <v>226.3162500000002</v>
      </c>
      <c r="DP60" s="17">
        <f>DO60*VLOOKUP('Données projet'!$B$14,Paramètres!$A$1:$I$89,3,0)*VLOOKUP('Données projet'!$B$14,Paramètres!$A$1:$I$89,5,0)</f>
        <v>243.60681150000022</v>
      </c>
      <c r="DQ60" s="13">
        <f t="shared" si="43"/>
        <v>59.214878562718148</v>
      </c>
      <c r="DR60" s="20">
        <f t="shared" si="16"/>
        <v>527.41444352590111</v>
      </c>
      <c r="DS60" s="59">
        <f t="shared" si="17"/>
        <v>820.74777685923436</v>
      </c>
      <c r="DT60" s="59">
        <f ca="1">AVERAGE(OFFSET($DS$3,0,0,'Données projet'!$E$14+1,1))-AVERAGE(OFFSET($H$3,0,0,'Données projet'!$E$14+1,1))</f>
        <v>531.65020827367698</v>
      </c>
      <c r="DU60" s="59">
        <f t="shared" si="44"/>
        <v>235.89413420278396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9.6826886716171767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9.6826886716171767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33.477600000000024</v>
      </c>
      <c r="D61" s="11">
        <f t="shared" si="32"/>
        <v>10.2523866979388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337.56480959812433</v>
      </c>
      <c r="H61" s="67">
        <f t="shared" si="1"/>
        <v>369.49639349891009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224.45389200000022</v>
      </c>
      <c r="P61" s="13">
        <f t="shared" si="33"/>
        <v>55.081785053400523</v>
      </c>
      <c r="Q61" s="20">
        <f t="shared" si="53"/>
        <v>486.85797086800625</v>
      </c>
      <c r="R61" s="59">
        <f t="shared" si="0"/>
        <v>780.19130420133956</v>
      </c>
      <c r="S61" s="59">
        <f ca="1">AVERAGE(OFFSET($R$3,0,0,'Données projet'!$E$9+1,1))-AVERAGE(OFFSET($H$3,0,0,'Données projet'!$E$9+1,1))</f>
        <v>457.88065872594228</v>
      </c>
      <c r="T61" s="59">
        <f t="shared" si="34"/>
        <v>204.62439362068329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14.489361717681856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14.489361717681856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756.7844961900862</v>
      </c>
      <c r="AN61" s="59">
        <f ca="1">AVERAGE(OFFSET($AM$3,0,0,'Données projet'!$E$10+1,1))-AVERAGE(OFFSET($H$3,0,0,'Données projet'!$E$10+1,1))</f>
        <v>430.16825592717629</v>
      </c>
      <c r="AO61" s="59">
        <f t="shared" si="36"/>
        <v>192.87542067077248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8.757142857142858</v>
      </c>
      <c r="BD61" s="12">
        <f>IF('Données projet'!$A$88&gt;35,BD60+BC61-BL60,IF(A61&lt;'Données projet'!$A$88,$BA$205^A61,IF(A61='Données projet'!$A$88,'Données projet'!$B$88,BD60+BC61-BL60)))</f>
        <v>173.8228571428572</v>
      </c>
      <c r="BE61" s="13">
        <f>BD61*VLOOKUP('Données projet'!$B$11,Paramètres!$A$1:$I$89,3,0)*VLOOKUP('Données projet'!$B$11,Paramètres!$A$1:$I$89,5,0)</f>
        <v>146.42837485714293</v>
      </c>
      <c r="BF61" s="13">
        <f t="shared" si="37"/>
        <v>37.765786099604732</v>
      </c>
      <c r="BG61" s="20">
        <f t="shared" si="7"/>
        <v>320.80483033300214</v>
      </c>
      <c r="BH61" s="59">
        <f t="shared" si="8"/>
        <v>614.13816366633546</v>
      </c>
      <c r="BI61" s="59">
        <f ca="1">AVERAGE(OFFSET($BH$3,0,0,'Données projet'!$E$11+1,1))-AVERAGE(OFFSET($H$3,0,0,'Données projet'!$E$11+1,1))</f>
        <v>243.94505553629301</v>
      </c>
      <c r="BJ61" s="59">
        <f t="shared" si="38"/>
        <v>173.05364940250229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7.9956924389513437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7.9956924389513437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186.00000000000003</v>
      </c>
      <c r="BZ61" s="13">
        <f>BY61*VLOOKUP('Données projet'!$B$12,Paramètres!$A$1:$I$89,3,0)*VLOOKUP('Données projet'!$B$12,Paramètres!$A$1:$I$89,5,0)</f>
        <v>121.86720000000001</v>
      </c>
      <c r="CA61" s="13">
        <f t="shared" si="39"/>
        <v>32.110100916567376</v>
      </c>
      <c r="CB61" s="20">
        <f t="shared" si="10"/>
        <v>268.17713242968824</v>
      </c>
      <c r="CC61" s="59">
        <f t="shared" si="11"/>
        <v>561.51046576302156</v>
      </c>
      <c r="CD61" s="59">
        <f ca="1">AVERAGE(OFFSET($CC$3,0,0,'Données projet'!$E$12+1,1))-AVERAGE(OFFSET($H$3,0,0,'Données projet'!$E$12+1,1))</f>
        <v>140.9558843244115</v>
      </c>
      <c r="CE61" s="59">
        <f t="shared" si="40"/>
        <v>158.88947216184619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5.0245544273085523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5.0245544273085523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235.87</v>
      </c>
      <c r="CR61" s="12">
        <f>VLOOKUP(A61,'Données projet'!$A$139:$I$159,9,0)</f>
        <v>9.5537500000000009</v>
      </c>
      <c r="CS61" s="12">
        <f t="array" ref="CS61">INDEX(CR:CR,MIN(IF(ISNUMBER(CR61:CR257),ROW(CR61:CR257),"")))</f>
        <v>9.5537500000000009</v>
      </c>
      <c r="CT61" s="12">
        <f>IF('Données projet'!$A$140&gt;35,CT60+CS61-DB60,IF(A61&lt;'Données projet'!$A$140,$CQ$205^A61,IF(A61='Données projet'!$A$140,'Données projet'!$B$140,CT60+CS61-DB60)))</f>
        <v>235.8700000000002</v>
      </c>
      <c r="CU61" s="17">
        <f>CT61*VLOOKUP('Données projet'!$B$13,Paramètres!$A$1:$I$89,3,0)*VLOOKUP('Données projet'!$B$13,Paramètres!$A$1:$I$89,5,0)</f>
        <v>228.1334640000002</v>
      </c>
      <c r="CV61" s="13">
        <f t="shared" si="41"/>
        <v>55.87890160925069</v>
      </c>
      <c r="CW61" s="20">
        <f t="shared" si="13"/>
        <v>494.6548701027786</v>
      </c>
      <c r="CX61" s="59">
        <f t="shared" si="14"/>
        <v>787.98820343611192</v>
      </c>
      <c r="CY61" s="59">
        <f ca="1">AVERAGE(OFFSET($CX$3,0,0,'Données projet'!$E$13+1,1))-AVERAGE(OFFSET($H$3,0,0,'Données projet'!$E$13+1,1))</f>
        <v>467.11196088914556</v>
      </c>
      <c r="CZ61" s="59">
        <f t="shared" si="42"/>
        <v>208.53783609106262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0.129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14.726892237643852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14.726892237643852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235.87</v>
      </c>
      <c r="DM61" s="12">
        <f>VLOOKUP(A61,'Données projet'!$A$165:$I$185,9,0)</f>
        <v>9.5537500000000009</v>
      </c>
      <c r="DN61" s="12">
        <f t="array" ref="DN61">INDEX(DM:DM,MIN(IF(ISNUMBER(DM61:DM257),ROW(DM61:DM257),"")))</f>
        <v>9.5537500000000009</v>
      </c>
      <c r="DO61" s="12">
        <f>IF('Données projet'!$A$166&gt;35,DO60+DN61-DW60,IF(A61&lt;'Données projet'!$A$166,$DL$205^A61,IF(A61='Données projet'!$A$166,'Données projet'!$B$166,DO60+DN61-DW60)))</f>
        <v>235.8700000000002</v>
      </c>
      <c r="DP61" s="17">
        <f>DO61*VLOOKUP('Données projet'!$B$14,Paramètres!$A$1:$I$89,3,0)*VLOOKUP('Données projet'!$B$14,Paramètres!$A$1:$I$89,5,0)</f>
        <v>253.8904680000002</v>
      </c>
      <c r="DQ61" s="13">
        <f t="shared" si="43"/>
        <v>61.418275828334977</v>
      </c>
      <c r="DR61" s="20">
        <f t="shared" si="16"/>
        <v>549.16272883435045</v>
      </c>
      <c r="DS61" s="59">
        <f t="shared" si="17"/>
        <v>842.4960621676837</v>
      </c>
      <c r="DT61" s="59">
        <f ca="1">AVERAGE(OFFSET($DS$3,0,0,'Données projet'!$E$14+1,1))-AVERAGE(OFFSET($H$3,0,0,'Données projet'!$E$14+1,1))</f>
        <v>531.65020827367698</v>
      </c>
      <c r="DU61" s="59">
        <f t="shared" si="44"/>
        <v>235.89413420278396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44.93</v>
      </c>
      <c r="DX61" s="16">
        <f>IF(ISNA(VLOOKUP(A61,'Données projet'!$A$165:$I$185,5,0)),0%,VLOOKUP(A61,'Données projet'!$A$165:$I$185,5,0)*VLOOKUP('Données projet'!$B$14,Paramètres!$A$1:$I$89,7,0))</f>
        <v>0.129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16.389605877377836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16.389605877377836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34.054800000000021</v>
      </c>
      <c r="D62" s="11">
        <f t="shared" si="32"/>
        <v>10.408420774437195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343.22486211846268</v>
      </c>
      <c r="H62" s="67">
        <f t="shared" si="1"/>
        <v>370.77344284881144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190.50318300000018</v>
      </c>
      <c r="P62" s="13">
        <f t="shared" si="33"/>
        <v>47.651182338339787</v>
      </c>
      <c r="Q62" s="20">
        <f t="shared" si="53"/>
        <v>414.78551963094213</v>
      </c>
      <c r="R62" s="59">
        <f t="shared" si="0"/>
        <v>708.11885296427545</v>
      </c>
      <c r="S62" s="59">
        <f ca="1">AVERAGE(OFFSET($R$3,0,0,'Données projet'!$E$9+1,1))-AVERAGE(OFFSET($H$3,0,0,'Données projet'!$E$9+1,1))</f>
        <v>457.88065872594228</v>
      </c>
      <c r="T62" s="59">
        <f t="shared" si="34"/>
        <v>204.62439362068329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14.205234172036118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14.205234172036118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688.18414616230984</v>
      </c>
      <c r="AN62" s="59">
        <f ca="1">AVERAGE(OFFSET($AM$3,0,0,'Données projet'!$E$10+1,1))-AVERAGE(OFFSET($H$3,0,0,'Données projet'!$E$10+1,1))</f>
        <v>430.16825592717629</v>
      </c>
      <c r="AO62" s="59">
        <f t="shared" si="36"/>
        <v>192.87542067077248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182.58</v>
      </c>
      <c r="BB62" s="12">
        <f>VLOOKUP(A62,'Données projet'!$A$87:$I$107,9,0)</f>
        <v>8.757142857142858</v>
      </c>
      <c r="BC62" s="12">
        <f t="array" ref="BC62">INDEX(BB:BB,MIN(IF(ISNUMBER(BB62:BB258),ROW(BB62:BB258),"")))</f>
        <v>8.757142857142858</v>
      </c>
      <c r="BD62" s="12">
        <f>IF('Données projet'!$A$88&gt;35,BD61+BC62-BL61,IF(A62&lt;'Données projet'!$A$88,$BA$205^A62,IF(A62='Données projet'!$A$88,'Données projet'!$B$88,BD61+BC62-BL61)))</f>
        <v>182.58000000000007</v>
      </c>
      <c r="BE62" s="13">
        <f>BD62*VLOOKUP('Données projet'!$B$11,Paramètres!$A$1:$I$89,3,0)*VLOOKUP('Données projet'!$B$11,Paramètres!$A$1:$I$89,5,0)</f>
        <v>153.80539200000007</v>
      </c>
      <c r="BF62" s="13">
        <f t="shared" si="37"/>
        <v>39.442109649056263</v>
      </c>
      <c r="BG62" s="20">
        <f t="shared" si="7"/>
        <v>336.57273203877315</v>
      </c>
      <c r="BH62" s="59">
        <f t="shared" si="8"/>
        <v>629.90606537210647</v>
      </c>
      <c r="BI62" s="59">
        <f ca="1">AVERAGE(OFFSET($BH$3,0,0,'Données projet'!$E$11+1,1))-AVERAGE(OFFSET($H$3,0,0,'Données projet'!$E$11+1,1))</f>
        <v>243.94505553629301</v>
      </c>
      <c r="BJ62" s="59">
        <f t="shared" si="38"/>
        <v>173.05364940250229</v>
      </c>
      <c r="BK62" s="15">
        <f>IF(ISNA(VLOOKUP(A62,'Données projet'!$A$87:$I$107,3,0)),0,VLOOKUP(A62,'Données projet'!$A$87:$I$107,3,0))</f>
        <v>4</v>
      </c>
      <c r="BL62" s="15">
        <f>IF(ISNA(VLOOKUP(A62,'Données projet'!$A$87:$I$107,4,0)),0,VLOOKUP(A62,'Données projet'!$A$87:$I$107,4,0))</f>
        <v>38.119999999999997</v>
      </c>
      <c r="BM62" s="16">
        <f>IF(ISNA(VLOOKUP(A62,'Données projet'!$A$87:$I$107,5,0)),0%,VLOOKUP(A62,'Données projet'!$A$87:$I$107,5,0)*VLOOKUP('Données projet'!$B$11,Paramètres!$A$1:$I$89,7,0))</f>
        <v>0.129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12.418296420305392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12.418296420305392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191.00000000000003</v>
      </c>
      <c r="BZ62" s="13">
        <f>BY62*VLOOKUP('Données projet'!$B$12,Paramètres!$A$1:$I$89,3,0)*VLOOKUP('Données projet'!$B$12,Paramètres!$A$1:$I$89,5,0)</f>
        <v>125.14320000000002</v>
      </c>
      <c r="CA62" s="13">
        <f t="shared" si="39"/>
        <v>32.871620642334328</v>
      </c>
      <c r="CB62" s="20">
        <f t="shared" si="10"/>
        <v>275.20914595206563</v>
      </c>
      <c r="CC62" s="59">
        <f t="shared" si="11"/>
        <v>568.54247928539894</v>
      </c>
      <c r="CD62" s="59">
        <f ca="1">AVERAGE(OFFSET($CC$3,0,0,'Données projet'!$E$12+1,1))-AVERAGE(OFFSET($H$3,0,0,'Données projet'!$E$12+1,1))</f>
        <v>140.9558843244115</v>
      </c>
      <c r="CE62" s="59">
        <f t="shared" si="40"/>
        <v>158.88947216184619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4.9260259796646206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4.9260259796646206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9.2524999999999977</v>
      </c>
      <c r="CT62" s="12">
        <f>IF('Données projet'!$A$140&gt;35,CT61+CS62-DB61,IF(A62&lt;'Données projet'!$A$140,$CQ$205^A62,IF(A62='Données projet'!$A$140,'Données projet'!$B$140,CT61+CS62-DB61)))</f>
        <v>200.19250000000019</v>
      </c>
      <c r="CU62" s="17">
        <f>CT62*VLOOKUP('Données projet'!$B$13,Paramètres!$A$1:$I$89,3,0)*VLOOKUP('Données projet'!$B$13,Paramètres!$A$1:$I$89,5,0)</f>
        <v>193.62618600000019</v>
      </c>
      <c r="CV62" s="13">
        <f t="shared" si="41"/>
        <v>48.340766859082926</v>
      </c>
      <c r="CW62" s="20">
        <f t="shared" si="13"/>
        <v>421.42577622956969</v>
      </c>
      <c r="CX62" s="59">
        <f t="shared" si="14"/>
        <v>714.75910956290295</v>
      </c>
      <c r="CY62" s="59">
        <f ca="1">AVERAGE(OFFSET($CX$3,0,0,'Données projet'!$E$13+1,1))-AVERAGE(OFFSET($H$3,0,0,'Données projet'!$E$13+1,1))</f>
        <v>467.11196088914556</v>
      </c>
      <c r="CZ62" s="59">
        <f t="shared" si="42"/>
        <v>208.53783609106262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14.438106863380971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14.438106863380971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9.2524999999999977</v>
      </c>
      <c r="DO62" s="12">
        <f>IF('Données projet'!$A$166&gt;35,DO61+DN62-DW61,IF(A62&lt;'Données projet'!$A$166,$DL$205^A62,IF(A62='Données projet'!$A$166,'Données projet'!$B$166,DO61+DN62-DW61)))</f>
        <v>200.19250000000019</v>
      </c>
      <c r="DP62" s="17">
        <f>DO62*VLOOKUP('Données projet'!$B$14,Paramètres!$A$1:$I$89,3,0)*VLOOKUP('Données projet'!$B$14,Paramètres!$A$1:$I$89,5,0)</f>
        <v>215.48720700000018</v>
      </c>
      <c r="DQ62" s="13">
        <f t="shared" si="43"/>
        <v>53.13287246528256</v>
      </c>
      <c r="DR62" s="20">
        <f t="shared" si="16"/>
        <v>467.8466384020341</v>
      </c>
      <c r="DS62" s="59">
        <f t="shared" si="17"/>
        <v>761.17997173536742</v>
      </c>
      <c r="DT62" s="59">
        <f ca="1">AVERAGE(OFFSET($DS$3,0,0,'Données projet'!$E$14+1,1))-AVERAGE(OFFSET($H$3,0,0,'Données projet'!$E$14+1,1))</f>
        <v>531.65020827367698</v>
      </c>
      <c r="DU62" s="59">
        <f t="shared" si="44"/>
        <v>235.89413420278396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16.068215702794951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16.068215702794951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63" s="11">
        <f t="shared" si="32"/>
        <v>10.564147302110397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348.88254057769444</v>
      </c>
      <c r="H63" s="67">
        <f t="shared" si="1"/>
        <v>372.04995655117563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199.30786200000017</v>
      </c>
      <c r="P63" s="13">
        <f t="shared" si="33"/>
        <v>49.59202606538728</v>
      </c>
      <c r="Q63" s="20">
        <f t="shared" si="53"/>
        <v>433.50063838054979</v>
      </c>
      <c r="R63" s="59">
        <f t="shared" si="0"/>
        <v>726.8339717138831</v>
      </c>
      <c r="S63" s="59">
        <f ca="1">AVERAGE(OFFSET($R$3,0,0,'Données projet'!$E$9+1,1))-AVERAGE(OFFSET($H$3,0,0,'Données projet'!$E$9+1,1))</f>
        <v>457.88065872594228</v>
      </c>
      <c r="T63" s="59">
        <f t="shared" si="34"/>
        <v>204.62439362068329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13.926678194259802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13.926678194259802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705.99777172975462</v>
      </c>
      <c r="AN63" s="59">
        <f ca="1">AVERAGE(OFFSET($AM$3,0,0,'Données projet'!$E$10+1,1))-AVERAGE(OFFSET($H$3,0,0,'Données projet'!$E$10+1,1))</f>
        <v>430.16825592717629</v>
      </c>
      <c r="AO63" s="59">
        <f t="shared" si="36"/>
        <v>192.87542067077248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8.5500000000000007</v>
      </c>
      <c r="BD63" s="12">
        <f>IF('Données projet'!$A$88&gt;35,BD62+BC63-BL62,IF(A63&lt;'Données projet'!$A$88,$BA$205^A63,IF(A63='Données projet'!$A$88,'Données projet'!$B$88,BD62+BC63-BL62)))</f>
        <v>153.01000000000008</v>
      </c>
      <c r="BE63" s="13">
        <f>BD63*VLOOKUP('Données projet'!$B$11,Paramètres!$A$1:$I$89,3,0)*VLOOKUP('Données projet'!$B$11,Paramètres!$A$1:$I$89,5,0)</f>
        <v>128.89562400000008</v>
      </c>
      <c r="BF63" s="13">
        <f t="shared" si="37"/>
        <v>33.741043892711964</v>
      </c>
      <c r="BG63" s="20">
        <f t="shared" si="7"/>
        <v>283.25886324647348</v>
      </c>
      <c r="BH63" s="59">
        <f t="shared" si="8"/>
        <v>576.5921965798068</v>
      </c>
      <c r="BI63" s="59">
        <f ca="1">AVERAGE(OFFSET($BH$3,0,0,'Données projet'!$E$11+1,1))-AVERAGE(OFFSET($H$3,0,0,'Données projet'!$E$11+1,1))</f>
        <v>243.94505553629301</v>
      </c>
      <c r="BJ63" s="59">
        <f t="shared" si="38"/>
        <v>173.05364940250229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12.174781201916108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12.174781201916108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196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196.00000000000003</v>
      </c>
      <c r="BZ63" s="13">
        <f>BY63*VLOOKUP('Données projet'!$B$12,Paramètres!$A$1:$I$89,3,0)*VLOOKUP('Données projet'!$B$12,Paramètres!$A$1:$I$89,5,0)</f>
        <v>128.41920000000002</v>
      </c>
      <c r="CA63" s="13">
        <f t="shared" si="39"/>
        <v>33.630823177860762</v>
      </c>
      <c r="CB63" s="20">
        <f t="shared" si="10"/>
        <v>282.23712370144091</v>
      </c>
      <c r="CC63" s="59">
        <f t="shared" si="11"/>
        <v>575.57045703477422</v>
      </c>
      <c r="CD63" s="59">
        <f ca="1">AVERAGE(OFFSET($CC$3,0,0,'Données projet'!$E$12+1,1))-AVERAGE(OFFSET($H$3,0,0,'Données projet'!$E$12+1,1))</f>
        <v>140.9558843244115</v>
      </c>
      <c r="CE63" s="59">
        <f t="shared" si="40"/>
        <v>158.88947216184619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19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6.6046991910167101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6.6046991910167101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9.2524999999999977</v>
      </c>
      <c r="CT63" s="12">
        <f>IF('Données projet'!$A$140&gt;35,CT62+CS63-DB62,IF(A63&lt;'Données projet'!$A$140,$CQ$205^A63,IF(A63='Données projet'!$A$140,'Données projet'!$B$140,CT62+CS63-DB62)))</f>
        <v>209.44500000000019</v>
      </c>
      <c r="CU63" s="17">
        <f>CT63*VLOOKUP('Données projet'!$B$13,Paramètres!$A$1:$I$89,3,0)*VLOOKUP('Données projet'!$B$13,Paramètres!$A$1:$I$89,5,0)</f>
        <v>202.57520400000018</v>
      </c>
      <c r="CV63" s="13">
        <f t="shared" si="41"/>
        <v>50.309697523865829</v>
      </c>
      <c r="CW63" s="20">
        <f t="shared" si="13"/>
        <v>440.44120348739995</v>
      </c>
      <c r="CX63" s="59">
        <f t="shared" si="14"/>
        <v>733.77453682073326</v>
      </c>
      <c r="CY63" s="59">
        <f ca="1">AVERAGE(OFFSET($CX$3,0,0,'Données projet'!$E$13+1,1))-AVERAGE(OFFSET($H$3,0,0,'Données projet'!$E$13+1,1))</f>
        <v>467.11196088914556</v>
      </c>
      <c r="CZ63" s="59">
        <f t="shared" si="42"/>
        <v>208.53783609106262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14.1549843941657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14.1549843941657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9.2524999999999977</v>
      </c>
      <c r="DO63" s="12">
        <f>IF('Données projet'!$A$166&gt;35,DO62+DN63-DW62,IF(A63&lt;'Données projet'!$A$166,$DL$205^A63,IF(A63='Données projet'!$A$166,'Données projet'!$B$166,DO62+DN63-DW62)))</f>
        <v>209.44500000000019</v>
      </c>
      <c r="DP63" s="17">
        <f>DO63*VLOOKUP('Données projet'!$B$14,Paramètres!$A$1:$I$89,3,0)*VLOOKUP('Données projet'!$B$14,Paramètres!$A$1:$I$89,5,0)</f>
        <v>225.44659800000019</v>
      </c>
      <c r="DQ63" s="13">
        <f t="shared" si="43"/>
        <v>55.296986704716424</v>
      </c>
      <c r="DR63" s="20">
        <f t="shared" si="16"/>
        <v>488.96174336071476</v>
      </c>
      <c r="DS63" s="59">
        <f t="shared" si="17"/>
        <v>782.29507669404802</v>
      </c>
      <c r="DT63" s="59">
        <f ca="1">AVERAGE(OFFSET($DS$3,0,0,'Données projet'!$E$14+1,1))-AVERAGE(OFFSET($H$3,0,0,'Données projet'!$E$14+1,1))</f>
        <v>531.65020827367698</v>
      </c>
      <c r="DU63" s="59">
        <f t="shared" si="44"/>
        <v>235.89413420278396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15.753127793506987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15.753127793506987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35.209200000000017</v>
      </c>
      <c r="D64" s="11">
        <f t="shared" si="32"/>
        <v>10.719571998403087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354.53788911048014</v>
      </c>
      <c r="H64" s="67">
        <f t="shared" si="1"/>
        <v>373.3259445638854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208.11254100000016</v>
      </c>
      <c r="P64" s="13">
        <f t="shared" si="33"/>
        <v>51.522911939277137</v>
      </c>
      <c r="Q64" s="20">
        <f t="shared" si="53"/>
        <v>452.19841386924122</v>
      </c>
      <c r="R64" s="59">
        <f t="shared" si="0"/>
        <v>745.53174720257448</v>
      </c>
      <c r="S64" s="59">
        <f ca="1">AVERAGE(OFFSET($R$3,0,0,'Données projet'!$E$9+1,1))-AVERAGE(OFFSET($H$3,0,0,'Données projet'!$E$9+1,1))</f>
        <v>457.88065872594228</v>
      </c>
      <c r="T64" s="59">
        <f t="shared" si="34"/>
        <v>204.62439362068329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13.653584529305309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13.653584529305309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723.79480989823026</v>
      </c>
      <c r="AN64" s="59">
        <f ca="1">AVERAGE(OFFSET($AM$3,0,0,'Données projet'!$E$10+1,1))-AVERAGE(OFFSET($H$3,0,0,'Données projet'!$E$10+1,1))</f>
        <v>430.16825592717629</v>
      </c>
      <c r="AO64" s="59">
        <f t="shared" si="36"/>
        <v>192.87542067077248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8.5500000000000007</v>
      </c>
      <c r="BD64" s="12">
        <f>IF('Données projet'!$A$88&gt;35,BD63+BC64-BL63,IF(A64&lt;'Données projet'!$A$88,$BA$205^A64,IF(A64='Données projet'!$A$88,'Données projet'!$B$88,BD63+BC64-BL63)))</f>
        <v>161.56000000000009</v>
      </c>
      <c r="BE64" s="13">
        <f>BD64*VLOOKUP('Données projet'!$B$11,Paramètres!$A$1:$I$89,3,0)*VLOOKUP('Données projet'!$B$11,Paramètres!$A$1:$I$89,5,0)</f>
        <v>136.09814400000008</v>
      </c>
      <c r="BF64" s="13">
        <f t="shared" si="37"/>
        <v>35.401679921027657</v>
      </c>
      <c r="BG64" s="20">
        <f t="shared" si="7"/>
        <v>298.69552666245664</v>
      </c>
      <c r="BH64" s="59">
        <f t="shared" si="8"/>
        <v>592.02885999578996</v>
      </c>
      <c r="BI64" s="59">
        <f ca="1">AVERAGE(OFFSET($BH$3,0,0,'Données projet'!$E$11+1,1))-AVERAGE(OFFSET($H$3,0,0,'Données projet'!$E$11+1,1))</f>
        <v>243.94505553629301</v>
      </c>
      <c r="BJ64" s="59">
        <f t="shared" si="38"/>
        <v>173.05364940250229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11.936041168429821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11.936041168429821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4.8</v>
      </c>
      <c r="BY64" s="12">
        <f>IF('Données projet'!$A$114&gt;35,BY63+BX64-CG63,IF(A64&lt;'Données projet'!$A$114,$BV$205^A64,IF(A64='Données projet'!$A$114,'Données projet'!$B$114,BY63+BX64-CG63)))</f>
        <v>181.80000000000004</v>
      </c>
      <c r="BZ64" s="13">
        <f>BY64*VLOOKUP('Données projet'!$B$12,Paramètres!$A$1:$I$89,3,0)*VLOOKUP('Données projet'!$B$12,Paramètres!$A$1:$I$89,5,0)</f>
        <v>119.11536000000002</v>
      </c>
      <c r="CA64" s="13">
        <f t="shared" si="39"/>
        <v>31.468582772748093</v>
      </c>
      <c r="CB64" s="20">
        <f t="shared" si="10"/>
        <v>262.26703366253628</v>
      </c>
      <c r="CC64" s="59">
        <f t="shared" si="11"/>
        <v>555.60036699586954</v>
      </c>
      <c r="CD64" s="59">
        <f ca="1">AVERAGE(OFFSET($CC$3,0,0,'Données projet'!$E$12+1,1))-AVERAGE(OFFSET($H$3,0,0,'Données projet'!$E$12+1,1))</f>
        <v>140.9558843244115</v>
      </c>
      <c r="CE64" s="59">
        <f t="shared" si="40"/>
        <v>158.88947216184619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6.4751850683496004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6.4751850683496004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9.2524999999999977</v>
      </c>
      <c r="CT64" s="12">
        <f>IF('Données projet'!$A$140&gt;35,CT63+CS64-DB63,IF(A64&lt;'Données projet'!$A$140,$CQ$205^A64,IF(A64='Données projet'!$A$140,'Données projet'!$B$140,CT63+CS64-DB63)))</f>
        <v>218.69750000000019</v>
      </c>
      <c r="CU64" s="17">
        <f>CT64*VLOOKUP('Données projet'!$B$13,Paramètres!$A$1:$I$89,3,0)*VLOOKUP('Données projet'!$B$13,Paramètres!$A$1:$I$89,5,0)</f>
        <v>211.52422200000021</v>
      </c>
      <c r="CV64" s="13">
        <f t="shared" si="41"/>
        <v>52.268526230328021</v>
      </c>
      <c r="CW64" s="20">
        <f t="shared" si="13"/>
        <v>459.43903650115499</v>
      </c>
      <c r="CX64" s="59">
        <f t="shared" si="14"/>
        <v>752.77236983448825</v>
      </c>
      <c r="CY64" s="59">
        <f ca="1">AVERAGE(OFFSET($CX$3,0,0,'Données projet'!$E$13+1,1))-AVERAGE(OFFSET($H$3,0,0,'Données projet'!$E$13+1,1))</f>
        <v>467.11196088914556</v>
      </c>
      <c r="CZ64" s="59">
        <f t="shared" si="42"/>
        <v>208.53783609106262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13.877413783884085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13.877413783884085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9.2524999999999977</v>
      </c>
      <c r="DO64" s="12">
        <f>IF('Données projet'!$A$166&gt;35,DO63+DN64-DW63,IF(A64&lt;'Données projet'!$A$166,$DL$205^A64,IF(A64='Données projet'!$A$166,'Données projet'!$B$166,DO63+DN64-DW63)))</f>
        <v>218.69750000000019</v>
      </c>
      <c r="DP64" s="17">
        <f>DO64*VLOOKUP('Données projet'!$B$14,Paramètres!$A$1:$I$89,3,0)*VLOOKUP('Données projet'!$B$14,Paramètres!$A$1:$I$89,5,0)</f>
        <v>235.40598900000018</v>
      </c>
      <c r="DQ64" s="13">
        <f t="shared" si="43"/>
        <v>57.449997560857497</v>
      </c>
      <c r="DR64" s="20">
        <f t="shared" si="16"/>
        <v>510.05750992682715</v>
      </c>
      <c r="DS64" s="59">
        <f t="shared" si="17"/>
        <v>803.39084326016041</v>
      </c>
      <c r="DT64" s="59">
        <f ca="1">AVERAGE(OFFSET($DS$3,0,0,'Données projet'!$E$14+1,1))-AVERAGE(OFFSET($H$3,0,0,'Données projet'!$E$14+1,1))</f>
        <v>531.65020827367698</v>
      </c>
      <c r="DU64" s="59">
        <f t="shared" si="44"/>
        <v>235.89413420278396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15.444218565935513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15.444218565935513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35.786400000000015</v>
      </c>
      <c r="D65" s="11">
        <f t="shared" si="32"/>
        <v>10.874700382555325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360.19095032147987</v>
      </c>
      <c r="H65" s="67">
        <f t="shared" si="1"/>
        <v>374.60141649961719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216.91722000000019</v>
      </c>
      <c r="P65" s="13">
        <f t="shared" si="33"/>
        <v>53.444309417537319</v>
      </c>
      <c r="Q65" s="20">
        <f t="shared" si="53"/>
        <v>470.87966373554445</v>
      </c>
      <c r="R65" s="59">
        <f t="shared" si="0"/>
        <v>764.21299706887771</v>
      </c>
      <c r="S65" s="59">
        <f ca="1">AVERAGE(OFFSET($R$3,0,0,'Données projet'!$E$9+1,1))-AVERAGE(OFFSET($H$3,0,0,'Données projet'!$E$9+1,1))</f>
        <v>457.88065872594228</v>
      </c>
      <c r="T65" s="59">
        <f t="shared" si="34"/>
        <v>204.62439362068329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13.385846064549886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13.385846064549886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741.57604267156762</v>
      </c>
      <c r="AN65" s="59">
        <f ca="1">AVERAGE(OFFSET($AM$3,0,0,'Données projet'!$E$10+1,1))-AVERAGE(OFFSET($H$3,0,0,'Données projet'!$E$10+1,1))</f>
        <v>430.16825592717629</v>
      </c>
      <c r="AO65" s="59">
        <f t="shared" si="36"/>
        <v>192.87542067077248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8.5500000000000007</v>
      </c>
      <c r="BD65" s="12">
        <f>IF('Données projet'!$A$88&gt;35,BD64+BC65-BL64,IF(A65&lt;'Données projet'!$A$88,$BA$205^A65,IF(A65='Données projet'!$A$88,'Données projet'!$B$88,BD64+BC65-BL64)))</f>
        <v>170.1100000000001</v>
      </c>
      <c r="BE65" s="13">
        <f>BD65*VLOOKUP('Données projet'!$B$11,Paramètres!$A$1:$I$89,3,0)*VLOOKUP('Données projet'!$B$11,Paramètres!$A$1:$I$89,5,0)</f>
        <v>143.3006640000001</v>
      </c>
      <c r="BF65" s="13">
        <f t="shared" si="37"/>
        <v>37.052112739725779</v>
      </c>
      <c r="BG65" s="20">
        <f t="shared" si="7"/>
        <v>314.11441948835591</v>
      </c>
      <c r="BH65" s="59">
        <f t="shared" si="8"/>
        <v>607.44775282168916</v>
      </c>
      <c r="BI65" s="59">
        <f ca="1">AVERAGE(OFFSET($BH$3,0,0,'Données projet'!$E$11+1,1))-AVERAGE(OFFSET($H$3,0,0,'Données projet'!$E$11+1,1))</f>
        <v>243.94505553629301</v>
      </c>
      <c r="BJ65" s="59">
        <f t="shared" si="38"/>
        <v>173.05364940250229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11.701982681383159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11.701982681383159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4.8</v>
      </c>
      <c r="BY65" s="12">
        <f>IF('Données projet'!$A$114&gt;35,BY64+BX65-CG64,IF(A65&lt;'Données projet'!$A$114,$BV$205^A65,IF(A65='Données projet'!$A$114,'Données projet'!$B$114,BY64+BX65-CG64)))</f>
        <v>186.60000000000005</v>
      </c>
      <c r="BZ65" s="13">
        <f>BY65*VLOOKUP('Données projet'!$B$12,Paramètres!$A$1:$I$89,3,0)*VLOOKUP('Données projet'!$B$12,Paramètres!$A$1:$I$89,5,0)</f>
        <v>122.26032000000002</v>
      </c>
      <c r="CA65" s="13">
        <f t="shared" si="39"/>
        <v>32.2016078999482</v>
      </c>
      <c r="CB65" s="20">
        <f t="shared" si="10"/>
        <v>269.02119109240982</v>
      </c>
      <c r="CC65" s="59">
        <f t="shared" si="11"/>
        <v>562.35452442574319</v>
      </c>
      <c r="CD65" s="59">
        <f ca="1">AVERAGE(OFFSET($CC$3,0,0,'Données projet'!$E$12+1,1))-AVERAGE(OFFSET($H$3,0,0,'Données projet'!$E$12+1,1))</f>
        <v>140.9558843244115</v>
      </c>
      <c r="CE65" s="59">
        <f t="shared" si="40"/>
        <v>158.88947216184619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6.3482106386321782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6.3482106386321782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9.2524999999999977</v>
      </c>
      <c r="CT65" s="12">
        <f>IF('Données projet'!$A$140&gt;35,CT64+CS65-DB64,IF(A65&lt;'Données projet'!$A$140,$CQ$205^A65,IF(A65='Données projet'!$A$140,'Données projet'!$B$140,CT64+CS65-DB64)))</f>
        <v>227.95000000000019</v>
      </c>
      <c r="CU65" s="17">
        <f>CT65*VLOOKUP('Données projet'!$B$13,Paramètres!$A$1:$I$89,3,0)*VLOOKUP('Données projet'!$B$13,Paramètres!$A$1:$I$89,5,0)</f>
        <v>220.4732400000002</v>
      </c>
      <c r="CV65" s="13">
        <f t="shared" si="41"/>
        <v>54.2177292297565</v>
      </c>
      <c r="CW65" s="20">
        <f t="shared" si="13"/>
        <v>478.42010474182621</v>
      </c>
      <c r="CX65" s="59">
        <f t="shared" si="14"/>
        <v>771.75343807515947</v>
      </c>
      <c r="CY65" s="59">
        <f ca="1">AVERAGE(OFFSET($CX$3,0,0,'Données projet'!$E$13+1,1))-AVERAGE(OFFSET($H$3,0,0,'Données projet'!$E$13+1,1))</f>
        <v>467.11196088914556</v>
      </c>
      <c r="CZ65" s="59">
        <f t="shared" si="42"/>
        <v>208.53783609106262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13.605286163968739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13.605286163968739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9.2524999999999977</v>
      </c>
      <c r="DO65" s="12">
        <f>IF('Données projet'!$A$166&gt;35,DO64+DN65-DW64,IF(A65&lt;'Données projet'!$A$166,$DL$205^A65,IF(A65='Données projet'!$A$166,'Données projet'!$B$166,DO64+DN65-DW64)))</f>
        <v>227.95000000000019</v>
      </c>
      <c r="DP65" s="17">
        <f>DO65*VLOOKUP('Données projet'!$B$14,Paramètres!$A$1:$I$89,3,0)*VLOOKUP('Données projet'!$B$14,Paramètres!$A$1:$I$89,5,0)</f>
        <v>245.36538000000021</v>
      </c>
      <c r="DQ65" s="13">
        <f t="shared" si="43"/>
        <v>59.592428496624137</v>
      </c>
      <c r="DR65" s="20">
        <f t="shared" si="16"/>
        <v>531.13484979828741</v>
      </c>
      <c r="DS65" s="59">
        <f t="shared" si="17"/>
        <v>824.46818313162066</v>
      </c>
      <c r="DT65" s="59">
        <f ca="1">AVERAGE(OFFSET($DS$3,0,0,'Données projet'!$E$14+1,1))-AVERAGE(OFFSET($H$3,0,0,'Données projet'!$E$14+1,1))</f>
        <v>531.65020827367698</v>
      </c>
      <c r="DU65" s="59">
        <f t="shared" si="44"/>
        <v>235.89413420278396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15.141366859900691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15.141366859900691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36.363600000000012</v>
      </c>
      <c r="D66" s="11">
        <f t="shared" si="32"/>
        <v>11.02953778555761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365.84176536219917</v>
      </c>
      <c r="H66" s="67">
        <f t="shared" si="1"/>
        <v>375.87638164317951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225.72189900000018</v>
      </c>
      <c r="P66" s="13">
        <f t="shared" si="33"/>
        <v>55.356647690295091</v>
      </c>
      <c r="Q66" s="20">
        <f t="shared" si="53"/>
        <v>489.54513548559765</v>
      </c>
      <c r="R66" s="59">
        <f t="shared" si="0"/>
        <v>782.87846881893097</v>
      </c>
      <c r="S66" s="59">
        <f ca="1">AVERAGE(OFFSET($R$3,0,0,'Données projet'!$E$9+1,1))-AVERAGE(OFFSET($H$3,0,0,'Données projet'!$E$9+1,1))</f>
        <v>457.88065872594228</v>
      </c>
      <c r="T66" s="59">
        <f t="shared" si="34"/>
        <v>204.62439362068329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13.123357787783979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13.123357787783979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759.34218497774941</v>
      </c>
      <c r="AN66" s="59">
        <f ca="1">AVERAGE(OFFSET($AM$3,0,0,'Données projet'!$E$10+1,1))-AVERAGE(OFFSET($H$3,0,0,'Données projet'!$E$10+1,1))</f>
        <v>430.16825592717629</v>
      </c>
      <c r="AO66" s="59">
        <f t="shared" si="36"/>
        <v>192.87542067077248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8.5500000000000007</v>
      </c>
      <c r="BD66" s="12">
        <f>IF('Données projet'!$A$88&gt;35,BD65+BC66-BL65,IF(A66&lt;'Données projet'!$A$88,$BA$205^A66,IF(A66='Données projet'!$A$88,'Données projet'!$B$88,BD65+BC66-BL65)))</f>
        <v>178.66000000000011</v>
      </c>
      <c r="BE66" s="13">
        <f>BD66*VLOOKUP('Données projet'!$B$11,Paramètres!$A$1:$I$89,3,0)*VLOOKUP('Données projet'!$B$11,Paramètres!$A$1:$I$89,5,0)</f>
        <v>150.50318400000012</v>
      </c>
      <c r="BF66" s="13">
        <f t="shared" si="37"/>
        <v>38.692913693042001</v>
      </c>
      <c r="BG66" s="20">
        <f t="shared" si="7"/>
        <v>329.5165368153817</v>
      </c>
      <c r="BH66" s="59">
        <f t="shared" si="8"/>
        <v>622.84987014871501</v>
      </c>
      <c r="BI66" s="59">
        <f ca="1">AVERAGE(OFFSET($BH$3,0,0,'Données projet'!$E$11+1,1))-AVERAGE(OFFSET($H$3,0,0,'Données projet'!$E$11+1,1))</f>
        <v>243.94505553629301</v>
      </c>
      <c r="BJ66" s="59">
        <f t="shared" si="38"/>
        <v>173.05364940250229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11.472513938505902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11.472513938505902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4.8</v>
      </c>
      <c r="BY66" s="12">
        <f>IF('Données projet'!$A$114&gt;35,BY65+BX66-CG65,IF(A66&lt;'Données projet'!$A$114,$BV$205^A66,IF(A66='Données projet'!$A$114,'Données projet'!$B$114,BY65+BX66-CG65)))</f>
        <v>191.40000000000006</v>
      </c>
      <c r="BZ66" s="13">
        <f>BY66*VLOOKUP('Données projet'!$B$12,Paramètres!$A$1:$I$89,3,0)*VLOOKUP('Données projet'!$B$12,Paramètres!$A$1:$I$89,5,0)</f>
        <v>125.40528000000003</v>
      </c>
      <c r="CA66" s="13">
        <f t="shared" si="39"/>
        <v>32.932441221531526</v>
      </c>
      <c r="CB66" s="20">
        <f t="shared" si="10"/>
        <v>275.77153112750079</v>
      </c>
      <c r="CC66" s="59">
        <f t="shared" si="11"/>
        <v>569.10486446083405</v>
      </c>
      <c r="CD66" s="59">
        <f ca="1">AVERAGE(OFFSET($CC$3,0,0,'Données projet'!$E$12+1,1))-AVERAGE(OFFSET($H$3,0,0,'Données projet'!$E$12+1,1))</f>
        <v>140.9558843244115</v>
      </c>
      <c r="CE66" s="59">
        <f t="shared" si="40"/>
        <v>158.88947216184619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6.2237261000347601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6.2237261000347601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9.2524999999999977</v>
      </c>
      <c r="CT66" s="12">
        <f>IF('Données projet'!$A$140&gt;35,CT65+CS66-DB65,IF(A66&lt;'Données projet'!$A$140,$CQ$205^A66,IF(A66='Données projet'!$A$140,'Données projet'!$B$140,CT65+CS66-DB65)))</f>
        <v>237.20250000000019</v>
      </c>
      <c r="CU66" s="17">
        <f>CT66*VLOOKUP('Données projet'!$B$13,Paramètres!$A$1:$I$89,3,0)*VLOOKUP('Données projet'!$B$13,Paramètres!$A$1:$I$89,5,0)</f>
        <v>229.4222580000002</v>
      </c>
      <c r="CV66" s="13">
        <f t="shared" si="41"/>
        <v>56.157741923307334</v>
      </c>
      <c r="CW66" s="20">
        <f t="shared" si="13"/>
        <v>497.38516653309392</v>
      </c>
      <c r="CX66" s="59">
        <f t="shared" si="14"/>
        <v>790.71849986642724</v>
      </c>
      <c r="CY66" s="59">
        <f ca="1">AVERAGE(OFFSET($CX$3,0,0,'Données projet'!$E$13+1,1))-AVERAGE(OFFSET($H$3,0,0,'Données projet'!$E$13+1,1))</f>
        <v>467.11196088914556</v>
      </c>
      <c r="CZ66" s="59">
        <f t="shared" si="42"/>
        <v>208.53783609106262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13.338494800698472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13.338494800698472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9.2524999999999977</v>
      </c>
      <c r="DO66" s="12">
        <f>IF('Données projet'!$A$166&gt;35,DO65+DN66-DW65,IF(A66&lt;'Données projet'!$A$166,$DL$205^A66,IF(A66='Données projet'!$A$166,'Données projet'!$B$166,DO65+DN66-DW65)))</f>
        <v>237.20250000000019</v>
      </c>
      <c r="DP66" s="17">
        <f>DO66*VLOOKUP('Données projet'!$B$14,Paramètres!$A$1:$I$89,3,0)*VLOOKUP('Données projet'!$B$14,Paramètres!$A$1:$I$89,5,0)</f>
        <v>255.3247710000002</v>
      </c>
      <c r="DQ66" s="13">
        <f t="shared" si="43"/>
        <v>61.724758075257945</v>
      </c>
      <c r="DR66" s="20">
        <f t="shared" si="16"/>
        <v>552.19459647274118</v>
      </c>
      <c r="DS66" s="59">
        <f t="shared" si="17"/>
        <v>845.52792980607455</v>
      </c>
      <c r="DT66" s="59">
        <f ca="1">AVERAGE(OFFSET($DS$3,0,0,'Données projet'!$E$14+1,1))-AVERAGE(OFFSET($H$3,0,0,'Données projet'!$E$14+1,1))</f>
        <v>531.65020827367698</v>
      </c>
      <c r="DU66" s="59">
        <f t="shared" si="44"/>
        <v>235.89413420278396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14.84445389109991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14.84445389109991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36.94080000000001</v>
      </c>
      <c r="D67" s="11">
        <f t="shared" si="32"/>
        <v>11.184089359455896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371.49037400281753</v>
      </c>
      <c r="H67" s="67">
        <f t="shared" si="1"/>
        <v>377.15084896771901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234.52657800000017</v>
      </c>
      <c r="P67" s="13">
        <f t="shared" si="33"/>
        <v>57.260320569228661</v>
      </c>
      <c r="Q67" s="20">
        <f t="shared" ref="Q67:Q98" si="54">(O67+P67)*0.475*44/12</f>
        <v>508.19551500807347</v>
      </c>
      <c r="R67" s="59">
        <f t="shared" ref="R67:R130" si="55">Q67+(I67+J67)*44/12</f>
        <v>801.52884834140673</v>
      </c>
      <c r="S67" s="59">
        <f ca="1">AVERAGE(OFFSET($R$3,0,0,'Données projet'!$E$9+1,1))-AVERAGE(OFFSET($H$3,0,0,'Données projet'!$E$9+1,1))</f>
        <v>457.88065872594228</v>
      </c>
      <c r="T67" s="59">
        <f t="shared" si="34"/>
        <v>204.62439362068329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12.86601674602341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12.86601674602341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777.09389281273434</v>
      </c>
      <c r="AN67" s="59">
        <f ca="1">AVERAGE(OFFSET($AM$3,0,0,'Données projet'!$E$10+1,1))-AVERAGE(OFFSET($H$3,0,0,'Données projet'!$E$10+1,1))</f>
        <v>430.16825592717629</v>
      </c>
      <c r="AO67" s="59">
        <f t="shared" si="36"/>
        <v>192.87542067077248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8.5500000000000007</v>
      </c>
      <c r="BD67" s="12">
        <f>IF('Données projet'!$A$88&gt;35,BD66+BC67-BL66,IF(A67&lt;'Données projet'!$A$88,$BA$205^A67,IF(A67='Données projet'!$A$88,'Données projet'!$B$88,BD66+BC67-BL66)))</f>
        <v>187.21000000000012</v>
      </c>
      <c r="BE67" s="13">
        <f>BD67*VLOOKUP('Données projet'!$B$11,Paramètres!$A$1:$I$89,3,0)*VLOOKUP('Données projet'!$B$11,Paramètres!$A$1:$I$89,5,0)</f>
        <v>157.70570400000011</v>
      </c>
      <c r="BF67" s="13">
        <f t="shared" si="37"/>
        <v>40.324596350517368</v>
      </c>
      <c r="BG67" s="20">
        <f t="shared" si="7"/>
        <v>344.90277311048459</v>
      </c>
      <c r="BH67" s="59">
        <f t="shared" si="8"/>
        <v>638.2361064438179</v>
      </c>
      <c r="BI67" s="59">
        <f ca="1">AVERAGE(OFFSET($BH$3,0,0,'Données projet'!$E$11+1,1))-AVERAGE(OFFSET($H$3,0,0,'Données projet'!$E$11+1,1))</f>
        <v>243.94505553629301</v>
      </c>
      <c r="BJ67" s="59">
        <f t="shared" si="38"/>
        <v>173.05364940250229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11.247544937714354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11.247544937714354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4.8</v>
      </c>
      <c r="BY67" s="12">
        <f>IF('Données projet'!$A$114&gt;35,BY66+BX67-CG66,IF(A67&lt;'Données projet'!$A$114,$BV$205^A67,IF(A67='Données projet'!$A$114,'Données projet'!$B$114,BY66+BX67-CG66)))</f>
        <v>196.20000000000007</v>
      </c>
      <c r="BZ67" s="13">
        <f>BY67*VLOOKUP('Données projet'!$B$12,Paramètres!$A$1:$I$89,3,0)*VLOOKUP('Données projet'!$B$12,Paramètres!$A$1:$I$89,5,0)</f>
        <v>128.55024000000003</v>
      </c>
      <c r="CA67" s="13">
        <f t="shared" si="39"/>
        <v>33.661144026076663</v>
      </c>
      <c r="CB67" s="20">
        <f t="shared" si="10"/>
        <v>282.51816051208363</v>
      </c>
      <c r="CC67" s="59">
        <f t="shared" si="11"/>
        <v>575.85149384541694</v>
      </c>
      <c r="CD67" s="59">
        <f ca="1">AVERAGE(OFFSET($CC$3,0,0,'Données projet'!$E$12+1,1))-AVERAGE(OFFSET($H$3,0,0,'Données projet'!$E$12+1,1))</f>
        <v>140.9558843244115</v>
      </c>
      <c r="CE67" s="59">
        <f t="shared" si="40"/>
        <v>158.88947216184619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6.101682627311166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6.101682627311166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9.2524999999999977</v>
      </c>
      <c r="CT67" s="12">
        <f>IF('Données projet'!$A$140&gt;35,CT66+CS67-DB66,IF(A67&lt;'Données projet'!$A$140,$CQ$205^A67,IF(A67='Données projet'!$A$140,'Données projet'!$B$140,CT66+CS67-DB66)))</f>
        <v>246.45500000000018</v>
      </c>
      <c r="CU67" s="17">
        <f>CT67*VLOOKUP('Données projet'!$B$13,Paramètres!$A$1:$I$89,3,0)*VLOOKUP('Données projet'!$B$13,Paramètres!$A$1:$I$89,5,0)</f>
        <v>238.37127600000017</v>
      </c>
      <c r="CV67" s="13">
        <f t="shared" si="41"/>
        <v>58.088963821708049</v>
      </c>
      <c r="CW67" s="20">
        <f t="shared" si="13"/>
        <v>516.33491768947522</v>
      </c>
      <c r="CX67" s="59">
        <f t="shared" si="14"/>
        <v>809.66825102280859</v>
      </c>
      <c r="CY67" s="59">
        <f ca="1">AVERAGE(OFFSET($CX$3,0,0,'Données projet'!$E$13+1,1))-AVERAGE(OFFSET($H$3,0,0,'Données projet'!$E$13+1,1))</f>
        <v>467.11196088914556</v>
      </c>
      <c r="CZ67" s="59">
        <f t="shared" si="42"/>
        <v>208.53783609106262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13.076935053335271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13.076935053335271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9.2524999999999977</v>
      </c>
      <c r="DO67" s="12">
        <f>IF('Données projet'!$A$166&gt;35,DO66+DN67-DW66,IF(A67&lt;'Données projet'!$A$166,$DL$205^A67,IF(A67='Données projet'!$A$166,'Données projet'!$B$166,DO66+DN67-DW66)))</f>
        <v>246.45500000000018</v>
      </c>
      <c r="DP67" s="17">
        <f>DO67*VLOOKUP('Données projet'!$B$14,Paramètres!$A$1:$I$89,3,0)*VLOOKUP('Données projet'!$B$14,Paramètres!$A$1:$I$89,5,0)</f>
        <v>265.28416200000015</v>
      </c>
      <c r="DQ67" s="13">
        <f t="shared" si="43"/>
        <v>63.847425411690686</v>
      </c>
      <c r="DR67" s="20">
        <f t="shared" si="16"/>
        <v>573.23751474202811</v>
      </c>
      <c r="DS67" s="59">
        <f t="shared" si="17"/>
        <v>866.57084807536148</v>
      </c>
      <c r="DT67" s="59">
        <f ca="1">AVERAGE(OFFSET($DS$3,0,0,'Données projet'!$E$14+1,1))-AVERAGE(OFFSET($H$3,0,0,'Données projet'!$E$14+1,1))</f>
        <v>531.65020827367698</v>
      </c>
      <c r="DU67" s="59">
        <f t="shared" si="44"/>
        <v>235.89413420278396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14.553363204518284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14.553363204518284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37.518000000000008</v>
      </c>
      <c r="D68" s="11">
        <f t="shared" si="32"/>
        <v>11.338360086058575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377.13681469939962</v>
      </c>
      <c r="H68" s="67">
        <f t="shared" ref="H68:H131" si="56">(B68+E68+F68)*44/12+(C68+D68)*0.475*44/12</f>
        <v>378.42482714988535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243.33125700000016</v>
      </c>
      <c r="P68" s="13">
        <f t="shared" si="33"/>
        <v>59.155690621706064</v>
      </c>
      <c r="Q68" s="20">
        <f t="shared" si="54"/>
        <v>526.83143377447163</v>
      </c>
      <c r="R68" s="59">
        <f t="shared" si="55"/>
        <v>820.16476710780489</v>
      </c>
      <c r="S68" s="59">
        <f ca="1">AVERAGE(OFFSET($R$3,0,0,'Données projet'!$E$9+1,1))-AVERAGE(OFFSET($H$3,0,0,'Données projet'!$E$9+1,1))</f>
        <v>457.88065872594228</v>
      </c>
      <c r="T68" s="59">
        <f t="shared" si="34"/>
        <v>204.62439362068329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12.61372200512923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12.61372200512923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794.83177012694159</v>
      </c>
      <c r="AN68" s="59">
        <f ca="1">AVERAGE(OFFSET($AM$3,0,0,'Données projet'!$E$10+1,1))-AVERAGE(OFFSET($H$3,0,0,'Données projet'!$E$10+1,1))</f>
        <v>430.16825592717629</v>
      </c>
      <c r="AO68" s="59">
        <f t="shared" si="36"/>
        <v>192.87542067077248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8.5500000000000007</v>
      </c>
      <c r="BD68" s="12">
        <f>IF('Données projet'!$A$88&gt;35,BD67+BC68-BL67,IF(A68&lt;'Données projet'!$A$88,$BA$205^A68,IF(A68='Données projet'!$A$88,'Données projet'!$B$88,BD67+BC68-BL67)))</f>
        <v>195.76000000000013</v>
      </c>
      <c r="BE68" s="13">
        <f>BD68*VLOOKUP('Données projet'!$B$11,Paramètres!$A$1:$I$89,3,0)*VLOOKUP('Données projet'!$B$11,Paramètres!$A$1:$I$89,5,0)</f>
        <v>164.90822400000013</v>
      </c>
      <c r="BF68" s="13">
        <f t="shared" si="37"/>
        <v>41.947624720052197</v>
      </c>
      <c r="BG68" s="20">
        <f t="shared" ref="BG68:BG131" si="61">(BE68+BF68)*0.475*44/12</f>
        <v>360.27393652075779</v>
      </c>
      <c r="BH68" s="59">
        <f t="shared" ref="BH68:BH131" si="62">BG68+(AY68+AZ68)*44/12</f>
        <v>653.6072698540911</v>
      </c>
      <c r="BI68" s="59">
        <f ca="1">AVERAGE(OFFSET($BH$3,0,0,'Données projet'!$E$11+1,1))-AVERAGE(OFFSET($H$3,0,0,'Données projet'!$E$11+1,1))</f>
        <v>243.94505553629301</v>
      </c>
      <c r="BJ68" s="59">
        <f t="shared" si="38"/>
        <v>173.05364940250229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11.026987441810787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11.026987441810787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201</v>
      </c>
      <c r="BW68" s="12">
        <f>VLOOKUP(A68,'Données projet'!$A$113:$I$133,9,0)</f>
        <v>4.8</v>
      </c>
      <c r="BX68" s="12">
        <f t="array" ref="BX68">INDEX(BW:BW,MIN(IF(ISNUMBER(BW68:BW264),ROW(BW68:BW264),"")))</f>
        <v>4.8</v>
      </c>
      <c r="BY68" s="12">
        <f>IF('Données projet'!$A$114&gt;35,BY67+BX68-CG67,IF(A68&lt;'Données projet'!$A$114,$BV$205^A68,IF(A68='Données projet'!$A$114,'Données projet'!$B$114,BY67+BX68-CG67)))</f>
        <v>201.00000000000009</v>
      </c>
      <c r="BZ68" s="13">
        <f>BY68*VLOOKUP('Données projet'!$B$12,Paramètres!$A$1:$I$89,3,0)*VLOOKUP('Données projet'!$B$12,Paramètres!$A$1:$I$89,5,0)</f>
        <v>131.69520000000006</v>
      </c>
      <c r="CA68" s="13">
        <f t="shared" si="39"/>
        <v>34.387774432362271</v>
      </c>
      <c r="CB68" s="20">
        <f t="shared" ref="CB68:CB131" si="64">(BZ68+CA68)*0.475*44/12</f>
        <v>289.26118046969771</v>
      </c>
      <c r="CC68" s="59">
        <f t="shared" ref="CC68:CC131" si="65">CB68+(BT68+BU68)*44/12</f>
        <v>582.59451380303108</v>
      </c>
      <c r="CD68" s="59">
        <f ca="1">AVERAGE(OFFSET($CC$3,0,0,'Données projet'!$E$12+1,1))-AVERAGE(OFFSET($H$3,0,0,'Données projet'!$E$12+1,1))</f>
        <v>140.9558843244115</v>
      </c>
      <c r="CE68" s="59">
        <f t="shared" si="40"/>
        <v>158.88947216184619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18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9.3457010234079423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9.3457010234079423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9.2524999999999977</v>
      </c>
      <c r="CT68" s="12">
        <f>IF('Données projet'!$A$140&gt;35,CT67+CS68-DB67,IF(A68&lt;'Données projet'!$A$140,$CQ$205^A68,IF(A68='Données projet'!$A$140,'Données projet'!$B$140,CT67+CS68-DB67)))</f>
        <v>255.70750000000018</v>
      </c>
      <c r="CU68" s="17">
        <f>CT68*VLOOKUP('Données projet'!$B$13,Paramètres!$A$1:$I$89,3,0)*VLOOKUP('Données projet'!$B$13,Paramètres!$A$1:$I$89,5,0)</f>
        <v>247.32029400000016</v>
      </c>
      <c r="CV68" s="13">
        <f t="shared" si="41"/>
        <v>60.011762739223698</v>
      </c>
      <c r="CW68" s="20">
        <f t="shared" ref="CW68:CW131" si="67">(CU68+CV68)*0.475*44/12</f>
        <v>535.26999882081486</v>
      </c>
      <c r="CX68" s="59">
        <f t="shared" ref="CX68:CX131" si="68">CW68+(CO68+CP68)*44/12</f>
        <v>828.60333215414812</v>
      </c>
      <c r="CY68" s="59">
        <f ca="1">AVERAGE(OFFSET($CX$3,0,0,'Données projet'!$E$13+1,1))-AVERAGE(OFFSET($H$3,0,0,'Données projet'!$E$13+1,1))</f>
        <v>467.11196088914556</v>
      </c>
      <c r="CZ68" s="59">
        <f t="shared" si="42"/>
        <v>208.53783609106262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12.82050433308217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12.82050433308217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9.2524999999999977</v>
      </c>
      <c r="DO68" s="12">
        <f>IF('Données projet'!$A$166&gt;35,DO67+DN68-DW67,IF(A68&lt;'Données projet'!$A$166,$DL$205^A68,IF(A68='Données projet'!$A$166,'Données projet'!$B$166,DO67+DN68-DW67)))</f>
        <v>255.70750000000018</v>
      </c>
      <c r="DP68" s="17">
        <f>DO68*VLOOKUP('Données projet'!$B$14,Paramètres!$A$1:$I$89,3,0)*VLOOKUP('Données projet'!$B$14,Paramètres!$A$1:$I$89,5,0)</f>
        <v>275.24355300000019</v>
      </c>
      <c r="DQ68" s="13">
        <f t="shared" si="43"/>
        <v>65.960834782265181</v>
      </c>
      <c r="DR68" s="20">
        <f t="shared" ref="DR68:DR131" si="70">(DP68+DQ68)*0.475*44/12</f>
        <v>594.26430872077879</v>
      </c>
      <c r="DS68" s="59">
        <f t="shared" ref="DS68:DS131" si="71">DR68+(DJ68+DK68)*44/12</f>
        <v>887.59764205411216</v>
      </c>
      <c r="DT68" s="59">
        <f ca="1">AVERAGE(OFFSET($DS$3,0,0,'Données projet'!$E$14+1,1))-AVERAGE(OFFSET($H$3,0,0,'Données projet'!$E$14+1,1))</f>
        <v>531.65020827367698</v>
      </c>
      <c r="DU68" s="59">
        <f t="shared" si="44"/>
        <v>235.89413420278396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14.267980628752737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14.267980628752737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69" s="11">
        <f t="shared" ref="D69:D132" si="86">IFERROR(EXP(-1.0587+0.8836*LN(C69)+0.284),0)</f>
        <v>11.492354785092406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382.78112465685371</v>
      </c>
      <c r="H69" s="67">
        <f t="shared" si="56"/>
        <v>379.6983245840359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252.13593600000013</v>
      </c>
      <c r="P69" s="13">
        <f t="shared" ref="P69:P132" si="87">EXP(-1.0587+0.8836*LN(O69)+0.284)</f>
        <v>61.043092689749741</v>
      </c>
      <c r="Q69" s="20">
        <f t="shared" si="54"/>
        <v>545.45347496798104</v>
      </c>
      <c r="R69" s="59">
        <f t="shared" si="55"/>
        <v>838.7868083013143</v>
      </c>
      <c r="S69" s="59">
        <f ca="1">AVERAGE(OFFSET($R$3,0,0,'Données projet'!$E$9+1,1))-AVERAGE(OFFSET($H$3,0,0,'Données projet'!$E$9+1,1))</f>
        <v>457.88065872594228</v>
      </c>
      <c r="T69" s="59">
        <f t="shared" ref="T69:T132" si="88">$T$3</f>
        <v>204.62439362068329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25.912304378491598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25.912304378491598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812.55637468700274</v>
      </c>
      <c r="AN69" s="59">
        <f ca="1">AVERAGE(OFFSET($AM$3,0,0,'Données projet'!$E$10+1,1))-AVERAGE(OFFSET($H$3,0,0,'Données projet'!$E$10+1,1))</f>
        <v>430.16825592717629</v>
      </c>
      <c r="AO69" s="59">
        <f t="shared" ref="AO69:AO132" si="90">$AO$3</f>
        <v>192.87542067077248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8.5500000000000007</v>
      </c>
      <c r="BD69" s="12">
        <f>IF('Données projet'!$A$88&gt;35,BD68+BC69-BL68,IF(A69&lt;'Données projet'!$A$88,$BA$205^A69,IF(A69='Données projet'!$A$88,'Données projet'!$B$88,BD68+BC69-BL68)))</f>
        <v>204.31000000000014</v>
      </c>
      <c r="BE69" s="13">
        <f>BD69*VLOOKUP('Données projet'!$B$11,Paramètres!$A$1:$I$89,3,0)*VLOOKUP('Données projet'!$B$11,Paramètres!$A$1:$I$89,5,0)</f>
        <v>172.11074400000012</v>
      </c>
      <c r="BF69" s="13">
        <f t="shared" ref="BF69:BF132" si="91">EXP(-1.0587+0.8836*LN(BE69)+0.284)</f>
        <v>43.562419985615136</v>
      </c>
      <c r="BG69" s="20">
        <f t="shared" si="61"/>
        <v>375.63076060827984</v>
      </c>
      <c r="BH69" s="59">
        <f t="shared" si="62"/>
        <v>668.9640939416131</v>
      </c>
      <c r="BI69" s="59">
        <f ca="1">AVERAGE(OFFSET($BH$3,0,0,'Données projet'!$E$11+1,1))-AVERAGE(OFFSET($H$3,0,0,'Données projet'!$E$11+1,1))</f>
        <v>243.94505553629301</v>
      </c>
      <c r="BJ69" s="59">
        <f t="shared" ref="BJ69:BJ132" si="92">$BJ$3</f>
        <v>173.05364940250229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10.8107549438751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10.8107549438751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4.4000000000000004</v>
      </c>
      <c r="BY69" s="12">
        <f>IF('Données projet'!$A$114&gt;35,BY68+BX69-CG68,IF(A69&lt;'Données projet'!$A$114,$BV$205^A69,IF(A69='Données projet'!$A$114,'Données projet'!$B$114,BY68+BX69-CG68)))</f>
        <v>187.40000000000009</v>
      </c>
      <c r="BZ69" s="13">
        <f>BY69*VLOOKUP('Données projet'!$B$12,Paramètres!$A$1:$I$89,3,0)*VLOOKUP('Données projet'!$B$12,Paramètres!$A$1:$I$89,5,0)</f>
        <v>122.78448000000007</v>
      </c>
      <c r="CA69" s="13">
        <f t="shared" ref="CA69:CA132" si="93">EXP(-1.0587+0.8836*LN(BZ69)+0.284)</f>
        <v>32.323563966100259</v>
      </c>
      <c r="CB69" s="20">
        <f t="shared" si="64"/>
        <v>270.1465099076247</v>
      </c>
      <c r="CC69" s="59">
        <f t="shared" si="65"/>
        <v>563.47984324095796</v>
      </c>
      <c r="CD69" s="59">
        <f ca="1">AVERAGE(OFFSET($CC$3,0,0,'Données projet'!$E$12+1,1))-AVERAGE(OFFSET($H$3,0,0,'Données projet'!$E$12+1,1))</f>
        <v>140.9558843244115</v>
      </c>
      <c r="CE69" s="59">
        <f t="shared" ref="CE69:CE132" si="94">$CE$3</f>
        <v>158.88947216184619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9.1624375266536777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9.1624375266536777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264.95999999999998</v>
      </c>
      <c r="CR69" s="12">
        <f>VLOOKUP(A69,'Données projet'!$A$139:$I$159,9,0)</f>
        <v>9.2524999999999977</v>
      </c>
      <c r="CS69" s="12">
        <f t="array" ref="CS69">INDEX(CR:CR,MIN(IF(ISNUMBER(CR69:CR265),ROW(CR69:CR265),"")))</f>
        <v>9.2524999999999977</v>
      </c>
      <c r="CT69" s="12">
        <f>IF('Données projet'!$A$140&gt;35,CT68+CS69-DB68,IF(A69&lt;'Données projet'!$A$140,$CQ$205^A69,IF(A69='Données projet'!$A$140,'Données projet'!$B$140,CT68+CS69-DB68)))</f>
        <v>264.96000000000015</v>
      </c>
      <c r="CU69" s="17">
        <f>CT69*VLOOKUP('Données projet'!$B$13,Paramètres!$A$1:$I$89,3,0)*VLOOKUP('Données projet'!$B$13,Paramètres!$A$1:$I$89,5,0)</f>
        <v>256.26931200000018</v>
      </c>
      <c r="CV69" s="13">
        <f t="shared" ref="CV69:CV132" si="95">EXP(-1.0587+0.8836*LN(CU69)+0.284)</f>
        <v>61.926478363546003</v>
      </c>
      <c r="CW69" s="20">
        <f t="shared" si="67"/>
        <v>554.19100154984289</v>
      </c>
      <c r="CX69" s="59">
        <f t="shared" si="68"/>
        <v>847.52433488317615</v>
      </c>
      <c r="CY69" s="59">
        <f ca="1">AVERAGE(OFFSET($CX$3,0,0,'Données projet'!$E$13+1,1))-AVERAGE(OFFSET($H$3,0,0,'Données projet'!$E$13+1,1))</f>
        <v>467.11196088914556</v>
      </c>
      <c r="CZ69" s="59">
        <f t="shared" ref="CZ69:CZ132" si="96">$CZ$3</f>
        <v>208.53783609106262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0.25800000000000001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26.337096253548836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26.337096253548836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264.95999999999998</v>
      </c>
      <c r="DM69" s="12">
        <f>VLOOKUP(A69,'Données projet'!$A$165:$I$185,9,0)</f>
        <v>9.2524999999999977</v>
      </c>
      <c r="DN69" s="12">
        <f t="array" ref="DN69">INDEX(DM:DM,MIN(IF(ISNUMBER(DM69:DM265),ROW(DM69:DM265),"")))</f>
        <v>9.2524999999999977</v>
      </c>
      <c r="DO69" s="12">
        <f>IF('Données projet'!$A$166&gt;35,DO68+DN69-DW68,IF(A69&lt;'Données projet'!$A$166,$DL$205^A69,IF(A69='Données projet'!$A$166,'Données projet'!$B$166,DO68+DN69-DW68)))</f>
        <v>264.96000000000015</v>
      </c>
      <c r="DP69" s="17">
        <f>DO69*VLOOKUP('Données projet'!$B$14,Paramètres!$A$1:$I$89,3,0)*VLOOKUP('Données projet'!$B$14,Paramètres!$A$1:$I$89,5,0)</f>
        <v>285.20294400000017</v>
      </c>
      <c r="DQ69" s="13">
        <f t="shared" ref="DQ69:DQ132" si="97">EXP(-1.0587+0.8836*LN(DP69)+0.284)</f>
        <v>68.06535954851401</v>
      </c>
      <c r="DR69" s="20">
        <f t="shared" si="70"/>
        <v>615.27562868032874</v>
      </c>
      <c r="DS69" s="59">
        <f t="shared" si="71"/>
        <v>908.60896201366199</v>
      </c>
      <c r="DT69" s="59">
        <f ca="1">AVERAGE(OFFSET($DS$3,0,0,'Données projet'!$E$14+1,1))-AVERAGE(OFFSET($H$3,0,0,'Données projet'!$E$14+1,1))</f>
        <v>531.65020827367698</v>
      </c>
      <c r="DU69" s="59">
        <f t="shared" ref="DU69:DU132" si="98">$DU$3</f>
        <v>235.89413420278396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49.91</v>
      </c>
      <c r="DX69" s="16">
        <f>IF(ISNA(VLOOKUP(A69,'Données projet'!$A$165:$I$185,5,0)),0%,VLOOKUP(A69,'Données projet'!$A$165:$I$185,5,0)*VLOOKUP('Données projet'!$B$14,Paramètres!$A$1:$I$89,7,0))</f>
        <v>0.25800000000000001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29.31063937894951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29.31063937894951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38.672400000000003</v>
      </c>
      <c r="D70" s="11">
        <f t="shared" si="86"/>
        <v>11.646078121850156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388.42333988796622</v>
      </c>
      <c r="H70" s="67">
        <f t="shared" si="56"/>
        <v>380.97134939555565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213.07870350000013</v>
      </c>
      <c r="P70" s="13">
        <f t="shared" si="87"/>
        <v>52.607788941489872</v>
      </c>
      <c r="Q70" s="20">
        <f t="shared" si="54"/>
        <v>462.73730766892845</v>
      </c>
      <c r="R70" s="59">
        <f t="shared" si="55"/>
        <v>756.07064100226171</v>
      </c>
      <c r="S70" s="59">
        <f ca="1">AVERAGE(OFFSET($R$3,0,0,'Données projet'!$E$9+1,1))-AVERAGE(OFFSET($H$3,0,0,'Données projet'!$E$9+1,1))</f>
        <v>457.88065872594228</v>
      </c>
      <c r="T70" s="59">
        <f t="shared" si="88"/>
        <v>204.62439362068329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25.40417989457444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25.40417989457444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733.82597458691498</v>
      </c>
      <c r="AN70" s="59">
        <f ca="1">AVERAGE(OFFSET($AM$3,0,0,'Données projet'!$E$10+1,1))-AVERAGE(OFFSET($H$3,0,0,'Données projet'!$E$10+1,1))</f>
        <v>430.16825592717629</v>
      </c>
      <c r="AO70" s="59">
        <f t="shared" si="90"/>
        <v>192.87542067077248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212.86</v>
      </c>
      <c r="BB70" s="12">
        <f>VLOOKUP(A70,'Données projet'!$A$87:$I$107,9,0)</f>
        <v>8.5500000000000007</v>
      </c>
      <c r="BC70" s="12">
        <f t="array" ref="BC70">INDEX(BB:BB,MIN(IF(ISNUMBER(BB70:BB266),ROW(BB70:BB266),"")))</f>
        <v>8.5500000000000007</v>
      </c>
      <c r="BD70" s="12">
        <f>IF('Données projet'!$A$88&gt;35,BD69+BC70-BL69,IF(A70&lt;'Données projet'!$A$88,$BA$205^A70,IF(A70='Données projet'!$A$88,'Données projet'!$B$88,BD69+BC70-BL69)))</f>
        <v>212.86000000000016</v>
      </c>
      <c r="BE70" s="13">
        <f>BD70*VLOOKUP('Données projet'!$B$11,Paramètres!$A$1:$I$89,3,0)*VLOOKUP('Données projet'!$B$11,Paramètres!$A$1:$I$89,5,0)</f>
        <v>179.31326400000015</v>
      </c>
      <c r="BF70" s="13">
        <f t="shared" si="91"/>
        <v>45.169366085324434</v>
      </c>
      <c r="BG70" s="20">
        <f t="shared" si="61"/>
        <v>390.97391406527368</v>
      </c>
      <c r="BH70" s="59">
        <f t="shared" si="62"/>
        <v>684.30724739860693</v>
      </c>
      <c r="BI70" s="59">
        <f ca="1">AVERAGE(OFFSET($BH$3,0,0,'Données projet'!$E$11+1,1))-AVERAGE(OFFSET($H$3,0,0,'Données projet'!$E$11+1,1))</f>
        <v>243.94505553629301</v>
      </c>
      <c r="BJ70" s="59">
        <f t="shared" si="92"/>
        <v>173.05364940250229</v>
      </c>
      <c r="BK70" s="15">
        <f>IF(ISNA(VLOOKUP(A70,'Données projet'!$A$87:$I$107,3,0)),0,VLOOKUP(A70,'Données projet'!$A$87:$I$107,3,0))</f>
        <v>5</v>
      </c>
      <c r="BL70" s="15">
        <f>IF(ISNA(VLOOKUP(A70,'Données projet'!$A$87:$I$107,4,0)),0,VLOOKUP(A70,'Données projet'!$A$87:$I$107,4,0))</f>
        <v>38.229999999999997</v>
      </c>
      <c r="BM70" s="16">
        <f>IF(ISNA(VLOOKUP(A70,'Données projet'!$A$87:$I$107,5,0)),0%,VLOOKUP(A70,'Données projet'!$A$87:$I$107,5,0)*VLOOKUP('Données projet'!$B$11,Paramètres!$A$1:$I$89,7,0))</f>
        <v>0.25800000000000001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19.783980724987487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19.783980724987487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4.4000000000000004</v>
      </c>
      <c r="BY70" s="12">
        <f>IF('Données projet'!$A$114&gt;35,BY69+BX70-CG69,IF(A70&lt;'Données projet'!$A$114,$BV$205^A70,IF(A70='Données projet'!$A$114,'Données projet'!$B$114,BY69+BX70-CG69)))</f>
        <v>191.8000000000001</v>
      </c>
      <c r="BZ70" s="13">
        <f>BY70*VLOOKUP('Données projet'!$B$12,Paramètres!$A$1:$I$89,3,0)*VLOOKUP('Données projet'!$B$12,Paramètres!$A$1:$I$89,5,0)</f>
        <v>125.66736000000007</v>
      </c>
      <c r="CA70" s="13">
        <f t="shared" si="93"/>
        <v>32.993247007291167</v>
      </c>
      <c r="CB70" s="20">
        <f t="shared" si="64"/>
        <v>276.33389053769889</v>
      </c>
      <c r="CC70" s="59">
        <f t="shared" si="65"/>
        <v>569.66722387103221</v>
      </c>
      <c r="CD70" s="59">
        <f ca="1">AVERAGE(OFFSET($CC$3,0,0,'Données projet'!$E$12+1,1))-AVERAGE(OFFSET($H$3,0,0,'Données projet'!$E$12+1,1))</f>
        <v>140.9558843244115</v>
      </c>
      <c r="CE70" s="59">
        <f t="shared" si="94"/>
        <v>158.88947216184619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8.9827677152910681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8.9827677152910681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8.8662500000000044</v>
      </c>
      <c r="CT70" s="12">
        <f>IF('Données projet'!$A$140&gt;35,CT69+CS70-DB69,IF(A70&lt;'Données projet'!$A$140,$CQ$205^A70,IF(A70='Données projet'!$A$140,'Données projet'!$B$140,CT69+CS70-DB69)))</f>
        <v>223.91625000000013</v>
      </c>
      <c r="CU70" s="17">
        <f>CT70*VLOOKUP('Données projet'!$B$13,Paramètres!$A$1:$I$89,3,0)*VLOOKUP('Données projet'!$B$13,Paramètres!$A$1:$I$89,5,0)</f>
        <v>216.57179700000012</v>
      </c>
      <c r="CV70" s="13">
        <f t="shared" si="95"/>
        <v>53.369103039994094</v>
      </c>
      <c r="CW70" s="20">
        <f t="shared" si="67"/>
        <v>470.14706756965666</v>
      </c>
      <c r="CX70" s="59">
        <f t="shared" si="68"/>
        <v>763.48040090298991</v>
      </c>
      <c r="CY70" s="59">
        <f ca="1">AVERAGE(OFFSET($CX$3,0,0,'Données projet'!$E$13+1,1))-AVERAGE(OFFSET($H$3,0,0,'Données projet'!$E$13+1,1))</f>
        <v>467.11196088914556</v>
      </c>
      <c r="CZ70" s="59">
        <f t="shared" si="96"/>
        <v>208.53783609106262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25.820641860059265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25.820641860059265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8.8662500000000044</v>
      </c>
      <c r="DO70" s="12">
        <f>IF('Données projet'!$A$166&gt;35,DO69+DN70-DW69,IF(A70&lt;'Données projet'!$A$166,$DL$205^A70,IF(A70='Données projet'!$A$166,'Données projet'!$B$166,DO69+DN70-DW69)))</f>
        <v>223.91625000000013</v>
      </c>
      <c r="DP70" s="17">
        <f>DO70*VLOOKUP('Données projet'!$B$14,Paramètres!$A$1:$I$89,3,0)*VLOOKUP('Données projet'!$B$14,Paramètres!$A$1:$I$89,5,0)</f>
        <v>241.02345150000011</v>
      </c>
      <c r="DQ70" s="13">
        <f t="shared" si="97"/>
        <v>58.659676493686526</v>
      </c>
      <c r="DR70" s="20">
        <f t="shared" si="70"/>
        <v>521.94811458900415</v>
      </c>
      <c r="DS70" s="59">
        <f t="shared" si="71"/>
        <v>815.28144792233752</v>
      </c>
      <c r="DT70" s="59">
        <f ca="1">AVERAGE(OFFSET($DS$3,0,0,'Données projet'!$E$14+1,1))-AVERAGE(OFFSET($H$3,0,0,'Données projet'!$E$14+1,1))</f>
        <v>531.65020827367698</v>
      </c>
      <c r="DU70" s="59">
        <f t="shared" si="98"/>
        <v>235.89413420278396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28.735875618453054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28.735875618453054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39.249600000000001</v>
      </c>
      <c r="D71" s="11">
        <f t="shared" si="86"/>
        <v>11.799534614368666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394.06349526881075</v>
      </c>
      <c r="H71" s="67">
        <f t="shared" si="56"/>
        <v>382.24390945335875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221.51582700000012</v>
      </c>
      <c r="P71" s="13">
        <f t="shared" si="87"/>
        <v>54.444211453000612</v>
      </c>
      <c r="Q71" s="20">
        <f t="shared" si="54"/>
        <v>480.63040030564292</v>
      </c>
      <c r="R71" s="59">
        <f t="shared" si="55"/>
        <v>773.96373363897624</v>
      </c>
      <c r="S71" s="59">
        <f ca="1">AVERAGE(OFFSET($R$3,0,0,'Données projet'!$E$9+1,1))-AVERAGE(OFFSET($H$3,0,0,'Données projet'!$E$9+1,1))</f>
        <v>457.88065872594228</v>
      </c>
      <c r="T71" s="59">
        <f t="shared" si="88"/>
        <v>204.62439362068329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24.906019421861565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24.906019421861565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750.85698348776282</v>
      </c>
      <c r="AN71" s="59">
        <f ca="1">AVERAGE(OFFSET($AM$3,0,0,'Données projet'!$E$10+1,1))-AVERAGE(OFFSET($H$3,0,0,'Données projet'!$E$10+1,1))</f>
        <v>430.16825592717629</v>
      </c>
      <c r="AO71" s="59">
        <f t="shared" si="90"/>
        <v>192.87542067077248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8.4087499999999977</v>
      </c>
      <c r="BD71" s="12">
        <f>IF('Données projet'!$A$88&gt;35,BD70+BC71-BL70,IF(A71&lt;'Données projet'!$A$88,$BA$205^A71,IF(A71='Données projet'!$A$88,'Données projet'!$B$88,BD70+BC71-BL70)))</f>
        <v>183.03875000000016</v>
      </c>
      <c r="BE71" s="13">
        <f>BD71*VLOOKUP('Données projet'!$B$11,Paramètres!$A$1:$I$89,3,0)*VLOOKUP('Données projet'!$B$11,Paramètres!$A$1:$I$89,5,0)</f>
        <v>154.19184300000015</v>
      </c>
      <c r="BF71" s="13">
        <f t="shared" si="91"/>
        <v>39.529663502319345</v>
      </c>
      <c r="BG71" s="20">
        <f t="shared" si="61"/>
        <v>337.3982904915398</v>
      </c>
      <c r="BH71" s="59">
        <f t="shared" si="62"/>
        <v>630.73162382487317</v>
      </c>
      <c r="BI71" s="59">
        <f ca="1">AVERAGE(OFFSET($BH$3,0,0,'Données projet'!$E$11+1,1))-AVERAGE(OFFSET($H$3,0,0,'Données projet'!$E$11+1,1))</f>
        <v>243.94505553629301</v>
      </c>
      <c r="BJ71" s="59">
        <f t="shared" si="92"/>
        <v>173.05364940250229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19.396028930007205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19.396028930007205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4.4000000000000004</v>
      </c>
      <c r="BY71" s="12">
        <f>IF('Données projet'!$A$114&gt;35,BY70+BX71-CG70,IF(A71&lt;'Données projet'!$A$114,$BV$205^A71,IF(A71='Données projet'!$A$114,'Données projet'!$B$114,BY70+BX71-CG70)))</f>
        <v>196.2000000000001</v>
      </c>
      <c r="BZ71" s="13">
        <f>BY71*VLOOKUP('Données projet'!$B$12,Paramètres!$A$1:$I$89,3,0)*VLOOKUP('Données projet'!$B$12,Paramètres!$A$1:$I$89,5,0)</f>
        <v>128.55024000000006</v>
      </c>
      <c r="CA71" s="13">
        <f t="shared" si="93"/>
        <v>33.661144026076698</v>
      </c>
      <c r="CB71" s="20">
        <f t="shared" si="64"/>
        <v>282.51816051208368</v>
      </c>
      <c r="CC71" s="59">
        <f t="shared" si="65"/>
        <v>575.85149384541705</v>
      </c>
      <c r="CD71" s="59">
        <f ca="1">AVERAGE(OFFSET($CC$3,0,0,'Données projet'!$E$12+1,1))-AVERAGE(OFFSET($H$3,0,0,'Données projet'!$E$12+1,1))</f>
        <v>140.9558843244115</v>
      </c>
      <c r="CE71" s="59">
        <f t="shared" si="94"/>
        <v>158.88947216184619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8.806621119341516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8.806621119341516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8.8662500000000044</v>
      </c>
      <c r="CT71" s="12">
        <f>IF('Données projet'!$A$140&gt;35,CT70+CS71-DB70,IF(A71&lt;'Données projet'!$A$140,$CQ$205^A71,IF(A71='Données projet'!$A$140,'Données projet'!$B$140,CT70+CS71-DB70)))</f>
        <v>232.78250000000014</v>
      </c>
      <c r="CU71" s="17">
        <f>CT71*VLOOKUP('Données projet'!$B$13,Paramètres!$A$1:$I$89,3,0)*VLOOKUP('Données projet'!$B$13,Paramètres!$A$1:$I$89,5,0)</f>
        <v>225.14723400000014</v>
      </c>
      <c r="CV71" s="13">
        <f t="shared" si="95"/>
        <v>55.232101356665147</v>
      </c>
      <c r="CW71" s="20">
        <f t="shared" si="67"/>
        <v>488.32734241285874</v>
      </c>
      <c r="CX71" s="59">
        <f t="shared" si="68"/>
        <v>781.66067574619206</v>
      </c>
      <c r="CY71" s="59">
        <f ca="1">AVERAGE(OFFSET($CX$3,0,0,'Données projet'!$E$13+1,1))-AVERAGE(OFFSET($H$3,0,0,'Données projet'!$E$13+1,1))</f>
        <v>467.11196088914556</v>
      </c>
      <c r="CZ71" s="59">
        <f t="shared" si="96"/>
        <v>208.53783609106262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25.314314822219949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25.314314822219949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8.8662500000000044</v>
      </c>
      <c r="DO71" s="12">
        <f>IF('Données projet'!$A$166&gt;35,DO70+DN71-DW70,IF(A71&lt;'Données projet'!$A$166,$DL$205^A71,IF(A71='Données projet'!$A$166,'Données projet'!$B$166,DO70+DN71-DW70)))</f>
        <v>232.78250000000014</v>
      </c>
      <c r="DP71" s="17">
        <f>DO71*VLOOKUP('Données projet'!$B$14,Paramètres!$A$1:$I$89,3,0)*VLOOKUP('Données projet'!$B$14,Paramètres!$A$1:$I$89,5,0)</f>
        <v>250.56708300000014</v>
      </c>
      <c r="DQ71" s="13">
        <f t="shared" si="97"/>
        <v>60.707357124225084</v>
      </c>
      <c r="DR71" s="20">
        <f t="shared" si="70"/>
        <v>542.13631654969231</v>
      </c>
      <c r="DS71" s="59">
        <f t="shared" si="71"/>
        <v>835.46964988302557</v>
      </c>
      <c r="DT71" s="59">
        <f ca="1">AVERAGE(OFFSET($DS$3,0,0,'Données projet'!$E$14+1,1))-AVERAGE(OFFSET($H$3,0,0,'Données projet'!$E$14+1,1))</f>
        <v>531.65020827367698</v>
      </c>
      <c r="DU71" s="59">
        <f t="shared" si="98"/>
        <v>235.89413420278396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28.172382624728655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28.172382624728655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39.826799999999999</v>
      </c>
      <c r="D72" s="11">
        <f t="shared" si="86"/>
        <v>11.95272864017269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399.70162459080666</v>
      </c>
      <c r="H72" s="67">
        <f t="shared" si="56"/>
        <v>383.51601238163408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229.95295050000016</v>
      </c>
      <c r="P72" s="13">
        <f t="shared" si="87"/>
        <v>56.272508208096568</v>
      </c>
      <c r="Q72" s="20">
        <f t="shared" si="54"/>
        <v>498.50934058326834</v>
      </c>
      <c r="R72" s="59">
        <f t="shared" si="55"/>
        <v>791.8426739166016</v>
      </c>
      <c r="S72" s="59">
        <f ca="1">AVERAGE(OFFSET($R$3,0,0,'Données projet'!$E$9+1,1))-AVERAGE(OFFSET($H$3,0,0,'Données projet'!$E$9+1,1))</f>
        <v>457.88065872594228</v>
      </c>
      <c r="T72" s="59">
        <f t="shared" si="88"/>
        <v>204.62439362068329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24.417627572170705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24.417627572170705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767.87445682412249</v>
      </c>
      <c r="AN72" s="59">
        <f ca="1">AVERAGE(OFFSET($AM$3,0,0,'Données projet'!$E$10+1,1))-AVERAGE(OFFSET($H$3,0,0,'Données projet'!$E$10+1,1))</f>
        <v>430.16825592717629</v>
      </c>
      <c r="AO72" s="59">
        <f t="shared" si="90"/>
        <v>192.87542067077248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8.4087499999999977</v>
      </c>
      <c r="BD72" s="12">
        <f>IF('Données projet'!$A$88&gt;35,BD71+BC72-BL71,IF(A72&lt;'Données projet'!$A$88,$BA$205^A72,IF(A72='Données projet'!$A$88,'Données projet'!$B$88,BD71+BC72-BL71)))</f>
        <v>191.44750000000016</v>
      </c>
      <c r="BE72" s="13">
        <f>BD72*VLOOKUP('Données projet'!$B$11,Paramètres!$A$1:$I$89,3,0)*VLOOKUP('Données projet'!$B$11,Paramètres!$A$1:$I$89,5,0)</f>
        <v>161.27537400000014</v>
      </c>
      <c r="BF72" s="13">
        <f t="shared" si="91"/>
        <v>41.130046514208587</v>
      </c>
      <c r="BG72" s="20">
        <f t="shared" si="61"/>
        <v>352.52277406224692</v>
      </c>
      <c r="BH72" s="59">
        <f t="shared" si="62"/>
        <v>645.85610739558024</v>
      </c>
      <c r="BI72" s="59">
        <f ca="1">AVERAGE(OFFSET($BH$3,0,0,'Données projet'!$E$11+1,1))-AVERAGE(OFFSET($H$3,0,0,'Données projet'!$E$11+1,1))</f>
        <v>243.94505553629301</v>
      </c>
      <c r="BJ72" s="59">
        <f t="shared" si="92"/>
        <v>173.05364940250229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19.015684633099255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19.015684633099255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4.4000000000000004</v>
      </c>
      <c r="BY72" s="12">
        <f>IF('Données projet'!$A$114&gt;35,BY71+BX72-CG71,IF(A72&lt;'Données projet'!$A$114,$BV$205^A72,IF(A72='Données projet'!$A$114,'Données projet'!$B$114,BY71+BX72-CG71)))</f>
        <v>200.60000000000011</v>
      </c>
      <c r="BZ72" s="13">
        <f>BY72*VLOOKUP('Données projet'!$B$12,Paramètres!$A$1:$I$89,3,0)*VLOOKUP('Données projet'!$B$12,Paramètres!$A$1:$I$89,5,0)</f>
        <v>131.43312000000006</v>
      </c>
      <c r="CA72" s="13">
        <f t="shared" si="93"/>
        <v>34.327299687447557</v>
      </c>
      <c r="CB72" s="20">
        <f t="shared" si="64"/>
        <v>288.69939762230456</v>
      </c>
      <c r="CC72" s="59">
        <f t="shared" si="65"/>
        <v>582.03273095563782</v>
      </c>
      <c r="CD72" s="59">
        <f ca="1">AVERAGE(OFFSET($CC$3,0,0,'Données projet'!$E$12+1,1))-AVERAGE(OFFSET($H$3,0,0,'Données projet'!$E$12+1,1))</f>
        <v>140.9558843244115</v>
      </c>
      <c r="CE72" s="59">
        <f t="shared" si="94"/>
        <v>158.88947216184619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8.633928650699719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8.633928650699719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8.8662500000000044</v>
      </c>
      <c r="CT72" s="12">
        <f>IF('Données projet'!$A$140&gt;35,CT71+CS72-DB71,IF(A72&lt;'Données projet'!$A$140,$CQ$205^A72,IF(A72='Données projet'!$A$140,'Données projet'!$B$140,CT71+CS72-DB71)))</f>
        <v>241.64875000000015</v>
      </c>
      <c r="CU72" s="17">
        <f>CT72*VLOOKUP('Données projet'!$B$13,Paramètres!$A$1:$I$89,3,0)*VLOOKUP('Données projet'!$B$13,Paramètres!$A$1:$I$89,5,0)</f>
        <v>233.72267100000013</v>
      </c>
      <c r="CV72" s="13">
        <f t="shared" si="95"/>
        <v>57.086856324963186</v>
      </c>
      <c r="CW72" s="20">
        <f t="shared" si="67"/>
        <v>506.49326009097769</v>
      </c>
      <c r="CX72" s="59">
        <f t="shared" si="68"/>
        <v>799.826593424311</v>
      </c>
      <c r="CY72" s="59">
        <f ca="1">AVERAGE(OFFSET($CX$3,0,0,'Données projet'!$E$13+1,1))-AVERAGE(OFFSET($H$3,0,0,'Données projet'!$E$13+1,1))</f>
        <v>467.11196088914556</v>
      </c>
      <c r="CZ72" s="59">
        <f t="shared" si="96"/>
        <v>208.53783609106262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24.817916548763662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24.817916548763662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8.8662500000000044</v>
      </c>
      <c r="DO72" s="12">
        <f>IF('Données projet'!$A$166&gt;35,DO71+DN72-DW71,IF(A72&lt;'Données projet'!$A$166,$DL$205^A72,IF(A72='Données projet'!$A$166,'Données projet'!$B$166,DO71+DN72-DW71)))</f>
        <v>241.64875000000015</v>
      </c>
      <c r="DP72" s="17">
        <f>DO72*VLOOKUP('Données projet'!$B$14,Paramètres!$A$1:$I$89,3,0)*VLOOKUP('Données projet'!$B$14,Paramètres!$A$1:$I$89,5,0)</f>
        <v>260.11071450000014</v>
      </c>
      <c r="DQ72" s="13">
        <f t="shared" si="97"/>
        <v>62.745977228705485</v>
      </c>
      <c r="DR72" s="20">
        <f t="shared" si="70"/>
        <v>562.30873809416232</v>
      </c>
      <c r="DS72" s="59">
        <f t="shared" si="71"/>
        <v>855.64207142749569</v>
      </c>
      <c r="DT72" s="59">
        <f ca="1">AVERAGE(OFFSET($DS$3,0,0,'Données projet'!$E$14+1,1))-AVERAGE(OFFSET($H$3,0,0,'Données projet'!$E$14+1,1))</f>
        <v>531.65020827367698</v>
      </c>
      <c r="DU72" s="59">
        <f t="shared" si="98"/>
        <v>235.89413420278396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27.619939384914403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27.619939384914403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40.403999999999996</v>
      </c>
      <c r="D73" s="11">
        <f t="shared" si="86"/>
        <v>12.105664442616712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405.33776060967284</v>
      </c>
      <c r="H73" s="67">
        <f t="shared" si="56"/>
        <v>384.78766557089074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238.39007400000017</v>
      </c>
      <c r="P73" s="13">
        <f t="shared" si="87"/>
        <v>58.09301149142599</v>
      </c>
      <c r="Q73" s="20">
        <f t="shared" si="54"/>
        <v>516.37470723090053</v>
      </c>
      <c r="R73" s="59">
        <f t="shared" si="55"/>
        <v>809.7080405642339</v>
      </c>
      <c r="S73" s="59">
        <f ca="1">AVERAGE(OFFSET($R$3,0,0,'Données projet'!$E$9+1,1))-AVERAGE(OFFSET($H$3,0,0,'Données projet'!$E$9+1,1))</f>
        <v>457.88065872594228</v>
      </c>
      <c r="T73" s="59">
        <f t="shared" si="88"/>
        <v>204.62439362068329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23.938812788762668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23.938812788762668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784.878948102653</v>
      </c>
      <c r="AN73" s="59">
        <f ca="1">AVERAGE(OFFSET($AM$3,0,0,'Données projet'!$E$10+1,1))-AVERAGE(OFFSET($H$3,0,0,'Données projet'!$E$10+1,1))</f>
        <v>430.16825592717629</v>
      </c>
      <c r="AO73" s="59">
        <f t="shared" si="90"/>
        <v>192.87542067077248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8.4087499999999977</v>
      </c>
      <c r="BD73" s="12">
        <f>IF('Données projet'!$A$88&gt;35,BD72+BC73-BL72,IF(A73&lt;'Données projet'!$A$88,$BA$205^A73,IF(A73='Données projet'!$A$88,'Données projet'!$B$88,BD72+BC73-BL72)))</f>
        <v>199.85625000000016</v>
      </c>
      <c r="BE73" s="13">
        <f>BD73*VLOOKUP('Données projet'!$B$11,Paramètres!$A$1:$I$89,3,0)*VLOOKUP('Données projet'!$B$11,Paramètres!$A$1:$I$89,5,0)</f>
        <v>168.35890500000014</v>
      </c>
      <c r="BF73" s="13">
        <f t="shared" si="91"/>
        <v>42.722265649387637</v>
      </c>
      <c r="BG73" s="20">
        <f t="shared" si="61"/>
        <v>367.633038881017</v>
      </c>
      <c r="BH73" s="59">
        <f t="shared" si="62"/>
        <v>660.96637221435026</v>
      </c>
      <c r="BI73" s="59">
        <f ca="1">AVERAGE(OFFSET($BH$3,0,0,'Données projet'!$E$11+1,1))-AVERAGE(OFFSET($H$3,0,0,'Données projet'!$E$11+1,1))</f>
        <v>243.94505553629301</v>
      </c>
      <c r="BJ73" s="59">
        <f t="shared" si="92"/>
        <v>173.05364940250229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18.642798655866557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18.642798655866557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205</v>
      </c>
      <c r="BW73" s="12">
        <f>VLOOKUP(A73,'Données projet'!$A$113:$I$133,9,0)</f>
        <v>4.4000000000000004</v>
      </c>
      <c r="BX73" s="12">
        <f t="array" ref="BX73">INDEX(BW:BW,MIN(IF(ISNUMBER(BW73:BW269),ROW(BW73:BW269),"")))</f>
        <v>4.4000000000000004</v>
      </c>
      <c r="BY73" s="12">
        <f>IF('Données projet'!$A$114&gt;35,BY72+BX73-CG72,IF(A73&lt;'Données projet'!$A$114,$BV$205^A73,IF(A73='Données projet'!$A$114,'Données projet'!$B$114,BY72+BX73-CG72)))</f>
        <v>205.00000000000011</v>
      </c>
      <c r="BZ73" s="13">
        <f>BY73*VLOOKUP('Données projet'!$B$12,Paramètres!$A$1:$I$89,3,0)*VLOOKUP('Données projet'!$B$12,Paramètres!$A$1:$I$89,5,0)</f>
        <v>134.31600000000009</v>
      </c>
      <c r="CA73" s="13">
        <f t="shared" si="93"/>
        <v>34.991756585122474</v>
      </c>
      <c r="CB73" s="20">
        <f t="shared" si="64"/>
        <v>294.87767605242175</v>
      </c>
      <c r="CC73" s="59">
        <f t="shared" si="65"/>
        <v>588.21100938575501</v>
      </c>
      <c r="CD73" s="59">
        <f ca="1">AVERAGE(OFFSET($CC$3,0,0,'Données projet'!$E$12+1,1))-AVERAGE(OFFSET($H$3,0,0,'Données projet'!$E$12+1,1))</f>
        <v>140.9558843244115</v>
      </c>
      <c r="CE73" s="59">
        <f t="shared" si="94"/>
        <v>158.88947216184619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17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11.641420765086552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11.641420765086552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8.8662500000000044</v>
      </c>
      <c r="CT73" s="12">
        <f>IF('Données projet'!$A$140&gt;35,CT72+CS73-DB72,IF(A73&lt;'Données projet'!$A$140,$CQ$205^A73,IF(A73='Données projet'!$A$140,'Données projet'!$B$140,CT72+CS73-DB72)))</f>
        <v>250.51500000000016</v>
      </c>
      <c r="CU73" s="17">
        <f>CT73*VLOOKUP('Données projet'!$B$13,Paramètres!$A$1:$I$89,3,0)*VLOOKUP('Données projet'!$B$13,Paramètres!$A$1:$I$89,5,0)</f>
        <v>242.29810800000013</v>
      </c>
      <c r="CV73" s="13">
        <f t="shared" si="95"/>
        <v>58.933705038196834</v>
      </c>
      <c r="CW73" s="20">
        <f t="shared" si="67"/>
        <v>524.64540770819303</v>
      </c>
      <c r="CX73" s="59">
        <f t="shared" si="68"/>
        <v>817.97874104152629</v>
      </c>
      <c r="CY73" s="59">
        <f ca="1">AVERAGE(OFFSET($CX$3,0,0,'Données projet'!$E$13+1,1))-AVERAGE(OFFSET($H$3,0,0,'Données projet'!$E$13+1,1))</f>
        <v>467.11196088914556</v>
      </c>
      <c r="CZ73" s="59">
        <f t="shared" si="96"/>
        <v>208.53783609106262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24.331252342676805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24.331252342676805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8.8662500000000044</v>
      </c>
      <c r="DO73" s="12">
        <f>IF('Données projet'!$A$166&gt;35,DO72+DN73-DW72,IF(A73&lt;'Données projet'!$A$166,$DL$205^A73,IF(A73='Données projet'!$A$166,'Données projet'!$B$166,DO72+DN73-DW72)))</f>
        <v>250.51500000000016</v>
      </c>
      <c r="DP73" s="17">
        <f>DO73*VLOOKUP('Données projet'!$B$14,Paramètres!$A$1:$I$89,3,0)*VLOOKUP('Données projet'!$B$14,Paramètres!$A$1:$I$89,5,0)</f>
        <v>269.65434600000015</v>
      </c>
      <c r="DQ73" s="13">
        <f t="shared" si="97"/>
        <v>64.775907317091679</v>
      </c>
      <c r="DR73" s="20">
        <f t="shared" si="70"/>
        <v>582.46602452726813</v>
      </c>
      <c r="DS73" s="59">
        <f t="shared" si="71"/>
        <v>875.7993578606015</v>
      </c>
      <c r="DT73" s="59">
        <f ca="1">AVERAGE(OFFSET($DS$3,0,0,'Données projet'!$E$14+1,1))-AVERAGE(OFFSET($H$3,0,0,'Données projet'!$E$14+1,1))</f>
        <v>531.65020827367698</v>
      </c>
      <c r="DU73" s="59">
        <f t="shared" si="98"/>
        <v>235.89413420278396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27.078329220075801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27.078329220075801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40.981199999999994</v>
      </c>
      <c r="D74" s="11">
        <f t="shared" si="86"/>
        <v>12.258346136853991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410.97193509150452</v>
      </c>
      <c r="H74" s="67">
        <f t="shared" si="56"/>
        <v>386.05887618835402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246.82719750000012</v>
      </c>
      <c r="P74" s="13">
        <f t="shared" si="87"/>
        <v>59.906028733631878</v>
      </c>
      <c r="Q74" s="20">
        <f t="shared" si="54"/>
        <v>534.22703569024236</v>
      </c>
      <c r="R74" s="59">
        <f t="shared" si="55"/>
        <v>827.56036902357573</v>
      </c>
      <c r="S74" s="59">
        <f ca="1">AVERAGE(OFFSET($R$3,0,0,'Données projet'!$E$9+1,1))-AVERAGE(OFFSET($H$3,0,0,'Données projet'!$E$9+1,1))</f>
        <v>457.88065872594228</v>
      </c>
      <c r="T74" s="59">
        <f t="shared" si="88"/>
        <v>204.62439362068329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23.469387271209079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23.469387271209079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801.87096942919163</v>
      </c>
      <c r="AN74" s="59">
        <f ca="1">AVERAGE(OFFSET($AM$3,0,0,'Données projet'!$E$10+1,1))-AVERAGE(OFFSET($H$3,0,0,'Données projet'!$E$10+1,1))</f>
        <v>430.16825592717629</v>
      </c>
      <c r="AO74" s="59">
        <f t="shared" si="90"/>
        <v>192.87542067077248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8.4087499999999977</v>
      </c>
      <c r="BD74" s="12">
        <f>IF('Données projet'!$A$88&gt;35,BD73+BC74-BL73,IF(A74&lt;'Données projet'!$A$88,$BA$205^A74,IF(A74='Données projet'!$A$88,'Données projet'!$B$88,BD73+BC74-BL73)))</f>
        <v>208.26500000000016</v>
      </c>
      <c r="BE74" s="13">
        <f>BD74*VLOOKUP('Données projet'!$B$11,Paramètres!$A$1:$I$89,3,0)*VLOOKUP('Données projet'!$B$11,Paramètres!$A$1:$I$89,5,0)</f>
        <v>175.44243600000016</v>
      </c>
      <c r="BF74" s="13">
        <f t="shared" si="91"/>
        <v>44.306703669500294</v>
      </c>
      <c r="BG74" s="20">
        <f t="shared" si="61"/>
        <v>382.72975159104658</v>
      </c>
      <c r="BH74" s="59">
        <f t="shared" si="62"/>
        <v>676.06308492437984</v>
      </c>
      <c r="BI74" s="59">
        <f ca="1">AVERAGE(OFFSET($BH$3,0,0,'Données projet'!$E$11+1,1))-AVERAGE(OFFSET($H$3,0,0,'Données projet'!$E$11+1,1))</f>
        <v>243.94505553629301</v>
      </c>
      <c r="BJ74" s="59">
        <f t="shared" si="92"/>
        <v>173.05364940250229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18.277224745209402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18.277224745209402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</v>
      </c>
      <c r="BY74" s="12">
        <f>IF('Données projet'!$A$114&gt;35,BY73+BX74-CG73,IF(A74&lt;'Données projet'!$A$114,$BV$205^A74,IF(A74='Données projet'!$A$114,'Données projet'!$B$114,BY73+BX74-CG73)))</f>
        <v>192.00000000000011</v>
      </c>
      <c r="BZ74" s="13">
        <f>BY74*VLOOKUP('Données projet'!$B$12,Paramètres!$A$1:$I$89,3,0)*VLOOKUP('Données projet'!$B$12,Paramètres!$A$1:$I$89,5,0)</f>
        <v>125.79840000000007</v>
      </c>
      <c r="CA74" s="13">
        <f t="shared" si="93"/>
        <v>33.023644363399953</v>
      </c>
      <c r="CB74" s="20">
        <f t="shared" si="64"/>
        <v>276.61506059958839</v>
      </c>
      <c r="CC74" s="59">
        <f t="shared" si="65"/>
        <v>569.9483939329217</v>
      </c>
      <c r="CD74" s="59">
        <f ca="1">AVERAGE(OFFSET($CC$3,0,0,'Données projet'!$E$12+1,1))-AVERAGE(OFFSET($H$3,0,0,'Données projet'!$E$12+1,1))</f>
        <v>140.9558843244115</v>
      </c>
      <c r="CE74" s="59">
        <f t="shared" si="94"/>
        <v>158.88947216184619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11.41313960444875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11.41313960444875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8.8662500000000044</v>
      </c>
      <c r="CT74" s="12">
        <f>IF('Données projet'!$A$140&gt;35,CT73+CS74-DB73,IF(A74&lt;'Données projet'!$A$140,$CQ$205^A74,IF(A74='Données projet'!$A$140,'Données projet'!$B$140,CT73+CS74-DB73)))</f>
        <v>259.38125000000014</v>
      </c>
      <c r="CU74" s="17">
        <f>CT74*VLOOKUP('Données projet'!$B$13,Paramètres!$A$1:$I$89,3,0)*VLOOKUP('Données projet'!$B$13,Paramètres!$A$1:$I$89,5,0)</f>
        <v>250.87354500000012</v>
      </c>
      <c r="CV74" s="13">
        <f t="shared" si="95"/>
        <v>60.772959375994262</v>
      </c>
      <c r="CW74" s="20">
        <f t="shared" si="67"/>
        <v>542.78432845485679</v>
      </c>
      <c r="CX74" s="59">
        <f t="shared" si="68"/>
        <v>836.11766178819016</v>
      </c>
      <c r="CY74" s="59">
        <f ca="1">AVERAGE(OFFSET($CX$3,0,0,'Données projet'!$E$13+1,1))-AVERAGE(OFFSET($H$3,0,0,'Données projet'!$E$13+1,1))</f>
        <v>467.11196088914556</v>
      </c>
      <c r="CZ74" s="59">
        <f t="shared" si="96"/>
        <v>208.53783609106262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23.854131324835453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23.854131324835453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8.8662500000000044</v>
      </c>
      <c r="DO74" s="12">
        <f>IF('Données projet'!$A$166&gt;35,DO73+DN74-DW73,IF(A74&lt;'Données projet'!$A$166,$DL$205^A74,IF(A74='Données projet'!$A$166,'Données projet'!$B$166,DO73+DN74-DW73)))</f>
        <v>259.38125000000014</v>
      </c>
      <c r="DP74" s="17">
        <f>DO74*VLOOKUP('Données projet'!$B$14,Paramètres!$A$1:$I$89,3,0)*VLOOKUP('Données projet'!$B$14,Paramètres!$A$1:$I$89,5,0)</f>
        <v>279.19797750000015</v>
      </c>
      <c r="DQ74" s="13">
        <f t="shared" si="97"/>
        <v>66.797490186190217</v>
      </c>
      <c r="DR74" s="20">
        <f t="shared" si="70"/>
        <v>602.60877288678148</v>
      </c>
      <c r="DS74" s="59">
        <f t="shared" si="71"/>
        <v>895.94210622011474</v>
      </c>
      <c r="DT74" s="59">
        <f ca="1">AVERAGE(OFFSET($DS$3,0,0,'Données projet'!$E$14+1,1))-AVERAGE(OFFSET($H$3,0,0,'Données projet'!$E$14+1,1))</f>
        <v>531.65020827367698</v>
      </c>
      <c r="DU74" s="59">
        <f t="shared" si="98"/>
        <v>235.89413420278396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26.547339700220103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26.547339700220103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41.558399999999992</v>
      </c>
      <c r="D75" s="11">
        <f t="shared" si="86"/>
        <v>12.410777715459892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416.60417885618159</v>
      </c>
      <c r="H75" s="67">
        <f t="shared" si="56"/>
        <v>387.32965118775928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255.26432100000011</v>
      </c>
      <c r="P75" s="13">
        <f t="shared" si="87"/>
        <v>61.711845155790719</v>
      </c>
      <c r="Q75" s="20">
        <f t="shared" si="54"/>
        <v>552.06682272133571</v>
      </c>
      <c r="R75" s="59">
        <f t="shared" si="55"/>
        <v>845.40015605466897</v>
      </c>
      <c r="S75" s="59">
        <f ca="1">AVERAGE(OFFSET($R$3,0,0,'Données projet'!$E$9+1,1))-AVERAGE(OFFSET($H$3,0,0,'Données projet'!$E$9+1,1))</f>
        <v>457.88065872594228</v>
      </c>
      <c r="T75" s="59">
        <f t="shared" si="88"/>
        <v>204.62439362068329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23.009166901733426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23.009166901733426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818.85099591375661</v>
      </c>
      <c r="AN75" s="59">
        <f ca="1">AVERAGE(OFFSET($AM$3,0,0,'Données projet'!$E$10+1,1))-AVERAGE(OFFSET($H$3,0,0,'Données projet'!$E$10+1,1))</f>
        <v>430.16825592717629</v>
      </c>
      <c r="AO75" s="59">
        <f t="shared" si="90"/>
        <v>192.87542067077248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8.4087499999999977</v>
      </c>
      <c r="BD75" s="12">
        <f>IF('Données projet'!$A$88&gt;35,BD74+BC75-BL74,IF(A75&lt;'Données projet'!$A$88,$BA$205^A75,IF(A75='Données projet'!$A$88,'Données projet'!$B$88,BD74+BC75-BL74)))</f>
        <v>216.67375000000015</v>
      </c>
      <c r="BE75" s="13">
        <f>BD75*VLOOKUP('Données projet'!$B$11,Paramètres!$A$1:$I$89,3,0)*VLOOKUP('Données projet'!$B$11,Paramètres!$A$1:$I$89,5,0)</f>
        <v>182.52596700000015</v>
      </c>
      <c r="BF75" s="13">
        <f t="shared" si="91"/>
        <v>45.883710678698044</v>
      </c>
      <c r="BG75" s="20">
        <f t="shared" si="61"/>
        <v>397.81352195706603</v>
      </c>
      <c r="BH75" s="59">
        <f t="shared" si="62"/>
        <v>691.14685529039934</v>
      </c>
      <c r="BI75" s="59">
        <f ca="1">AVERAGE(OFFSET($BH$3,0,0,'Données projet'!$E$11+1,1))-AVERAGE(OFFSET($H$3,0,0,'Données projet'!$E$11+1,1))</f>
        <v>243.94505553629301</v>
      </c>
      <c r="BJ75" s="59">
        <f t="shared" si="92"/>
        <v>173.05364940250229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17.918819515962166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17.918819515962166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</v>
      </c>
      <c r="BY75" s="12">
        <f>IF('Données projet'!$A$114&gt;35,BY74+BX75-CG74,IF(A75&lt;'Données projet'!$A$114,$BV$205^A75,IF(A75='Données projet'!$A$114,'Données projet'!$B$114,BY74+BX75-CG74)))</f>
        <v>196.00000000000011</v>
      </c>
      <c r="BZ75" s="13">
        <f>BY75*VLOOKUP('Données projet'!$B$12,Paramètres!$A$1:$I$89,3,0)*VLOOKUP('Données projet'!$B$12,Paramètres!$A$1:$I$89,5,0)</f>
        <v>128.41920000000007</v>
      </c>
      <c r="CA75" s="13">
        <f t="shared" si="93"/>
        <v>33.630823177860762</v>
      </c>
      <c r="CB75" s="20">
        <f t="shared" si="64"/>
        <v>282.23712370144091</v>
      </c>
      <c r="CC75" s="59">
        <f t="shared" si="65"/>
        <v>575.57045703477422</v>
      </c>
      <c r="CD75" s="59">
        <f ca="1">AVERAGE(OFFSET($CC$3,0,0,'Données projet'!$E$12+1,1))-AVERAGE(OFFSET($H$3,0,0,'Données projet'!$E$12+1,1))</f>
        <v>140.9558843244115</v>
      </c>
      <c r="CE75" s="59">
        <f t="shared" si="94"/>
        <v>158.88947216184619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11.189334898133295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11.189334898133295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8.8662500000000044</v>
      </c>
      <c r="CT75" s="12">
        <f>IF('Données projet'!$A$140&gt;35,CT74+CS75-DB74,IF(A75&lt;'Données projet'!$A$140,$CQ$205^A75,IF(A75='Données projet'!$A$140,'Données projet'!$B$140,CT74+CS75-DB74)))</f>
        <v>268.24750000000012</v>
      </c>
      <c r="CU75" s="17">
        <f>CT75*VLOOKUP('Données projet'!$B$13,Paramètres!$A$1:$I$89,3,0)*VLOOKUP('Données projet'!$B$13,Paramètres!$A$1:$I$89,5,0)</f>
        <v>259.44898200000011</v>
      </c>
      <c r="CV75" s="13">
        <f t="shared" si="95"/>
        <v>62.604908687011665</v>
      </c>
      <c r="CW75" s="20">
        <f t="shared" si="67"/>
        <v>560.91052627987881</v>
      </c>
      <c r="CX75" s="59">
        <f t="shared" si="68"/>
        <v>854.24385961321218</v>
      </c>
      <c r="CY75" s="59">
        <f ca="1">AVERAGE(OFFSET($CX$3,0,0,'Données projet'!$E$13+1,1))-AVERAGE(OFFSET($H$3,0,0,'Données projet'!$E$13+1,1))</f>
        <v>467.11196088914556</v>
      </c>
      <c r="CZ75" s="59">
        <f t="shared" si="96"/>
        <v>208.53783609106262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23.386366359138886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23.386366359138886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8.8662500000000044</v>
      </c>
      <c r="DO75" s="12">
        <f>IF('Données projet'!$A$166&gt;35,DO74+DN75-DW74,IF(A75&lt;'Données projet'!$A$166,$DL$205^A75,IF(A75='Données projet'!$A$166,'Données projet'!$B$166,DO74+DN75-DW74)))</f>
        <v>268.24750000000012</v>
      </c>
      <c r="DP75" s="17">
        <f>DO75*VLOOKUP('Données projet'!$B$14,Paramètres!$A$1:$I$89,3,0)*VLOOKUP('Données projet'!$B$14,Paramètres!$A$1:$I$89,5,0)</f>
        <v>288.7416090000001</v>
      </c>
      <c r="DQ75" s="13">
        <f t="shared" si="97"/>
        <v>68.811043868300743</v>
      </c>
      <c r="DR75" s="20">
        <f t="shared" si="70"/>
        <v>622.73753707895719</v>
      </c>
      <c r="DS75" s="59">
        <f t="shared" si="71"/>
        <v>916.07087041229056</v>
      </c>
      <c r="DT75" s="59">
        <f ca="1">AVERAGE(OFFSET($DS$3,0,0,'Données projet'!$E$14+1,1))-AVERAGE(OFFSET($H$3,0,0,'Données projet'!$E$14+1,1))</f>
        <v>531.65020827367698</v>
      </c>
      <c r="DU75" s="59">
        <f t="shared" si="98"/>
        <v>235.89413420278396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26.026762560977151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26.026762560977151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42.13559999999999</v>
      </c>
      <c r="D76" s="11">
        <f t="shared" si="86"/>
        <v>12.562963053733787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422.23452181829589</v>
      </c>
      <c r="H76" s="67">
        <f t="shared" si="56"/>
        <v>388.5999973185863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263.70144450000009</v>
      </c>
      <c r="P76" s="13">
        <f t="shared" si="87"/>
        <v>63.510726054410156</v>
      </c>
      <c r="Q76" s="20">
        <f t="shared" si="54"/>
        <v>569.89453038226452</v>
      </c>
      <c r="R76" s="59">
        <f t="shared" si="55"/>
        <v>863.22786371559778</v>
      </c>
      <c r="S76" s="59">
        <f ca="1">AVERAGE(OFFSET($R$3,0,0,'Données projet'!$E$9+1,1))-AVERAGE(OFFSET($H$3,0,0,'Données projet'!$E$9+1,1))</f>
        <v>457.88065872594228</v>
      </c>
      <c r="T76" s="59">
        <f t="shared" si="88"/>
        <v>204.62439362068329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22.557971172996481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22.557971172996481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835.81946947680444</v>
      </c>
      <c r="AN76" s="59">
        <f ca="1">AVERAGE(OFFSET($AM$3,0,0,'Données projet'!$E$10+1,1))-AVERAGE(OFFSET($H$3,0,0,'Données projet'!$E$10+1,1))</f>
        <v>430.16825592717629</v>
      </c>
      <c r="AO76" s="59">
        <f t="shared" si="90"/>
        <v>192.87542067077248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8.4087499999999977</v>
      </c>
      <c r="BD76" s="12">
        <f>IF('Données projet'!$A$88&gt;35,BD75+BC76-BL75,IF(A76&lt;'Données projet'!$A$88,$BA$205^A76,IF(A76='Données projet'!$A$88,'Données projet'!$B$88,BD75+BC76-BL75)))</f>
        <v>225.08250000000015</v>
      </c>
      <c r="BE76" s="13">
        <f>BD76*VLOOKUP('Données projet'!$B$11,Paramètres!$A$1:$I$89,3,0)*VLOOKUP('Données projet'!$B$11,Paramètres!$A$1:$I$89,5,0)</f>
        <v>189.60949800000014</v>
      </c>
      <c r="BF76" s="13">
        <f t="shared" si="91"/>
        <v>47.453608068490468</v>
      </c>
      <c r="BG76" s="20">
        <f t="shared" si="61"/>
        <v>412.88490973595452</v>
      </c>
      <c r="BH76" s="59">
        <f t="shared" si="62"/>
        <v>706.21824306928784</v>
      </c>
      <c r="BI76" s="59">
        <f ca="1">AVERAGE(OFFSET($BH$3,0,0,'Données projet'!$E$11+1,1))-AVERAGE(OFFSET($H$3,0,0,'Données projet'!$E$11+1,1))</f>
        <v>243.94505553629301</v>
      </c>
      <c r="BJ76" s="59">
        <f t="shared" si="92"/>
        <v>173.05364940250229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17.567442394654865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17.567442394654865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</v>
      </c>
      <c r="BY76" s="12">
        <f>IF('Données projet'!$A$114&gt;35,BY75+BX76-CG75,IF(A76&lt;'Données projet'!$A$114,$BV$205^A76,IF(A76='Données projet'!$A$114,'Données projet'!$B$114,BY75+BX76-CG75)))</f>
        <v>200.00000000000011</v>
      </c>
      <c r="BZ76" s="13">
        <f>BY76*VLOOKUP('Données projet'!$B$12,Paramètres!$A$1:$I$89,3,0)*VLOOKUP('Données projet'!$B$12,Paramètres!$A$1:$I$89,5,0)</f>
        <v>131.04000000000008</v>
      </c>
      <c r="CA76" s="13">
        <f t="shared" si="93"/>
        <v>34.236561238949918</v>
      </c>
      <c r="CB76" s="20">
        <f t="shared" si="64"/>
        <v>287.85667749117118</v>
      </c>
      <c r="CC76" s="59">
        <f t="shared" si="65"/>
        <v>581.1900108245045</v>
      </c>
      <c r="CD76" s="59">
        <f ca="1">AVERAGE(OFFSET($CC$3,0,0,'Données projet'!$E$12+1,1))-AVERAGE(OFFSET($H$3,0,0,'Données projet'!$E$12+1,1))</f>
        <v>140.9558843244115</v>
      </c>
      <c r="CE76" s="59">
        <f t="shared" si="94"/>
        <v>158.88947216184619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10.969918865601294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10.969918865601294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8.8662500000000044</v>
      </c>
      <c r="CT76" s="12">
        <f>IF('Données projet'!$A$140&gt;35,CT75+CS76-DB75,IF(A76&lt;'Données projet'!$A$140,$CQ$205^A76,IF(A76='Données projet'!$A$140,'Données projet'!$B$140,CT75+CS76-DB75)))</f>
        <v>277.1137500000001</v>
      </c>
      <c r="CU76" s="17">
        <f>CT76*VLOOKUP('Données projet'!$B$13,Paramètres!$A$1:$I$89,3,0)*VLOOKUP('Données projet'!$B$13,Paramètres!$A$1:$I$89,5,0)</f>
        <v>268.02441900000014</v>
      </c>
      <c r="CV76" s="13">
        <f t="shared" si="95"/>
        <v>64.429822106997378</v>
      </c>
      <c r="CW76" s="20">
        <f t="shared" si="67"/>
        <v>579.02446992802072</v>
      </c>
      <c r="CX76" s="59">
        <f t="shared" si="68"/>
        <v>872.35780326135409</v>
      </c>
      <c r="CY76" s="59">
        <f ca="1">AVERAGE(OFFSET($CX$3,0,0,'Données projet'!$E$13+1,1))-AVERAGE(OFFSET($H$3,0,0,'Données projet'!$E$13+1,1))</f>
        <v>467.11196088914556</v>
      </c>
      <c r="CZ76" s="59">
        <f t="shared" si="96"/>
        <v>208.53783609106262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22.927773979111173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22.927773979111173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8.8662500000000044</v>
      </c>
      <c r="DO76" s="12">
        <f>IF('Données projet'!$A$166&gt;35,DO75+DN76-DW75,IF(A76&lt;'Données projet'!$A$166,$DL$205^A76,IF(A76='Données projet'!$A$166,'Données projet'!$B$166,DO75+DN76-DW75)))</f>
        <v>277.1137500000001</v>
      </c>
      <c r="DP76" s="17">
        <f>DO76*VLOOKUP('Données projet'!$B$14,Paramètres!$A$1:$I$89,3,0)*VLOOKUP('Données projet'!$B$14,Paramètres!$A$1:$I$89,5,0)</f>
        <v>298.2852405000001</v>
      </c>
      <c r="DQ76" s="13">
        <f t="shared" si="97"/>
        <v>70.816864179073477</v>
      </c>
      <c r="DR76" s="20">
        <f t="shared" si="70"/>
        <v>642.8528323160532</v>
      </c>
      <c r="DS76" s="59">
        <f t="shared" si="71"/>
        <v>936.18616564938657</v>
      </c>
      <c r="DT76" s="59">
        <f ca="1">AVERAGE(OFFSET($DS$3,0,0,'Données projet'!$E$14+1,1))-AVERAGE(OFFSET($H$3,0,0,'Données projet'!$E$14+1,1))</f>
        <v>531.65020827367698</v>
      </c>
      <c r="DU76" s="59">
        <f t="shared" si="98"/>
        <v>235.89413420278396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25.516393621914048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25.516393621914048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42.712799999999987</v>
      </c>
      <c r="D77" s="11">
        <f t="shared" si="86"/>
        <v>12.7149059147023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427.86299302577208</v>
      </c>
      <c r="H77" s="67">
        <f t="shared" si="56"/>
        <v>389.86992113477311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272.13856800000008</v>
      </c>
      <c r="P77" s="13">
        <f t="shared" si="87"/>
        <v>65.302918785776711</v>
      </c>
      <c r="Q77" s="20">
        <f t="shared" si="54"/>
        <v>587.71058948522784</v>
      </c>
      <c r="R77" s="59">
        <f t="shared" si="55"/>
        <v>881.04392281856121</v>
      </c>
      <c r="S77" s="59">
        <f ca="1">AVERAGE(OFFSET($R$3,0,0,'Données projet'!$E$9+1,1))-AVERAGE(OFFSET($H$3,0,0,'Données projet'!$E$9+1,1))</f>
        <v>457.88065872594228</v>
      </c>
      <c r="T77" s="59">
        <f t="shared" si="88"/>
        <v>204.62439362068329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34.980320993797598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34.980320993797598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852.77680215467967</v>
      </c>
      <c r="AN77" s="59">
        <f ca="1">AVERAGE(OFFSET($AM$3,0,0,'Données projet'!$E$10+1,1))-AVERAGE(OFFSET($H$3,0,0,'Données projet'!$E$10+1,1))</f>
        <v>430.16825592717629</v>
      </c>
      <c r="AO77" s="59">
        <f t="shared" si="90"/>
        <v>192.87542067077248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8.4087499999999977</v>
      </c>
      <c r="BD77" s="12">
        <f>IF('Données projet'!$A$88&gt;35,BD76+BC77-BL76,IF(A77&lt;'Données projet'!$A$88,$BA$205^A77,IF(A77='Données projet'!$A$88,'Données projet'!$B$88,BD76+BC77-BL76)))</f>
        <v>233.49125000000015</v>
      </c>
      <c r="BE77" s="13">
        <f>BD77*VLOOKUP('Données projet'!$B$11,Paramètres!$A$1:$I$89,3,0)*VLOOKUP('Données projet'!$B$11,Paramètres!$A$1:$I$89,5,0)</f>
        <v>196.69302900000017</v>
      </c>
      <c r="BF77" s="13">
        <f t="shared" si="91"/>
        <v>49.016691856527288</v>
      </c>
      <c r="BG77" s="20">
        <f t="shared" si="61"/>
        <v>427.94443049178523</v>
      </c>
      <c r="BH77" s="59">
        <f t="shared" si="62"/>
        <v>721.27776382511854</v>
      </c>
      <c r="BI77" s="59">
        <f ca="1">AVERAGE(OFFSET($BH$3,0,0,'Données projet'!$E$11+1,1))-AVERAGE(OFFSET($H$3,0,0,'Données projet'!$E$11+1,1))</f>
        <v>243.94505553629301</v>
      </c>
      <c r="BJ77" s="59">
        <f t="shared" si="92"/>
        <v>173.05364940250229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17.222955564377518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17.222955564377518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</v>
      </c>
      <c r="BY77" s="12">
        <f>IF('Données projet'!$A$114&gt;35,BY76+BX77-CG76,IF(A77&lt;'Données projet'!$A$114,$BV$205^A77,IF(A77='Données projet'!$A$114,'Données projet'!$B$114,BY76+BX77-CG76)))</f>
        <v>204.00000000000011</v>
      </c>
      <c r="BZ77" s="13">
        <f>BY77*VLOOKUP('Données projet'!$B$12,Paramètres!$A$1:$I$89,3,0)*VLOOKUP('Données projet'!$B$12,Paramètres!$A$1:$I$89,5,0)</f>
        <v>133.66080000000008</v>
      </c>
      <c r="CA77" s="13">
        <f t="shared" si="93"/>
        <v>34.840890682716747</v>
      </c>
      <c r="CB77" s="20">
        <f t="shared" si="64"/>
        <v>293.47377793906509</v>
      </c>
      <c r="CC77" s="59">
        <f t="shared" si="65"/>
        <v>586.8071112723984</v>
      </c>
      <c r="CD77" s="59">
        <f ca="1">AVERAGE(OFFSET($CC$3,0,0,'Données projet'!$E$12+1,1))-AVERAGE(OFFSET($H$3,0,0,'Données projet'!$E$12+1,1))</f>
        <v>140.9558843244115</v>
      </c>
      <c r="CE77" s="59">
        <f t="shared" si="94"/>
        <v>158.88947216184619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10.754805447636679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10.754805447636679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285.98</v>
      </c>
      <c r="CR77" s="12">
        <f>VLOOKUP(A77,'Données projet'!$A$139:$I$159,9,0)</f>
        <v>8.8662500000000044</v>
      </c>
      <c r="CS77" s="12">
        <f t="array" ref="CS77">INDEX(CR:CR,MIN(IF(ISNUMBER(CR77:CR273),ROW(CR77:CR273),"")))</f>
        <v>8.8662500000000044</v>
      </c>
      <c r="CT77" s="12">
        <f>IF('Données projet'!$A$140&gt;35,CT76+CS77-DB76,IF(A77&lt;'Données projet'!$A$140,$CQ$205^A77,IF(A77='Données projet'!$A$140,'Données projet'!$B$140,CT76+CS77-DB76)))</f>
        <v>285.98000000000008</v>
      </c>
      <c r="CU77" s="17">
        <f>CT77*VLOOKUP('Données projet'!$B$13,Paramètres!$A$1:$I$89,3,0)*VLOOKUP('Données projet'!$B$13,Paramètres!$A$1:$I$89,5,0)</f>
        <v>276.59985600000005</v>
      </c>
      <c r="CV77" s="13">
        <f t="shared" si="95"/>
        <v>66.247950571856578</v>
      </c>
      <c r="CW77" s="20">
        <f t="shared" si="67"/>
        <v>597.12659644598352</v>
      </c>
      <c r="CX77" s="59">
        <f t="shared" si="68"/>
        <v>890.45992977931678</v>
      </c>
      <c r="CY77" s="59">
        <f ca="1">AVERAGE(OFFSET($CX$3,0,0,'Données projet'!$E$13+1,1))-AVERAGE(OFFSET($H$3,0,0,'Données projet'!$E$13+1,1))</f>
        <v>467.11196088914556</v>
      </c>
      <c r="CZ77" s="59">
        <f t="shared" si="96"/>
        <v>208.53783609106262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0.25800000000000001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35.553768878941817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35.553768878941817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285.98</v>
      </c>
      <c r="DM77" s="12">
        <f>VLOOKUP(A77,'Données projet'!$A$165:$I$185,9,0)</f>
        <v>8.8662500000000044</v>
      </c>
      <c r="DN77" s="12">
        <f t="array" ref="DN77">INDEX(DM:DM,MIN(IF(ISNUMBER(DM77:DM273),ROW(DM77:DM273),"")))</f>
        <v>8.8662500000000044</v>
      </c>
      <c r="DO77" s="12">
        <f>IF('Données projet'!$A$166&gt;35,DO76+DN77-DW76,IF(A77&lt;'Données projet'!$A$166,$DL$205^A77,IF(A77='Données projet'!$A$166,'Données projet'!$B$166,DO76+DN77-DW76)))</f>
        <v>285.98000000000008</v>
      </c>
      <c r="DP77" s="17">
        <f>DO77*VLOOKUP('Données projet'!$B$14,Paramètres!$A$1:$I$89,3,0)*VLOOKUP('Données projet'!$B$14,Paramètres!$A$1:$I$89,5,0)</f>
        <v>307.82887200000005</v>
      </c>
      <c r="DQ77" s="13">
        <f t="shared" si="97"/>
        <v>72.81522693013352</v>
      </c>
      <c r="DR77" s="20">
        <f t="shared" si="70"/>
        <v>662.95513896998261</v>
      </c>
      <c r="DS77" s="59">
        <f t="shared" si="71"/>
        <v>956.28847230331598</v>
      </c>
      <c r="DT77" s="59">
        <f ca="1">AVERAGE(OFFSET($DS$3,0,0,'Données projet'!$E$14+1,1))-AVERAGE(OFFSET($H$3,0,0,'Données projet'!$E$14+1,1))</f>
        <v>531.65020827367698</v>
      </c>
      <c r="DU77" s="59">
        <f t="shared" si="98"/>
        <v>235.89413420278396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47.4</v>
      </c>
      <c r="DX77" s="16">
        <f>IF(ISNA(VLOOKUP(A77,'Données projet'!$A$165:$I$185,5,0)),0%,VLOOKUP(A77,'Données projet'!$A$165:$I$185,5,0)*VLOOKUP('Données projet'!$B$14,Paramètres!$A$1:$I$89,7,0))</f>
        <v>0.25800000000000001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39.567904074951372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39.567904074951372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43.289999999999985</v>
      </c>
      <c r="D78" s="11">
        <f t="shared" si="86"/>
        <v>12.866609953844339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433.48962069634217</v>
      </c>
      <c r="H78" s="67">
        <f t="shared" si="56"/>
        <v>391.13942900294552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235.28976120000007</v>
      </c>
      <c r="P78" s="13">
        <f t="shared" si="87"/>
        <v>57.424933541731441</v>
      </c>
      <c r="Q78" s="20">
        <f t="shared" si="54"/>
        <v>509.81142667518242</v>
      </c>
      <c r="R78" s="59">
        <f t="shared" si="55"/>
        <v>803.14476000851573</v>
      </c>
      <c r="S78" s="59">
        <f ca="1">AVERAGE(OFFSET($R$3,0,0,'Données projet'!$E$9+1,1))-AVERAGE(OFFSET($H$3,0,0,'Données projet'!$E$9+1,1))</f>
        <v>457.88065872594228</v>
      </c>
      <c r="T78" s="59">
        <f t="shared" si="88"/>
        <v>204.62439362068329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34.294378234998291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34.294378234998291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778.63193832862021</v>
      </c>
      <c r="AN78" s="59">
        <f ca="1">AVERAGE(OFFSET($AM$3,0,0,'Données projet'!$E$10+1,1))-AVERAGE(OFFSET($H$3,0,0,'Données projet'!$E$10+1,1))</f>
        <v>430.16825592717629</v>
      </c>
      <c r="AO78" s="59">
        <f t="shared" si="90"/>
        <v>192.87542067077248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241.9</v>
      </c>
      <c r="BB78" s="12">
        <f>VLOOKUP(A78,'Données projet'!$A$87:$I$107,9,0)</f>
        <v>8.4087499999999977</v>
      </c>
      <c r="BC78" s="12">
        <f t="array" ref="BC78">INDEX(BB:BB,MIN(IF(ISNUMBER(BB78:BB274),ROW(BB78:BB274),"")))</f>
        <v>8.4087499999999977</v>
      </c>
      <c r="BD78" s="12">
        <f>IF('Données projet'!$A$88&gt;35,BD77+BC78-BL77,IF(A78&lt;'Données projet'!$A$88,$BA$205^A78,IF(A78='Données projet'!$A$88,'Données projet'!$B$88,BD77+BC78-BL77)))</f>
        <v>241.90000000000015</v>
      </c>
      <c r="BE78" s="13">
        <f>BD78*VLOOKUP('Données projet'!$B$11,Paramètres!$A$1:$I$89,3,0)*VLOOKUP('Données projet'!$B$11,Paramètres!$A$1:$I$89,5,0)</f>
        <v>203.77656000000016</v>
      </c>
      <c r="BF78" s="13">
        <f t="shared" si="91"/>
        <v>50.573235530903794</v>
      </c>
      <c r="BG78" s="20">
        <f t="shared" si="61"/>
        <v>442.99256054965764</v>
      </c>
      <c r="BH78" s="59">
        <f t="shared" si="62"/>
        <v>736.32589388299095</v>
      </c>
      <c r="BI78" s="59">
        <f ca="1">AVERAGE(OFFSET($BH$3,0,0,'Données projet'!$E$11+1,1))-AVERAGE(OFFSET($H$3,0,0,'Données projet'!$E$11+1,1))</f>
        <v>243.94505553629301</v>
      </c>
      <c r="BJ78" s="59">
        <f t="shared" si="92"/>
        <v>173.05364940250229</v>
      </c>
      <c r="BK78" s="15">
        <f>IF(ISNA(VLOOKUP(A78,'Données projet'!$A$87:$I$107,3,0)),0,VLOOKUP(A78,'Données projet'!$A$87:$I$107,3,0))</f>
        <v>6</v>
      </c>
      <c r="BL78" s="15">
        <f>IF(ISNA(VLOOKUP(A78,'Données projet'!$A$87:$I$107,4,0)),0,VLOOKUP(A78,'Données projet'!$A$87:$I$107,4,0))</f>
        <v>38.909999999999997</v>
      </c>
      <c r="BM78" s="16">
        <f>IF(ISNA(VLOOKUP(A78,'Données projet'!$A$87:$I$107,5,0)),0%,VLOOKUP(A78,'Données projet'!$A$87:$I$107,5,0)*VLOOKUP('Données projet'!$B$11,Paramètres!$A$1:$I$89,7,0))</f>
        <v>0.25800000000000001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26.233820194957786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26.233820194957786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208</v>
      </c>
      <c r="BW78" s="12">
        <f>VLOOKUP(A78,'Données projet'!$A$113:$I$133,9,0)</f>
        <v>4</v>
      </c>
      <c r="BX78" s="12">
        <f t="array" ref="BX78">INDEX(BW:BW,MIN(IF(ISNUMBER(BW78:BW274),ROW(BW78:BW274),"")))</f>
        <v>4</v>
      </c>
      <c r="BY78" s="12">
        <f>IF('Données projet'!$A$114&gt;35,BY77+BX78-CG77,IF(A78&lt;'Données projet'!$A$114,$BV$205^A78,IF(A78='Données projet'!$A$114,'Données projet'!$B$114,BY77+BX78-CG77)))</f>
        <v>208.00000000000011</v>
      </c>
      <c r="BZ78" s="13">
        <f>BY78*VLOOKUP('Données projet'!$B$12,Paramètres!$A$1:$I$89,3,0)*VLOOKUP('Données projet'!$B$12,Paramètres!$A$1:$I$89,5,0)</f>
        <v>136.28160000000008</v>
      </c>
      <c r="CA78" s="13">
        <f t="shared" si="93"/>
        <v>35.443842312892279</v>
      </c>
      <c r="CB78" s="20">
        <f t="shared" si="64"/>
        <v>299.08847869495418</v>
      </c>
      <c r="CC78" s="59">
        <f t="shared" si="65"/>
        <v>592.42181202828749</v>
      </c>
      <c r="CD78" s="59">
        <f ca="1">AVERAGE(OFFSET($CC$3,0,0,'Données projet'!$E$12+1,1))-AVERAGE(OFFSET($H$3,0,0,'Données projet'!$E$12+1,1))</f>
        <v>140.9558843244115</v>
      </c>
      <c r="CE78" s="59">
        <f t="shared" si="94"/>
        <v>158.88947216184619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16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13.533837979933836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13.533837979933836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8.6770000000000014</v>
      </c>
      <c r="CT78" s="12">
        <f>IF('Données projet'!$A$140&gt;35,CT77+CS78-DB77,IF(A78&lt;'Données projet'!$A$140,$CQ$205^A78,IF(A78='Données projet'!$A$140,'Données projet'!$B$140,CT77+CS78-DB77)))</f>
        <v>247.25700000000009</v>
      </c>
      <c r="CU78" s="17">
        <f>CT78*VLOOKUP('Données projet'!$B$13,Paramètres!$A$1:$I$89,3,0)*VLOOKUP('Données projet'!$B$13,Paramètres!$A$1:$I$89,5,0)</f>
        <v>239.1469704000001</v>
      </c>
      <c r="CV78" s="13">
        <f t="shared" si="95"/>
        <v>58.255958992346976</v>
      </c>
      <c r="CW78" s="20">
        <f t="shared" si="67"/>
        <v>517.97676869167117</v>
      </c>
      <c r="CX78" s="59">
        <f t="shared" si="68"/>
        <v>811.31010202500443</v>
      </c>
      <c r="CY78" s="59">
        <f ca="1">AVERAGE(OFFSET($CX$3,0,0,'Données projet'!$E$13+1,1))-AVERAGE(OFFSET($H$3,0,0,'Données projet'!$E$13+1,1))</f>
        <v>467.11196088914556</v>
      </c>
      <c r="CZ78" s="59">
        <f t="shared" si="96"/>
        <v>208.53783609106262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34.8565811568835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34.8565811568835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8.6770000000000014</v>
      </c>
      <c r="DO78" s="12">
        <f>IF('Données projet'!$A$166&gt;35,DO77+DN78-DW77,IF(A78&lt;'Données projet'!$A$166,$DL$205^A78,IF(A78='Données projet'!$A$166,'Données projet'!$B$166,DO77+DN78-DW77)))</f>
        <v>247.25700000000009</v>
      </c>
      <c r="DP78" s="17">
        <f>DO78*VLOOKUP('Données projet'!$B$14,Paramètres!$A$1:$I$89,3,0)*VLOOKUP('Données projet'!$B$14,Paramètres!$A$1:$I$89,5,0)</f>
        <v>266.1474348000001</v>
      </c>
      <c r="DQ78" s="13">
        <f t="shared" si="97"/>
        <v>64.03097510856955</v>
      </c>
      <c r="DR78" s="20">
        <f t="shared" si="70"/>
        <v>575.06073059075879</v>
      </c>
      <c r="DS78" s="59">
        <f t="shared" si="71"/>
        <v>868.39406392409205</v>
      </c>
      <c r="DT78" s="59">
        <f ca="1">AVERAGE(OFFSET($DS$3,0,0,'Données projet'!$E$14+1,1))-AVERAGE(OFFSET($H$3,0,0,'Données projet'!$E$14+1,1))</f>
        <v>531.65020827367698</v>
      </c>
      <c r="DU78" s="59">
        <f t="shared" si="98"/>
        <v>235.89413420278396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38.792001610080021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38.792001610080021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43.867199999999983</v>
      </c>
      <c r="D79" s="11">
        <f t="shared" si="86"/>
        <v>13.018078723556957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439.1144322520185</v>
      </c>
      <c r="H79" s="67">
        <f t="shared" si="56"/>
        <v>392.408527110195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243.54679440000007</v>
      </c>
      <c r="P79" s="13">
        <f t="shared" si="87"/>
        <v>59.201987807635689</v>
      </c>
      <c r="Q79" s="20">
        <f t="shared" si="54"/>
        <v>527.28746234496555</v>
      </c>
      <c r="R79" s="59">
        <f t="shared" si="55"/>
        <v>820.62079567829892</v>
      </c>
      <c r="S79" s="59">
        <f ca="1">AVERAGE(OFFSET($R$3,0,0,'Données projet'!$E$9+1,1))-AVERAGE(OFFSET($H$3,0,0,'Données projet'!$E$9+1,1))</f>
        <v>457.88065872594228</v>
      </c>
      <c r="T79" s="59">
        <f t="shared" si="88"/>
        <v>204.62439362068329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33.621886395315265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33.621886395315265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795.26582244291569</v>
      </c>
      <c r="AN79" s="59">
        <f ca="1">AVERAGE(OFFSET($AM$3,0,0,'Données projet'!$E$10+1,1))-AVERAGE(OFFSET($H$3,0,0,'Données projet'!$E$10+1,1))</f>
        <v>430.16825592717629</v>
      </c>
      <c r="AO79" s="59">
        <f t="shared" si="90"/>
        <v>192.87542067077248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8.2100000000000009</v>
      </c>
      <c r="BD79" s="12">
        <f>IF('Données projet'!$A$88&gt;35,BD78+BC79-BL78,IF(A79&lt;'Données projet'!$A$88,$BA$205^A79,IF(A79='Données projet'!$A$88,'Données projet'!$B$88,BD78+BC79-BL78)))</f>
        <v>211.20000000000016</v>
      </c>
      <c r="BE79" s="13">
        <f>BD79*VLOOKUP('Données projet'!$B$11,Paramètres!$A$1:$I$89,3,0)*VLOOKUP('Données projet'!$B$11,Paramètres!$A$1:$I$89,5,0)</f>
        <v>177.91488000000015</v>
      </c>
      <c r="BF79" s="13">
        <f t="shared" si="91"/>
        <v>44.857971269354906</v>
      </c>
      <c r="BG79" s="20">
        <f t="shared" si="61"/>
        <v>387.99604929412675</v>
      </c>
      <c r="BH79" s="59">
        <f t="shared" si="62"/>
        <v>681.32938262746006</v>
      </c>
      <c r="BI79" s="59">
        <f ca="1">AVERAGE(OFFSET($BH$3,0,0,'Données projet'!$E$11+1,1))-AVERAGE(OFFSET($H$3,0,0,'Données projet'!$E$11+1,1))</f>
        <v>243.94505553629301</v>
      </c>
      <c r="BJ79" s="59">
        <f t="shared" si="92"/>
        <v>173.05364940250229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25.719390981985011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25.719390981985011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3.8</v>
      </c>
      <c r="BY79" s="12">
        <f>IF('Données projet'!$A$114&gt;35,BY78+BX79-CG78,IF(A79&lt;'Données projet'!$A$114,$BV$205^A79,IF(A79='Données projet'!$A$114,'Données projet'!$B$114,BY78+BX79-CG78)))</f>
        <v>195.80000000000013</v>
      </c>
      <c r="BZ79" s="13">
        <f>BY79*VLOOKUP('Données projet'!$B$12,Paramètres!$A$1:$I$89,3,0)*VLOOKUP('Données projet'!$B$12,Paramètres!$A$1:$I$89,5,0)</f>
        <v>128.28816000000009</v>
      </c>
      <c r="CA79" s="13">
        <f t="shared" si="93"/>
        <v>33.600498728056088</v>
      </c>
      <c r="CB79" s="20">
        <f t="shared" si="64"/>
        <v>281.95608061803119</v>
      </c>
      <c r="CC79" s="59">
        <f t="shared" si="65"/>
        <v>575.28941395136451</v>
      </c>
      <c r="CD79" s="59">
        <f ca="1">AVERAGE(OFFSET($CC$3,0,0,'Données projet'!$E$12+1,1))-AVERAGE(OFFSET($H$3,0,0,'Données projet'!$E$12+1,1))</f>
        <v>140.9558843244115</v>
      </c>
      <c r="CE79" s="59">
        <f t="shared" si="94"/>
        <v>158.88947216184619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13.268447671973405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13.268447671973405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8.6770000000000014</v>
      </c>
      <c r="CT79" s="12">
        <f>IF('Données projet'!$A$140&gt;35,CT78+CS79-DB78,IF(A79&lt;'Données projet'!$A$140,$CQ$205^A79,IF(A79='Données projet'!$A$140,'Données projet'!$B$140,CT78+CS79-DB78)))</f>
        <v>255.93400000000008</v>
      </c>
      <c r="CU79" s="17">
        <f>CT79*VLOOKUP('Données projet'!$B$13,Paramètres!$A$1:$I$89,3,0)*VLOOKUP('Données projet'!$B$13,Paramètres!$A$1:$I$89,5,0)</f>
        <v>247.5393648000001</v>
      </c>
      <c r="CV79" s="13">
        <f t="shared" si="95"/>
        <v>60.058729915302607</v>
      </c>
      <c r="CW79" s="20">
        <f t="shared" si="67"/>
        <v>535.73334829581881</v>
      </c>
      <c r="CX79" s="59">
        <f t="shared" si="68"/>
        <v>829.06668162915207</v>
      </c>
      <c r="CY79" s="59">
        <f ca="1">AVERAGE(OFFSET($CX$3,0,0,'Données projet'!$E$13+1,1))-AVERAGE(OFFSET($H$3,0,0,'Données projet'!$E$13+1,1))</f>
        <v>467.11196088914556</v>
      </c>
      <c r="CZ79" s="59">
        <f t="shared" si="96"/>
        <v>208.53783609106262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34.173064860812232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34.173064860812232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8.6770000000000014</v>
      </c>
      <c r="DO79" s="12">
        <f>IF('Données projet'!$A$166&gt;35,DO78+DN79-DW78,IF(A79&lt;'Données projet'!$A$166,$DL$205^A79,IF(A79='Données projet'!$A$166,'Données projet'!$B$166,DO78+DN79-DW78)))</f>
        <v>255.93400000000008</v>
      </c>
      <c r="DP79" s="17">
        <f>DO79*VLOOKUP('Données projet'!$B$14,Paramètres!$A$1:$I$89,3,0)*VLOOKUP('Données projet'!$B$14,Paramètres!$A$1:$I$89,5,0)</f>
        <v>275.48735760000011</v>
      </c>
      <c r="DQ79" s="13">
        <f t="shared" si="97"/>
        <v>66.012457897469986</v>
      </c>
      <c r="DR79" s="20">
        <f t="shared" si="70"/>
        <v>594.77884532476037</v>
      </c>
      <c r="DS79" s="59">
        <f t="shared" si="71"/>
        <v>888.11217865809363</v>
      </c>
      <c r="DT79" s="59">
        <f ca="1">AVERAGE(OFFSET($DS$3,0,0,'Données projet'!$E$14+1,1))-AVERAGE(OFFSET($H$3,0,0,'Données projet'!$E$14+1,1))</f>
        <v>531.65020827367698</v>
      </c>
      <c r="DU79" s="59">
        <f t="shared" si="98"/>
        <v>235.89413420278396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38.031314119291025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38.031314119291025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44.44439999999998</v>
      </c>
      <c r="D80" s="11">
        <f t="shared" si="86"/>
        <v>13.169315677379528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444.7374543517015</v>
      </c>
      <c r="H80" s="67">
        <f t="shared" si="56"/>
        <v>393.67722147143598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251.80382760000009</v>
      </c>
      <c r="P80" s="13">
        <f t="shared" si="87"/>
        <v>60.972041614338686</v>
      </c>
      <c r="Q80" s="20">
        <f t="shared" si="54"/>
        <v>544.75130554830673</v>
      </c>
      <c r="R80" s="59">
        <f t="shared" si="55"/>
        <v>838.0846388816401</v>
      </c>
      <c r="S80" s="59">
        <f ca="1">AVERAGE(OFFSET($R$3,0,0,'Données projet'!$E$9+1,1))-AVERAGE(OFFSET($H$3,0,0,'Données projet'!$E$9+1,1))</f>
        <v>457.88065872594228</v>
      </c>
      <c r="T80" s="59">
        <f t="shared" si="88"/>
        <v>204.62439362068329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32.962581710428907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32.962581710428907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811.88804546843039</v>
      </c>
      <c r="AN80" s="59">
        <f ca="1">AVERAGE(OFFSET($AM$3,0,0,'Données projet'!$E$10+1,1))-AVERAGE(OFFSET($H$3,0,0,'Données projet'!$E$10+1,1))</f>
        <v>430.16825592717629</v>
      </c>
      <c r="AO80" s="59">
        <f t="shared" si="90"/>
        <v>192.87542067077248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8.2100000000000009</v>
      </c>
      <c r="BD80" s="12">
        <f>IF('Données projet'!$A$88&gt;35,BD79+BC80-BL79,IF(A80&lt;'Données projet'!$A$88,$BA$205^A80,IF(A80='Données projet'!$A$88,'Données projet'!$B$88,BD79+BC80-BL79)))</f>
        <v>219.41000000000017</v>
      </c>
      <c r="BE80" s="13">
        <f>BD80*VLOOKUP('Données projet'!$B$11,Paramètres!$A$1:$I$89,3,0)*VLOOKUP('Données projet'!$B$11,Paramètres!$A$1:$I$89,5,0)</f>
        <v>184.83098400000014</v>
      </c>
      <c r="BF80" s="13">
        <f t="shared" si="91"/>
        <v>46.395328769790581</v>
      </c>
      <c r="BG80" s="20">
        <f t="shared" si="61"/>
        <v>402.71916140738546</v>
      </c>
      <c r="BH80" s="59">
        <f t="shared" si="62"/>
        <v>696.05249474071877</v>
      </c>
      <c r="BI80" s="59">
        <f ca="1">AVERAGE(OFFSET($BH$3,0,0,'Données projet'!$E$11+1,1))-AVERAGE(OFFSET($H$3,0,0,'Données projet'!$E$11+1,1))</f>
        <v>243.94505553629301</v>
      </c>
      <c r="BJ80" s="59">
        <f t="shared" si="92"/>
        <v>173.05364940250229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25.215049412107795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25.215049412107795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3.8</v>
      </c>
      <c r="BY80" s="12">
        <f>IF('Données projet'!$A$114&gt;35,BY79+BX80-CG79,IF(A80&lt;'Données projet'!$A$114,$BV$205^A80,IF(A80='Données projet'!$A$114,'Données projet'!$B$114,BY79+BX80-CG79)))</f>
        <v>199.60000000000014</v>
      </c>
      <c r="BZ80" s="13">
        <f>BY80*VLOOKUP('Données projet'!$B$12,Paramètres!$A$1:$I$89,3,0)*VLOOKUP('Données projet'!$B$12,Paramètres!$A$1:$I$89,5,0)</f>
        <v>130.77792000000008</v>
      </c>
      <c r="CA80" s="13">
        <f t="shared" si="93"/>
        <v>34.176051340149542</v>
      </c>
      <c r="CB80" s="20">
        <f t="shared" si="64"/>
        <v>287.29483341742724</v>
      </c>
      <c r="CC80" s="59">
        <f t="shared" si="65"/>
        <v>580.62816675076056</v>
      </c>
      <c r="CD80" s="59">
        <f ca="1">AVERAGE(OFFSET($CC$3,0,0,'Données projet'!$E$12+1,1))-AVERAGE(OFFSET($H$3,0,0,'Données projet'!$E$12+1,1))</f>
        <v>140.9558843244115</v>
      </c>
      <c r="CE80" s="59">
        <f t="shared" si="94"/>
        <v>158.88947216184619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13.008261506079974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13.008261506079974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8.6770000000000014</v>
      </c>
      <c r="CT80" s="12">
        <f>IF('Données projet'!$A$140&gt;35,CT79+CS80-DB79,IF(A80&lt;'Données projet'!$A$140,$CQ$205^A80,IF(A80='Données projet'!$A$140,'Données projet'!$B$140,CT79+CS80-DB79)))</f>
        <v>264.6110000000001</v>
      </c>
      <c r="CU80" s="17">
        <f>CT80*VLOOKUP('Données projet'!$B$13,Paramètres!$A$1:$I$89,3,0)*VLOOKUP('Données projet'!$B$13,Paramètres!$A$1:$I$89,5,0)</f>
        <v>255.9317592000001</v>
      </c>
      <c r="CV80" s="13">
        <f t="shared" si="95"/>
        <v>61.854399071847673</v>
      </c>
      <c r="CW80" s="20">
        <f t="shared" si="67"/>
        <v>553.47755899013487</v>
      </c>
      <c r="CX80" s="59">
        <f t="shared" si="68"/>
        <v>846.81089232346812</v>
      </c>
      <c r="CY80" s="59">
        <f ca="1">AVERAGE(OFFSET($CX$3,0,0,'Données projet'!$E$13+1,1))-AVERAGE(OFFSET($H$3,0,0,'Données projet'!$E$13+1,1))</f>
        <v>467.11196088914556</v>
      </c>
      <c r="CZ80" s="59">
        <f t="shared" si="96"/>
        <v>208.53783609106262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33.50295190240314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33.50295190240314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8.6770000000000014</v>
      </c>
      <c r="DO80" s="12">
        <f>IF('Données projet'!$A$166&gt;35,DO79+DN80-DW79,IF(A80&lt;'Données projet'!$A$166,$DL$205^A80,IF(A80='Données projet'!$A$166,'Données projet'!$B$166,DO79+DN80-DW79)))</f>
        <v>264.6110000000001</v>
      </c>
      <c r="DP80" s="17">
        <f>DO80*VLOOKUP('Données projet'!$B$14,Paramètres!$A$1:$I$89,3,0)*VLOOKUP('Données projet'!$B$14,Paramètres!$A$1:$I$89,5,0)</f>
        <v>284.82728040000012</v>
      </c>
      <c r="DQ80" s="13">
        <f t="shared" si="97"/>
        <v>67.986134909311318</v>
      </c>
      <c r="DR80" s="20">
        <f t="shared" si="70"/>
        <v>614.48336499705067</v>
      </c>
      <c r="DS80" s="59">
        <f t="shared" si="71"/>
        <v>907.81669833038404</v>
      </c>
      <c r="DT80" s="59">
        <f ca="1">AVERAGE(OFFSET($DS$3,0,0,'Données projet'!$E$14+1,1))-AVERAGE(OFFSET($H$3,0,0,'Données projet'!$E$14+1,1))</f>
        <v>531.65020827367698</v>
      </c>
      <c r="DU80" s="59">
        <f t="shared" si="98"/>
        <v>235.89413420278396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37.285543246222844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37.285543246222844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45.021599999999978</v>
      </c>
      <c r="D81" s="11">
        <f t="shared" si="86"/>
        <v>13.3203241739922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450.35871292204484</v>
      </c>
      <c r="H81" s="67">
        <f t="shared" si="56"/>
        <v>394.9455179363697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260.06086080000017</v>
      </c>
      <c r="P81" s="13">
        <f t="shared" si="87"/>
        <v>62.735350842559512</v>
      </c>
      <c r="Q81" s="20">
        <f t="shared" si="54"/>
        <v>562.20340194412472</v>
      </c>
      <c r="R81" s="59">
        <f t="shared" si="55"/>
        <v>855.53673527745809</v>
      </c>
      <c r="S81" s="59">
        <f ca="1">AVERAGE(OFFSET($R$3,0,0,'Données projet'!$E$9+1,1))-AVERAGE(OFFSET($H$3,0,0,'Données projet'!$E$9+1,1))</f>
        <v>457.88065872594228</v>
      </c>
      <c r="T81" s="59">
        <f t="shared" si="88"/>
        <v>204.62439362068329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32.316205588277015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32.316205588277015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828.49903364117176</v>
      </c>
      <c r="AN81" s="59">
        <f ca="1">AVERAGE(OFFSET($AM$3,0,0,'Données projet'!$E$10+1,1))-AVERAGE(OFFSET($H$3,0,0,'Données projet'!$E$10+1,1))</f>
        <v>430.16825592717629</v>
      </c>
      <c r="AO81" s="59">
        <f t="shared" si="90"/>
        <v>192.87542067077248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8.2100000000000009</v>
      </c>
      <c r="BD81" s="12">
        <f>IF('Données projet'!$A$88&gt;35,BD80+BC81-BL80,IF(A81&lt;'Données projet'!$A$88,$BA$205^A81,IF(A81='Données projet'!$A$88,'Données projet'!$B$88,BD80+BC81-BL80)))</f>
        <v>227.62000000000018</v>
      </c>
      <c r="BE81" s="13">
        <f>BD81*VLOOKUP('Données projet'!$B$11,Paramètres!$A$1:$I$89,3,0)*VLOOKUP('Données projet'!$B$11,Paramètres!$A$1:$I$89,5,0)</f>
        <v>191.74708800000016</v>
      </c>
      <c r="BF81" s="13">
        <f t="shared" si="91"/>
        <v>47.926003197206867</v>
      </c>
      <c r="BG81" s="20">
        <f t="shared" si="61"/>
        <v>417.43063383513555</v>
      </c>
      <c r="BH81" s="59">
        <f t="shared" si="62"/>
        <v>710.76396716846887</v>
      </c>
      <c r="BI81" s="59">
        <f ca="1">AVERAGE(OFFSET($BH$3,0,0,'Données projet'!$E$11+1,1))-AVERAGE(OFFSET($H$3,0,0,'Données projet'!$E$11+1,1))</f>
        <v>243.94505553629301</v>
      </c>
      <c r="BJ81" s="59">
        <f t="shared" si="92"/>
        <v>173.05364940250229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24.720597672797886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24.720597672797886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3.8</v>
      </c>
      <c r="BY81" s="12">
        <f>IF('Données projet'!$A$114&gt;35,BY80+BX81-CG80,IF(A81&lt;'Données projet'!$A$114,$BV$205^A81,IF(A81='Données projet'!$A$114,'Données projet'!$B$114,BY80+BX81-CG80)))</f>
        <v>203.40000000000015</v>
      </c>
      <c r="BZ81" s="13">
        <f>BY81*VLOOKUP('Données projet'!$B$12,Paramètres!$A$1:$I$89,3,0)*VLOOKUP('Données projet'!$B$12,Paramètres!$A$1:$I$89,5,0)</f>
        <v>133.2676800000001</v>
      </c>
      <c r="CA81" s="13">
        <f t="shared" si="93"/>
        <v>34.750329840004937</v>
      </c>
      <c r="CB81" s="20">
        <f t="shared" si="64"/>
        <v>292.63136713800878</v>
      </c>
      <c r="CC81" s="59">
        <f t="shared" si="65"/>
        <v>585.9647004713421</v>
      </c>
      <c r="CD81" s="59">
        <f ca="1">AVERAGE(OFFSET($CC$3,0,0,'Données projet'!$E$12+1,1))-AVERAGE(OFFSET($H$3,0,0,'Données projet'!$E$12+1,1))</f>
        <v>140.9558843244115</v>
      </c>
      <c r="CE81" s="59">
        <f t="shared" si="94"/>
        <v>158.88947216184619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12.753177432201822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12.753177432201822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8.6770000000000014</v>
      </c>
      <c r="CT81" s="12">
        <f>IF('Données projet'!$A$140&gt;35,CT80+CS81-DB80,IF(A81&lt;'Données projet'!$A$140,$CQ$205^A81,IF(A81='Données projet'!$A$140,'Données projet'!$B$140,CT80+CS81-DB80)))</f>
        <v>273.28800000000012</v>
      </c>
      <c r="CU81" s="17">
        <f>CT81*VLOOKUP('Données projet'!$B$13,Paramètres!$A$1:$I$89,3,0)*VLOOKUP('Données projet'!$B$13,Paramètres!$A$1:$I$89,5,0)</f>
        <v>264.32415360000016</v>
      </c>
      <c r="CV81" s="13">
        <f t="shared" si="95"/>
        <v>63.643226045681423</v>
      </c>
      <c r="CW81" s="20">
        <f t="shared" si="67"/>
        <v>571.20985288289546</v>
      </c>
      <c r="CX81" s="59">
        <f t="shared" si="68"/>
        <v>864.54318621622883</v>
      </c>
      <c r="CY81" s="59">
        <f ca="1">AVERAGE(OFFSET($CX$3,0,0,'Données projet'!$E$13+1,1))-AVERAGE(OFFSET($H$3,0,0,'Données projet'!$E$13+1,1))</f>
        <v>467.11196088914556</v>
      </c>
      <c r="CZ81" s="59">
        <f t="shared" si="96"/>
        <v>208.53783609106262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32.845979450379907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32.845979450379907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8.6770000000000014</v>
      </c>
      <c r="DO81" s="12">
        <f>IF('Données projet'!$A$166&gt;35,DO80+DN81-DW80,IF(A81&lt;'Données projet'!$A$166,$DL$205^A81,IF(A81='Données projet'!$A$166,'Données projet'!$B$166,DO80+DN81-DW80)))</f>
        <v>273.28800000000012</v>
      </c>
      <c r="DP81" s="17">
        <f>DO81*VLOOKUP('Données projet'!$B$14,Paramètres!$A$1:$I$89,3,0)*VLOOKUP('Données projet'!$B$14,Paramètres!$A$1:$I$89,5,0)</f>
        <v>294.16720320000013</v>
      </c>
      <c r="DQ81" s="13">
        <f t="shared" si="97"/>
        <v>69.9522914607833</v>
      </c>
      <c r="DR81" s="20">
        <f t="shared" si="70"/>
        <v>634.17478653419778</v>
      </c>
      <c r="DS81" s="59">
        <f t="shared" si="71"/>
        <v>927.50811986753115</v>
      </c>
      <c r="DT81" s="59">
        <f ca="1">AVERAGE(OFFSET($DS$3,0,0,'Données projet'!$E$14+1,1))-AVERAGE(OFFSET($H$3,0,0,'Données projet'!$E$14+1,1))</f>
        <v>531.65020827367698</v>
      </c>
      <c r="DU81" s="59">
        <f t="shared" si="98"/>
        <v>235.89413420278396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36.554396485100213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36.554396485100213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45.598799999999976</v>
      </c>
      <c r="D82" s="11">
        <f t="shared" si="86"/>
        <v>13.471107481003459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455.97823318669322</v>
      </c>
      <c r="H82" s="67">
        <f t="shared" si="56"/>
        <v>396.21342219608096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268.31789400000014</v>
      </c>
      <c r="P82" s="13">
        <f t="shared" si="87"/>
        <v>64.492154201698639</v>
      </c>
      <c r="Q82" s="20">
        <f t="shared" si="54"/>
        <v>579.6441672846255</v>
      </c>
      <c r="R82" s="59">
        <f t="shared" si="55"/>
        <v>872.97750061795887</v>
      </c>
      <c r="S82" s="59">
        <f ca="1">AVERAGE(OFFSET($R$3,0,0,'Données projet'!$E$9+1,1))-AVERAGE(OFFSET($H$3,0,0,'Données projet'!$E$9+1,1))</f>
        <v>457.88065872594228</v>
      </c>
      <c r="T82" s="59">
        <f t="shared" si="88"/>
        <v>204.62439362068329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31.682504507630018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31.682504507630018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845.09918459384244</v>
      </c>
      <c r="AN82" s="59">
        <f ca="1">AVERAGE(OFFSET($AM$3,0,0,'Données projet'!$E$10+1,1))-AVERAGE(OFFSET($H$3,0,0,'Données projet'!$E$10+1,1))</f>
        <v>430.16825592717629</v>
      </c>
      <c r="AO82" s="59">
        <f t="shared" si="90"/>
        <v>192.87542067077248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8.2100000000000009</v>
      </c>
      <c r="BD82" s="12">
        <f>IF('Données projet'!$A$88&gt;35,BD81+BC82-BL81,IF(A82&lt;'Données projet'!$A$88,$BA$205^A82,IF(A82='Données projet'!$A$88,'Données projet'!$B$88,BD81+BC82-BL81)))</f>
        <v>235.83000000000018</v>
      </c>
      <c r="BE82" s="13">
        <f>BD82*VLOOKUP('Données projet'!$B$11,Paramètres!$A$1:$I$89,3,0)*VLOOKUP('Données projet'!$B$11,Paramètres!$A$1:$I$89,5,0)</f>
        <v>198.66319200000018</v>
      </c>
      <c r="BF82" s="13">
        <f t="shared" si="91"/>
        <v>49.450263215298527</v>
      </c>
      <c r="BG82" s="20">
        <f t="shared" si="61"/>
        <v>432.13093449997854</v>
      </c>
      <c r="BH82" s="59">
        <f t="shared" si="62"/>
        <v>725.46426783331185</v>
      </c>
      <c r="BI82" s="59">
        <f ca="1">AVERAGE(OFFSET($BH$3,0,0,'Données projet'!$E$11+1,1))-AVERAGE(OFFSET($H$3,0,0,'Données projet'!$E$11+1,1))</f>
        <v>243.94505553629301</v>
      </c>
      <c r="BJ82" s="59">
        <f t="shared" si="92"/>
        <v>173.05364940250229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24.235841830510065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24.235841830510065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3.8</v>
      </c>
      <c r="BY82" s="12">
        <f>IF('Données projet'!$A$114&gt;35,BY81+BX82-CG81,IF(A82&lt;'Données projet'!$A$114,$BV$205^A82,IF(A82='Données projet'!$A$114,'Données projet'!$B$114,BY81+BX82-CG81)))</f>
        <v>207.20000000000016</v>
      </c>
      <c r="BZ82" s="13">
        <f>BY82*VLOOKUP('Données projet'!$B$12,Paramètres!$A$1:$I$89,3,0)*VLOOKUP('Données projet'!$B$12,Paramètres!$A$1:$I$89,5,0)</f>
        <v>135.75744000000009</v>
      </c>
      <c r="CA82" s="13">
        <f t="shared" si="93"/>
        <v>35.323360776061499</v>
      </c>
      <c r="CB82" s="20">
        <f t="shared" si="64"/>
        <v>297.96572801830723</v>
      </c>
      <c r="CC82" s="59">
        <f t="shared" si="65"/>
        <v>591.2990613516406</v>
      </c>
      <c r="CD82" s="59">
        <f ca="1">AVERAGE(OFFSET($CC$3,0,0,'Données projet'!$E$12+1,1))-AVERAGE(OFFSET($H$3,0,0,'Données projet'!$E$12+1,1))</f>
        <v>140.9558843244115</v>
      </c>
      <c r="CE82" s="59">
        <f t="shared" si="94"/>
        <v>158.88947216184619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12.503095401426497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12.503095401426497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8.6770000000000014</v>
      </c>
      <c r="CT82" s="12">
        <f>IF('Données projet'!$A$140&gt;35,CT81+CS82-DB81,IF(A82&lt;'Données projet'!$A$140,$CQ$205^A82,IF(A82='Données projet'!$A$140,'Données projet'!$B$140,CT81+CS82-DB81)))</f>
        <v>281.96500000000015</v>
      </c>
      <c r="CU82" s="17">
        <f>CT82*VLOOKUP('Données projet'!$B$13,Paramètres!$A$1:$I$89,3,0)*VLOOKUP('Données projet'!$B$13,Paramètres!$A$1:$I$89,5,0)</f>
        <v>272.71654800000016</v>
      </c>
      <c r="CV82" s="13">
        <f t="shared" si="95"/>
        <v>65.425453000689586</v>
      </c>
      <c r="CW82" s="20">
        <f t="shared" si="67"/>
        <v>588.93065174286789</v>
      </c>
      <c r="CX82" s="59">
        <f t="shared" si="68"/>
        <v>882.26398507620115</v>
      </c>
      <c r="CY82" s="59">
        <f ca="1">AVERAGE(OFFSET($CX$3,0,0,'Données projet'!$E$13+1,1))-AVERAGE(OFFSET($H$3,0,0,'Données projet'!$E$13+1,1))</f>
        <v>467.11196088914556</v>
      </c>
      <c r="CZ82" s="59">
        <f t="shared" si="96"/>
        <v>208.53783609106262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32.201889827427223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32.201889827427223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8.6770000000000014</v>
      </c>
      <c r="DO82" s="12">
        <f>IF('Données projet'!$A$166&gt;35,DO81+DN82-DW81,IF(A82&lt;'Données projet'!$A$166,$DL$205^A82,IF(A82='Données projet'!$A$166,'Données projet'!$B$166,DO81+DN82-DW81)))</f>
        <v>281.96500000000015</v>
      </c>
      <c r="DP82" s="17">
        <f>DO82*VLOOKUP('Données projet'!$B$14,Paramètres!$A$1:$I$89,3,0)*VLOOKUP('Données projet'!$B$14,Paramètres!$A$1:$I$89,5,0)</f>
        <v>303.50712600000014</v>
      </c>
      <c r="DQ82" s="13">
        <f t="shared" si="97"/>
        <v>71.911193721905491</v>
      </c>
      <c r="DR82" s="20">
        <f t="shared" si="70"/>
        <v>653.85357351565222</v>
      </c>
      <c r="DS82" s="59">
        <f t="shared" si="71"/>
        <v>947.18690684898547</v>
      </c>
      <c r="DT82" s="59">
        <f ca="1">AVERAGE(OFFSET($DS$3,0,0,'Données projet'!$E$14+1,1))-AVERAGE(OFFSET($H$3,0,0,'Données projet'!$E$14+1,1))</f>
        <v>531.65020827367698</v>
      </c>
      <c r="DU82" s="59">
        <f t="shared" si="98"/>
        <v>235.89413420278396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35.837587066007707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35.837587066007707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46.175999999999974</v>
      </c>
      <c r="D83" s="11">
        <f t="shared" si="86"/>
        <v>13.621668778540482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461.59603969399654</v>
      </c>
      <c r="H83" s="67">
        <f t="shared" si="56"/>
        <v>397.48093978929126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276.57492720000016</v>
      </c>
      <c r="P83" s="13">
        <f t="shared" si="87"/>
        <v>66.242674874712534</v>
      </c>
      <c r="Q83" s="20">
        <f t="shared" si="54"/>
        <v>597.07399028012458</v>
      </c>
      <c r="R83" s="59">
        <f t="shared" si="55"/>
        <v>890.40732361345795</v>
      </c>
      <c r="S83" s="59">
        <f ca="1">AVERAGE(OFFSET($R$3,0,0,'Données projet'!$E$9+1,1))-AVERAGE(OFFSET($H$3,0,0,'Données projet'!$E$9+1,1))</f>
        <v>457.88065872594228</v>
      </c>
      <c r="T83" s="59">
        <f t="shared" si="88"/>
        <v>204.62439362068329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31.061229918655016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31.061229918655016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861.68887009580749</v>
      </c>
      <c r="AN83" s="59">
        <f ca="1">AVERAGE(OFFSET($AM$3,0,0,'Données projet'!$E$10+1,1))-AVERAGE(OFFSET($H$3,0,0,'Données projet'!$E$10+1,1))</f>
        <v>430.16825592717629</v>
      </c>
      <c r="AO83" s="59">
        <f t="shared" si="90"/>
        <v>192.87542067077248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8.2100000000000009</v>
      </c>
      <c r="BD83" s="12">
        <f>IF('Données projet'!$A$88&gt;35,BD82+BC83-BL82,IF(A83&lt;'Données projet'!$A$88,$BA$205^A83,IF(A83='Données projet'!$A$88,'Données projet'!$B$88,BD82+BC83-BL82)))</f>
        <v>244.04000000000019</v>
      </c>
      <c r="BE83" s="13">
        <f>BD83*VLOOKUP('Données projet'!$B$11,Paramètres!$A$1:$I$89,3,0)*VLOOKUP('Données projet'!$B$11,Paramètres!$A$1:$I$89,5,0)</f>
        <v>205.57929600000017</v>
      </c>
      <c r="BF83" s="13">
        <f t="shared" si="91"/>
        <v>50.968357720865512</v>
      </c>
      <c r="BG83" s="20">
        <f t="shared" si="61"/>
        <v>446.82049689717434</v>
      </c>
      <c r="BH83" s="59">
        <f t="shared" si="62"/>
        <v>740.15383023050765</v>
      </c>
      <c r="BI83" s="59">
        <f ca="1">AVERAGE(OFFSET($BH$3,0,0,'Données projet'!$E$11+1,1))-AVERAGE(OFFSET($H$3,0,0,'Données projet'!$E$11+1,1))</f>
        <v>243.94505553629301</v>
      </c>
      <c r="BJ83" s="59">
        <f t="shared" si="92"/>
        <v>173.05364940250229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23.760591754617639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23.760591754617639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211</v>
      </c>
      <c r="BW83" s="12">
        <f>VLOOKUP(A83,'Données projet'!$A$113:$I$133,9,0)</f>
        <v>3.8</v>
      </c>
      <c r="BX83" s="12">
        <f t="array" ref="BX83">INDEX(BW:BW,MIN(IF(ISNUMBER(BW83:BW279),ROW(BW83:BW279),"")))</f>
        <v>3.8</v>
      </c>
      <c r="BY83" s="12">
        <f>IF('Données projet'!$A$114&gt;35,BY82+BX83-CG82,IF(A83&lt;'Données projet'!$A$114,$BV$205^A83,IF(A83='Données projet'!$A$114,'Données projet'!$B$114,BY82+BX83-CG82)))</f>
        <v>211.00000000000017</v>
      </c>
      <c r="BZ83" s="13">
        <f>BY83*VLOOKUP('Données projet'!$B$12,Paramètres!$A$1:$I$89,3,0)*VLOOKUP('Données projet'!$B$12,Paramètres!$A$1:$I$89,5,0)</f>
        <v>138.24720000000011</v>
      </c>
      <c r="CA83" s="13">
        <f t="shared" si="93"/>
        <v>35.895169667226</v>
      </c>
      <c r="CB83" s="20">
        <f t="shared" si="64"/>
        <v>303.29796050375211</v>
      </c>
      <c r="CC83" s="59">
        <f t="shared" si="65"/>
        <v>596.63129383708542</v>
      </c>
      <c r="CD83" s="59">
        <f ca="1">AVERAGE(OFFSET($CC$3,0,0,'Données projet'!$E$12+1,1))-AVERAGE(OFFSET($H$3,0,0,'Données projet'!$E$12+1,1))</f>
        <v>140.9558843244115</v>
      </c>
      <c r="CE83" s="59">
        <f t="shared" si="94"/>
        <v>158.88947216184619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15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15.060974552372558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15.060974552372558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8.6770000000000014</v>
      </c>
      <c r="CT83" s="12">
        <f>IF('Données projet'!$A$140&gt;35,CT82+CS83-DB82,IF(A83&lt;'Données projet'!$A$140,$CQ$205^A83,IF(A83='Données projet'!$A$140,'Données projet'!$B$140,CT82+CS83-DB82)))</f>
        <v>290.64200000000017</v>
      </c>
      <c r="CU83" s="17">
        <f>CT83*VLOOKUP('Données projet'!$B$13,Paramètres!$A$1:$I$89,3,0)*VLOOKUP('Données projet'!$B$13,Paramètres!$A$1:$I$89,5,0)</f>
        <v>281.10894240000016</v>
      </c>
      <c r="CV83" s="13">
        <f t="shared" si="95"/>
        <v>67.20130634962284</v>
      </c>
      <c r="CW83" s="20">
        <f t="shared" si="67"/>
        <v>606.64034990559333</v>
      </c>
      <c r="CX83" s="59">
        <f t="shared" si="68"/>
        <v>899.9736832389267</v>
      </c>
      <c r="CY83" s="59">
        <f ca="1">AVERAGE(OFFSET($CX$3,0,0,'Données projet'!$E$13+1,1))-AVERAGE(OFFSET($H$3,0,0,'Données projet'!$E$13+1,1))</f>
        <v>467.11196088914556</v>
      </c>
      <c r="CZ83" s="59">
        <f t="shared" si="96"/>
        <v>208.53783609106262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31.570430409124761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31.570430409124761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8.6770000000000014</v>
      </c>
      <c r="DO83" s="12">
        <f>IF('Données projet'!$A$166&gt;35,DO82+DN83-DW82,IF(A83&lt;'Données projet'!$A$166,$DL$205^A83,IF(A83='Données projet'!$A$166,'Données projet'!$B$166,DO82+DN83-DW82)))</f>
        <v>290.64200000000017</v>
      </c>
      <c r="DP83" s="17">
        <f>DO83*VLOOKUP('Données projet'!$B$14,Paramètres!$A$1:$I$89,3,0)*VLOOKUP('Données projet'!$B$14,Paramètres!$A$1:$I$89,5,0)</f>
        <v>312.84704880000015</v>
      </c>
      <c r="DQ83" s="13">
        <f t="shared" si="97"/>
        <v>73.863090550124298</v>
      </c>
      <c r="DR83" s="20">
        <f t="shared" si="70"/>
        <v>673.52015936813336</v>
      </c>
      <c r="DS83" s="59">
        <f t="shared" si="71"/>
        <v>966.85349270146662</v>
      </c>
      <c r="DT83" s="59">
        <f ca="1">AVERAGE(OFFSET($DS$3,0,0,'Données projet'!$E$14+1,1))-AVERAGE(OFFSET($H$3,0,0,'Données projet'!$E$14+1,1))</f>
        <v>531.65020827367698</v>
      </c>
      <c r="DU83" s="59">
        <f t="shared" si="98"/>
        <v>235.89413420278396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35.13483384241303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35.13483384241303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46.753199999999971</v>
      </c>
      <c r="D84" s="11">
        <f t="shared" si="86"/>
        <v>13.772011162654831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467.21215634330019</v>
      </c>
      <c r="H84" s="67">
        <f t="shared" si="56"/>
        <v>398.74807610829043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284.83196040000018</v>
      </c>
      <c r="P84" s="13">
        <f t="shared" si="87"/>
        <v>67.987121961040245</v>
      </c>
      <c r="Q84" s="20">
        <f t="shared" si="54"/>
        <v>614.49323511214538</v>
      </c>
      <c r="R84" s="59">
        <f t="shared" si="55"/>
        <v>907.82656844547864</v>
      </c>
      <c r="S84" s="59">
        <f ca="1">AVERAGE(OFFSET($R$3,0,0,'Données projet'!$E$9+1,1))-AVERAGE(OFFSET($H$3,0,0,'Données projet'!$E$9+1,1))</f>
        <v>457.88065872594228</v>
      </c>
      <c r="T84" s="59">
        <f t="shared" si="88"/>
        <v>204.62439362068329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30.452138145429732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30.452138145429732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878.26843845666349</v>
      </c>
      <c r="AN84" s="59">
        <f ca="1">AVERAGE(OFFSET($AM$3,0,0,'Données projet'!$E$10+1,1))-AVERAGE(OFFSET($H$3,0,0,'Données projet'!$E$10+1,1))</f>
        <v>430.16825592717629</v>
      </c>
      <c r="AO84" s="59">
        <f t="shared" si="90"/>
        <v>192.87542067077248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8.2100000000000009</v>
      </c>
      <c r="BD84" s="12">
        <f>IF('Données projet'!$A$88&gt;35,BD83+BC84-BL83,IF(A84&lt;'Données projet'!$A$88,$BA$205^A84,IF(A84='Données projet'!$A$88,'Données projet'!$B$88,BD83+BC84-BL83)))</f>
        <v>252.2500000000002</v>
      </c>
      <c r="BE84" s="13">
        <f>BD84*VLOOKUP('Données projet'!$B$11,Paramètres!$A$1:$I$89,3,0)*VLOOKUP('Données projet'!$B$11,Paramètres!$A$1:$I$89,5,0)</f>
        <v>212.49540000000019</v>
      </c>
      <c r="BF84" s="13">
        <f t="shared" si="91"/>
        <v>52.480517913758362</v>
      </c>
      <c r="BG84" s="20">
        <f t="shared" si="61"/>
        <v>461.49972369979611</v>
      </c>
      <c r="BH84" s="59">
        <f t="shared" si="62"/>
        <v>754.83305703312942</v>
      </c>
      <c r="BI84" s="59">
        <f ca="1">AVERAGE(OFFSET($BH$3,0,0,'Données projet'!$E$11+1,1))-AVERAGE(OFFSET($H$3,0,0,'Données projet'!$E$11+1,1))</f>
        <v>243.94505553629301</v>
      </c>
      <c r="BJ84" s="59">
        <f t="shared" si="92"/>
        <v>173.05364940250229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23.29466104283954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23.29466104283954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3.6</v>
      </c>
      <c r="BY84" s="12">
        <f>IF('Données projet'!$A$114&gt;35,BY83+BX84-CG83,IF(A84&lt;'Données projet'!$A$114,$BV$205^A84,IF(A84='Données projet'!$A$114,'Données projet'!$B$114,BY83+BX84-CG83)))</f>
        <v>199.60000000000016</v>
      </c>
      <c r="BZ84" s="13">
        <f>BY84*VLOOKUP('Données projet'!$B$12,Paramètres!$A$1:$I$89,3,0)*VLOOKUP('Données projet'!$B$12,Paramètres!$A$1:$I$89,5,0)</f>
        <v>130.77792000000011</v>
      </c>
      <c r="CA84" s="13">
        <f t="shared" si="93"/>
        <v>34.176051340149542</v>
      </c>
      <c r="CB84" s="20">
        <f t="shared" si="64"/>
        <v>287.2948334174273</v>
      </c>
      <c r="CC84" s="59">
        <f t="shared" si="65"/>
        <v>580.62816675076056</v>
      </c>
      <c r="CD84" s="59">
        <f ca="1">AVERAGE(OFFSET($CC$3,0,0,'Données projet'!$E$12+1,1))-AVERAGE(OFFSET($H$3,0,0,'Données projet'!$E$12+1,1))</f>
        <v>140.9558843244115</v>
      </c>
      <c r="CE84" s="59">
        <f t="shared" si="94"/>
        <v>158.88947216184619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14.765638027687938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14.765638027687938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8.6770000000000014</v>
      </c>
      <c r="CT84" s="12">
        <f>IF('Données projet'!$A$140&gt;35,CT83+CS84-DB83,IF(A84&lt;'Données projet'!$A$140,$CQ$205^A84,IF(A84='Données projet'!$A$140,'Données projet'!$B$140,CT83+CS84-DB83)))</f>
        <v>299.31900000000019</v>
      </c>
      <c r="CU84" s="17">
        <f>CT84*VLOOKUP('Données projet'!$B$13,Paramètres!$A$1:$I$89,3,0)*VLOOKUP('Données projet'!$B$13,Paramètres!$A$1:$I$89,5,0)</f>
        <v>289.50133680000016</v>
      </c>
      <c r="CV84" s="13">
        <f t="shared" si="95"/>
        <v>68.970998217904651</v>
      </c>
      <c r="CW84" s="20">
        <f t="shared" si="67"/>
        <v>624.33931682285095</v>
      </c>
      <c r="CX84" s="59">
        <f t="shared" si="68"/>
        <v>917.67265015618432</v>
      </c>
      <c r="CY84" s="59">
        <f ca="1">AVERAGE(OFFSET($CX$3,0,0,'Données projet'!$E$13+1,1))-AVERAGE(OFFSET($H$3,0,0,'Données projet'!$E$13+1,1))</f>
        <v>467.11196088914556</v>
      </c>
      <c r="CZ84" s="59">
        <f t="shared" si="96"/>
        <v>208.53783609106262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30.951353524862995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30.951353524862995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8.6770000000000014</v>
      </c>
      <c r="DO84" s="12">
        <f>IF('Données projet'!$A$166&gt;35,DO83+DN84-DW83,IF(A84&lt;'Données projet'!$A$166,$DL$205^A84,IF(A84='Données projet'!$A$166,'Données projet'!$B$166,DO83+DN84-DW83)))</f>
        <v>299.31900000000019</v>
      </c>
      <c r="DP84" s="17">
        <f>DO84*VLOOKUP('Données projet'!$B$14,Paramètres!$A$1:$I$89,3,0)*VLOOKUP('Données projet'!$B$14,Paramètres!$A$1:$I$89,5,0)</f>
        <v>322.18697160000022</v>
      </c>
      <c r="DQ84" s="13">
        <f t="shared" si="97"/>
        <v>75.808215099231475</v>
      </c>
      <c r="DR84" s="20">
        <f t="shared" si="70"/>
        <v>693.17495016782834</v>
      </c>
      <c r="DS84" s="59">
        <f t="shared" si="71"/>
        <v>986.50828350116171</v>
      </c>
      <c r="DT84" s="59">
        <f ca="1">AVERAGE(OFFSET($DS$3,0,0,'Données projet'!$E$14+1,1))-AVERAGE(OFFSET($H$3,0,0,'Données projet'!$E$14+1,1))</f>
        <v>531.65020827367698</v>
      </c>
      <c r="DU84" s="59">
        <f t="shared" si="98"/>
        <v>235.89413420278396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34.445861180895903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34.445861180895903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47.330399999999969</v>
      </c>
      <c r="D85" s="11">
        <f t="shared" si="86"/>
        <v>13.922137648555204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472.82660640989963</v>
      </c>
      <c r="H85" s="67">
        <f t="shared" si="56"/>
        <v>400.01483640456689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293.08899360000021</v>
      </c>
      <c r="P85" s="13">
        <f t="shared" si="87"/>
        <v>69.725691747511789</v>
      </c>
      <c r="Q85" s="20">
        <f t="shared" si="54"/>
        <v>631.90224364691676</v>
      </c>
      <c r="R85" s="59">
        <f t="shared" si="55"/>
        <v>925.23557698025002</v>
      </c>
      <c r="S85" s="59">
        <f ca="1">AVERAGE(OFFSET($R$3,0,0,'Données projet'!$E$9+1,1))-AVERAGE(OFFSET($H$3,0,0,'Données projet'!$E$9+1,1))</f>
        <v>457.88065872594228</v>
      </c>
      <c r="T85" s="59">
        <f t="shared" si="88"/>
        <v>204.62439362068329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29.854990290368097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29.854990290368097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894.83821664326888</v>
      </c>
      <c r="AN85" s="59">
        <f ca="1">AVERAGE(OFFSET($AM$3,0,0,'Données projet'!$E$10+1,1))-AVERAGE(OFFSET($H$3,0,0,'Données projet'!$E$10+1,1))</f>
        <v>430.16825592717629</v>
      </c>
      <c r="AO85" s="59">
        <f t="shared" si="90"/>
        <v>192.87542067077248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8.2100000000000009</v>
      </c>
      <c r="BD85" s="12">
        <f>IF('Données projet'!$A$88&gt;35,BD84+BC85-BL84,IF(A85&lt;'Données projet'!$A$88,$BA$205^A85,IF(A85='Données projet'!$A$88,'Données projet'!$B$88,BD84+BC85-BL84)))</f>
        <v>260.46000000000021</v>
      </c>
      <c r="BE85" s="13">
        <f>BD85*VLOOKUP('Données projet'!$B$11,Paramètres!$A$1:$I$89,3,0)*VLOOKUP('Données projet'!$B$11,Paramètres!$A$1:$I$89,5,0)</f>
        <v>219.41150400000021</v>
      </c>
      <c r="BF85" s="13">
        <f t="shared" si="91"/>
        <v>53.986959089771062</v>
      </c>
      <c r="BG85" s="20">
        <f t="shared" si="61"/>
        <v>476.16898988135159</v>
      </c>
      <c r="BH85" s="59">
        <f t="shared" si="62"/>
        <v>769.50232321468491</v>
      </c>
      <c r="BI85" s="59">
        <f ca="1">AVERAGE(OFFSET($BH$3,0,0,'Données projet'!$E$11+1,1))-AVERAGE(OFFSET($H$3,0,0,'Données projet'!$E$11+1,1))</f>
        <v>243.94505553629301</v>
      </c>
      <c r="BJ85" s="59">
        <f t="shared" si="92"/>
        <v>173.05364940250229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22.837866948129736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22.837866948129736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3.6</v>
      </c>
      <c r="BY85" s="12">
        <f>IF('Données projet'!$A$114&gt;35,BY84+BX85-CG84,IF(A85&lt;'Données projet'!$A$114,$BV$205^A85,IF(A85='Données projet'!$A$114,'Données projet'!$B$114,BY84+BX85-CG84)))</f>
        <v>203.20000000000016</v>
      </c>
      <c r="BZ85" s="13">
        <f>BY85*VLOOKUP('Données projet'!$B$12,Paramètres!$A$1:$I$89,3,0)*VLOOKUP('Données projet'!$B$12,Paramètres!$A$1:$I$89,5,0)</f>
        <v>133.13664000000011</v>
      </c>
      <c r="CA85" s="13">
        <f t="shared" si="93"/>
        <v>34.720135986247172</v>
      </c>
      <c r="CB85" s="20">
        <f t="shared" si="64"/>
        <v>292.35055150938069</v>
      </c>
      <c r="CC85" s="59">
        <f t="shared" si="65"/>
        <v>585.68388484271395</v>
      </c>
      <c r="CD85" s="59">
        <f ca="1">AVERAGE(OFFSET($CC$3,0,0,'Données projet'!$E$12+1,1))-AVERAGE(OFFSET($H$3,0,0,'Données projet'!$E$12+1,1))</f>
        <v>140.9558843244115</v>
      </c>
      <c r="CE85" s="59">
        <f t="shared" si="94"/>
        <v>158.88947216184619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14.476092872114892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14.476092872114892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8.6770000000000014</v>
      </c>
      <c r="CT85" s="12">
        <f>IF('Données projet'!$A$140&gt;35,CT84+CS85-DB84,IF(A85&lt;'Données projet'!$A$140,$CQ$205^A85,IF(A85='Données projet'!$A$140,'Données projet'!$B$140,CT84+CS85-DB84)))</f>
        <v>307.99600000000021</v>
      </c>
      <c r="CU85" s="17">
        <f>CT85*VLOOKUP('Données projet'!$B$13,Paramètres!$A$1:$I$89,3,0)*VLOOKUP('Données projet'!$B$13,Paramètres!$A$1:$I$89,5,0)</f>
        <v>297.89373120000022</v>
      </c>
      <c r="CV85" s="13">
        <f t="shared" si="95"/>
        <v>70.734727732931788</v>
      </c>
      <c r="CW85" s="20">
        <f t="shared" si="67"/>
        <v>642.02789930818994</v>
      </c>
      <c r="CX85" s="59">
        <f t="shared" si="68"/>
        <v>935.3612326415232</v>
      </c>
      <c r="CY85" s="59">
        <f ca="1">AVERAGE(OFFSET($CX$3,0,0,'Données projet'!$E$13+1,1))-AVERAGE(OFFSET($H$3,0,0,'Données projet'!$E$13+1,1))</f>
        <v>467.11196088914556</v>
      </c>
      <c r="CZ85" s="59">
        <f t="shared" si="96"/>
        <v>208.53783609106262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30.344416360701988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30.344416360701988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8.6770000000000014</v>
      </c>
      <c r="DO85" s="12">
        <f>IF('Données projet'!$A$166&gt;35,DO84+DN85-DW84,IF(A85&lt;'Données projet'!$A$166,$DL$205^A85,IF(A85='Données projet'!$A$166,'Données projet'!$B$166,DO84+DN85-DW84)))</f>
        <v>307.99600000000021</v>
      </c>
      <c r="DP85" s="17">
        <f>DO85*VLOOKUP('Données projet'!$B$14,Paramètres!$A$1:$I$89,3,0)*VLOOKUP('Données projet'!$B$14,Paramètres!$A$1:$I$89,5,0)</f>
        <v>331.52689440000023</v>
      </c>
      <c r="DQ85" s="13">
        <f t="shared" si="97"/>
        <v>77.746786236474065</v>
      </c>
      <c r="DR85" s="20">
        <f t="shared" si="70"/>
        <v>712.81832710852598</v>
      </c>
      <c r="DS85" s="59">
        <f t="shared" si="71"/>
        <v>1006.1516604418593</v>
      </c>
      <c r="DT85" s="59">
        <f ca="1">AVERAGE(OFFSET($DS$3,0,0,'Données projet'!$E$14+1,1))-AVERAGE(OFFSET($H$3,0,0,'Données projet'!$E$14+1,1))</f>
        <v>531.65020827367698</v>
      </c>
      <c r="DU85" s="59">
        <f t="shared" si="98"/>
        <v>235.89413420278396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33.770398853039296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33.770398853039296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47.907599999999967</v>
      </c>
      <c r="D86" s="11">
        <f t="shared" si="86"/>
        <v>14.072051173677968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478.439412568742</v>
      </c>
      <c r="H86" s="67">
        <f t="shared" si="56"/>
        <v>401.28122579415572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301.34602680000023</v>
      </c>
      <c r="P86" s="13">
        <f t="shared" si="87"/>
        <v>71.45856883201175</v>
      </c>
      <c r="Q86" s="20">
        <f t="shared" si="54"/>
        <v>649.30133739242081</v>
      </c>
      <c r="R86" s="59">
        <f t="shared" si="55"/>
        <v>942.63467072575418</v>
      </c>
      <c r="S86" s="59">
        <f ca="1">AVERAGE(OFFSET($R$3,0,0,'Données projet'!$E$9+1,1))-AVERAGE(OFFSET($H$3,0,0,'Données projet'!$E$9+1,1))</f>
        <v>457.88065872594228</v>
      </c>
      <c r="T86" s="59">
        <f t="shared" si="88"/>
        <v>204.62439362068329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29.269552140519991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29.269552140519991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911.39851215149793</v>
      </c>
      <c r="AN86" s="59">
        <f ca="1">AVERAGE(OFFSET($AM$3,0,0,'Données projet'!$E$10+1,1))-AVERAGE(OFFSET($H$3,0,0,'Données projet'!$E$10+1,1))</f>
        <v>430.16825592717629</v>
      </c>
      <c r="AO86" s="59">
        <f t="shared" si="90"/>
        <v>192.87542067077248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268.67</v>
      </c>
      <c r="BB86" s="12">
        <f>VLOOKUP(A86,'Données projet'!$A$87:$I$107,9,0)</f>
        <v>8.2100000000000009</v>
      </c>
      <c r="BC86" s="12">
        <f t="array" ref="BC86">INDEX(BB:BB,MIN(IF(ISNUMBER(BB86:BB282),ROW(BB86:BB282),"")))</f>
        <v>8.2100000000000009</v>
      </c>
      <c r="BD86" s="12">
        <f>IF('Données projet'!$A$88&gt;35,BD85+BC86-BL85,IF(A86&lt;'Données projet'!$A$88,$BA$205^A86,IF(A86='Données projet'!$A$88,'Données projet'!$B$88,BD85+BC86-BL85)))</f>
        <v>268.67000000000019</v>
      </c>
      <c r="BE86" s="13">
        <f>BD86*VLOOKUP('Données projet'!$B$11,Paramètres!$A$1:$I$89,3,0)*VLOOKUP('Données projet'!$B$11,Paramètres!$A$1:$I$89,5,0)</f>
        <v>226.32760800000017</v>
      </c>
      <c r="BF86" s="13">
        <f t="shared" si="91"/>
        <v>55.487882201127306</v>
      </c>
      <c r="BG86" s="20">
        <f t="shared" si="61"/>
        <v>490.8286454336303</v>
      </c>
      <c r="BH86" s="59">
        <f t="shared" si="62"/>
        <v>784.16197876696356</v>
      </c>
      <c r="BI86" s="59">
        <f ca="1">AVERAGE(OFFSET($BH$3,0,0,'Données projet'!$E$11+1,1))-AVERAGE(OFFSET($H$3,0,0,'Données projet'!$E$11+1,1))</f>
        <v>243.94505553629301</v>
      </c>
      <c r="BJ86" s="59">
        <f t="shared" si="92"/>
        <v>173.05364940250229</v>
      </c>
      <c r="BK86" s="15">
        <f>IF(ISNA(VLOOKUP(A86,'Données projet'!$A$87:$I$107,3,0)),0,VLOOKUP(A86,'Données projet'!$A$87:$I$107,3,0))</f>
        <v>7</v>
      </c>
      <c r="BL86" s="15">
        <f>IF(ISNA(VLOOKUP(A86,'Données projet'!$A$87:$I$107,4,0)),0,VLOOKUP(A86,'Données projet'!$A$87:$I$107,4,0))</f>
        <v>44.22</v>
      </c>
      <c r="BM86" s="16">
        <f>IF(ISNA(VLOOKUP(A86,'Données projet'!$A$87:$I$107,5,0)),0%,VLOOKUP(A86,'Données projet'!$A$87:$I$107,5,0)*VLOOKUP('Données projet'!$B$11,Paramètres!$A$1:$I$89,7,0))</f>
        <v>0.25800000000000001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33.014418065641877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33.014418065641877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3.6</v>
      </c>
      <c r="BY86" s="12">
        <f>IF('Données projet'!$A$114&gt;35,BY85+BX86-CG85,IF(A86&lt;'Données projet'!$A$114,$BV$205^A86,IF(A86='Données projet'!$A$114,'Données projet'!$B$114,BY85+BX86-CG85)))</f>
        <v>206.80000000000015</v>
      </c>
      <c r="BZ86" s="13">
        <f>BY86*VLOOKUP('Données projet'!$B$12,Paramètres!$A$1:$I$89,3,0)*VLOOKUP('Données projet'!$B$12,Paramètres!$A$1:$I$89,5,0)</f>
        <v>135.49536000000012</v>
      </c>
      <c r="CA86" s="13">
        <f t="shared" si="93"/>
        <v>35.263099712541788</v>
      </c>
      <c r="CB86" s="20">
        <f t="shared" si="64"/>
        <v>297.40431733267718</v>
      </c>
      <c r="CC86" s="59">
        <f t="shared" si="65"/>
        <v>590.7376506660105</v>
      </c>
      <c r="CD86" s="59">
        <f ca="1">AVERAGE(OFFSET($CC$3,0,0,'Données projet'!$E$12+1,1))-AVERAGE(OFFSET($H$3,0,0,'Données projet'!$E$12+1,1))</f>
        <v>140.9558843244115</v>
      </c>
      <c r="CE86" s="59">
        <f t="shared" si="94"/>
        <v>158.88947216184619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14.192225520437526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14.192225520437526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8.6770000000000014</v>
      </c>
      <c r="CT86" s="12">
        <f>IF('Données projet'!$A$140&gt;35,CT85+CS86-DB85,IF(A86&lt;'Données projet'!$A$140,$CQ$205^A86,IF(A86='Données projet'!$A$140,'Données projet'!$B$140,CT85+CS86-DB85)))</f>
        <v>316.67300000000023</v>
      </c>
      <c r="CU86" s="17">
        <f>CT86*VLOOKUP('Données projet'!$B$13,Paramètres!$A$1:$I$89,3,0)*VLOOKUP('Données projet'!$B$13,Paramètres!$A$1:$I$89,5,0)</f>
        <v>306.28612560000022</v>
      </c>
      <c r="CV86" s="13">
        <f t="shared" si="95"/>
        <v>72.492682163998609</v>
      </c>
      <c r="CW86" s="20">
        <f t="shared" si="67"/>
        <v>659.70642352229788</v>
      </c>
      <c r="CX86" s="59">
        <f t="shared" si="68"/>
        <v>953.03975685563114</v>
      </c>
      <c r="CY86" s="59">
        <f ca="1">AVERAGE(OFFSET($CX$3,0,0,'Données projet'!$E$13+1,1))-AVERAGE(OFFSET($H$3,0,0,'Données projet'!$E$13+1,1))</f>
        <v>467.11196088914556</v>
      </c>
      <c r="CZ86" s="59">
        <f t="shared" si="96"/>
        <v>208.53783609106262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29.749380864135063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29.749380864135063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8.6770000000000014</v>
      </c>
      <c r="DO86" s="12">
        <f>IF('Données projet'!$A$166&gt;35,DO85+DN86-DW85,IF(A86&lt;'Données projet'!$A$166,$DL$205^A86,IF(A86='Données projet'!$A$166,'Données projet'!$B$166,DO85+DN86-DW85)))</f>
        <v>316.67300000000023</v>
      </c>
      <c r="DP86" s="17">
        <f>DO86*VLOOKUP('Données projet'!$B$14,Paramètres!$A$1:$I$89,3,0)*VLOOKUP('Données projet'!$B$14,Paramètres!$A$1:$I$89,5,0)</f>
        <v>340.86681720000024</v>
      </c>
      <c r="DQ86" s="13">
        <f t="shared" si="97"/>
        <v>79.679009795482443</v>
      </c>
      <c r="DR86" s="20">
        <f t="shared" si="70"/>
        <v>732.45064868379905</v>
      </c>
      <c r="DS86" s="59">
        <f t="shared" si="71"/>
        <v>1025.7839820171323</v>
      </c>
      <c r="DT86" s="59">
        <f ca="1">AVERAGE(OFFSET($DS$3,0,0,'Données projet'!$E$14+1,1))-AVERAGE(OFFSET($H$3,0,0,'Données projet'!$E$14+1,1))</f>
        <v>531.65020827367698</v>
      </c>
      <c r="DU86" s="59">
        <f t="shared" si="98"/>
        <v>235.89413420278396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33.108181929440619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33.108181929440619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48.484799999999964</v>
      </c>
      <c r="D87" s="11">
        <f t="shared" si="86"/>
        <v>14.22175460060549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484.05059691695442</v>
      </c>
      <c r="H87" s="67">
        <f t="shared" si="56"/>
        <v>402.54724926272115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309.60306000000026</v>
      </c>
      <c r="P87" s="13">
        <f t="shared" si="87"/>
        <v>73.185927120523928</v>
      </c>
      <c r="Q87" s="20">
        <f t="shared" si="54"/>
        <v>666.69081923491296</v>
      </c>
      <c r="R87" s="59">
        <f t="shared" si="55"/>
        <v>960.02415256824634</v>
      </c>
      <c r="S87" s="59">
        <f ca="1">AVERAGE(OFFSET($R$3,0,0,'Données projet'!$E$9+1,1))-AVERAGE(OFFSET($H$3,0,0,'Données projet'!$E$9+1,1))</f>
        <v>457.88065872594228</v>
      </c>
      <c r="T87" s="59">
        <f t="shared" si="88"/>
        <v>204.62439362068329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45.378990245928641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45.378990245928641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927.94961466707764</v>
      </c>
      <c r="AN87" s="59">
        <f ca="1">AVERAGE(OFFSET($AM$3,0,0,'Données projet'!$E$10+1,1))-AVERAGE(OFFSET($H$3,0,0,'Données projet'!$E$10+1,1))</f>
        <v>430.16825592717629</v>
      </c>
      <c r="AO87" s="59">
        <f t="shared" si="90"/>
        <v>192.87542067077248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7.9879999999999969</v>
      </c>
      <c r="BD87" s="12">
        <f>IF('Données projet'!$A$88&gt;35,BD86+BC87-BL86,IF(A87&lt;'Données projet'!$A$88,$BA$205^A87,IF(A87='Données projet'!$A$88,'Données projet'!$B$88,BD86+BC87-BL86)))</f>
        <v>232.43800000000019</v>
      </c>
      <c r="BE87" s="13">
        <f>BD87*VLOOKUP('Données projet'!$B$11,Paramètres!$A$1:$I$89,3,0)*VLOOKUP('Données projet'!$B$11,Paramètres!$A$1:$I$89,5,0)</f>
        <v>195.80577120000018</v>
      </c>
      <c r="BF87" s="13">
        <f t="shared" si="91"/>
        <v>48.821269270689932</v>
      </c>
      <c r="BG87" s="20">
        <f t="shared" si="61"/>
        <v>426.05876215311855</v>
      </c>
      <c r="BH87" s="59">
        <f t="shared" si="62"/>
        <v>719.39209548645181</v>
      </c>
      <c r="BI87" s="59">
        <f ca="1">AVERAGE(OFFSET($BH$3,0,0,'Données projet'!$E$11+1,1))-AVERAGE(OFFSET($H$3,0,0,'Données projet'!$E$11+1,1))</f>
        <v>243.94505553629301</v>
      </c>
      <c r="BJ87" s="59">
        <f t="shared" si="92"/>
        <v>173.05364940250229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32.367025464181317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32.367025464181317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3.6</v>
      </c>
      <c r="BY87" s="12">
        <f>IF('Données projet'!$A$114&gt;35,BY86+BX87-CG86,IF(A87&lt;'Données projet'!$A$114,$BV$205^A87,IF(A87='Données projet'!$A$114,'Données projet'!$B$114,BY86+BX87-CG86)))</f>
        <v>210.40000000000015</v>
      </c>
      <c r="BZ87" s="13">
        <f>BY87*VLOOKUP('Données projet'!$B$12,Paramètres!$A$1:$I$89,3,0)*VLOOKUP('Données projet'!$B$12,Paramètres!$A$1:$I$89,5,0)</f>
        <v>137.8540800000001</v>
      </c>
      <c r="CA87" s="13">
        <f t="shared" si="93"/>
        <v>35.804964283629992</v>
      </c>
      <c r="CB87" s="20">
        <f t="shared" si="64"/>
        <v>302.45616879398909</v>
      </c>
      <c r="CC87" s="59">
        <f t="shared" si="65"/>
        <v>595.78950212732241</v>
      </c>
      <c r="CD87" s="59">
        <f ca="1">AVERAGE(OFFSET($CC$3,0,0,'Données projet'!$E$12+1,1))-AVERAGE(OFFSET($H$3,0,0,'Données projet'!$E$12+1,1))</f>
        <v>140.9558843244115</v>
      </c>
      <c r="CE87" s="59">
        <f t="shared" si="94"/>
        <v>158.88947216184619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13.913924634384566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13.913924634384566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325.35000000000002</v>
      </c>
      <c r="CR87" s="12">
        <f>VLOOKUP(A87,'Données projet'!$A$139:$I$159,9,0)</f>
        <v>8.6770000000000014</v>
      </c>
      <c r="CS87" s="12">
        <f t="array" ref="CS87">INDEX(CR:CR,MIN(IF(ISNUMBER(CR87:CR283),ROW(CR87:CR283),"")))</f>
        <v>8.6770000000000014</v>
      </c>
      <c r="CT87" s="12">
        <f>IF('Données projet'!$A$140&gt;35,CT86+CS87-DB86,IF(A87&lt;'Données projet'!$A$140,$CQ$205^A87,IF(A87='Données projet'!$A$140,'Données projet'!$B$140,CT86+CS87-DB86)))</f>
        <v>325.35000000000025</v>
      </c>
      <c r="CU87" s="17">
        <f>CT87*VLOOKUP('Données projet'!$B$13,Paramètres!$A$1:$I$89,3,0)*VLOOKUP('Données projet'!$B$13,Paramètres!$A$1:$I$89,5,0)</f>
        <v>314.67852000000028</v>
      </c>
      <c r="CV87" s="13">
        <f t="shared" si="95"/>
        <v>74.245037933771187</v>
      </c>
      <c r="CW87" s="20">
        <f t="shared" si="67"/>
        <v>677.37519673465192</v>
      </c>
      <c r="CX87" s="59">
        <f t="shared" si="68"/>
        <v>970.70853006798529</v>
      </c>
      <c r="CY87" s="59">
        <f ca="1">AVERAGE(OFFSET($CX$3,0,0,'Données projet'!$E$13+1,1))-AVERAGE(OFFSET($H$3,0,0,'Données projet'!$E$13+1,1))</f>
        <v>467.11196088914556</v>
      </c>
      <c r="CZ87" s="59">
        <f t="shared" si="96"/>
        <v>208.53783609106262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0.25800000000000001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46.12290811881271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46.12290811881271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325.35000000000002</v>
      </c>
      <c r="DM87" s="12">
        <f>VLOOKUP(A87,'Données projet'!$A$165:$I$185,9,0)</f>
        <v>8.6770000000000014</v>
      </c>
      <c r="DN87" s="12">
        <f t="array" ref="DN87">INDEX(DM:DM,MIN(IF(ISNUMBER(DM87:DM283),ROW(DM87:DM283),"")))</f>
        <v>8.6770000000000014</v>
      </c>
      <c r="DO87" s="12">
        <f>IF('Données projet'!$A$166&gt;35,DO86+DN87-DW86,IF(A87&lt;'Données projet'!$A$166,$DL$205^A87,IF(A87='Données projet'!$A$166,'Données projet'!$B$166,DO86+DN87-DW86)))</f>
        <v>325.35000000000025</v>
      </c>
      <c r="DP87" s="17">
        <f>DO87*VLOOKUP('Données projet'!$B$14,Paramètres!$A$1:$I$89,3,0)*VLOOKUP('Données projet'!$B$14,Paramètres!$A$1:$I$89,5,0)</f>
        <v>350.20674000000025</v>
      </c>
      <c r="DQ87" s="13">
        <f t="shared" si="97"/>
        <v>81.605079688013205</v>
      </c>
      <c r="DR87" s="20">
        <f t="shared" si="70"/>
        <v>752.07225262328996</v>
      </c>
      <c r="DS87" s="59">
        <f t="shared" si="71"/>
        <v>1045.4055859566233</v>
      </c>
      <c r="DT87" s="59">
        <f ca="1">AVERAGE(OFFSET($DS$3,0,0,'Données projet'!$E$14+1,1))-AVERAGE(OFFSET($H$3,0,0,'Données projet'!$E$14+1,1))</f>
        <v>531.65020827367698</v>
      </c>
      <c r="DU87" s="59">
        <f t="shared" si="98"/>
        <v>235.89413420278396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61.47</v>
      </c>
      <c r="DX87" s="16">
        <f>IF(ISNA(VLOOKUP(A87,'Données projet'!$A$165:$I$185,5,0)),0%,VLOOKUP(A87,'Données projet'!$A$165:$I$185,5,0)*VLOOKUP('Données projet'!$B$14,Paramètres!$A$1:$I$89,7,0))</f>
        <v>0.25800000000000001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51.330333229001226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51.330333229001226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49.061999999999962</v>
      </c>
      <c r="D88" s="11">
        <f t="shared" si="86"/>
        <v>14.371250719841598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489.66018099526826</v>
      </c>
      <c r="H88" s="67">
        <f t="shared" si="56"/>
        <v>403.81291167039069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258.99792360000026</v>
      </c>
      <c r="P88" s="13">
        <f t="shared" si="87"/>
        <v>62.508727780336244</v>
      </c>
      <c r="Q88" s="20">
        <f t="shared" si="54"/>
        <v>559.95741782075277</v>
      </c>
      <c r="R88" s="59">
        <f t="shared" si="55"/>
        <v>853.29075115408614</v>
      </c>
      <c r="S88" s="59">
        <f ca="1">AVERAGE(OFFSET($R$3,0,0,'Données projet'!$E$9+1,1))-AVERAGE(OFFSET($H$3,0,0,'Données projet'!$E$9+1,1))</f>
        <v>457.88065872594228</v>
      </c>
      <c r="T88" s="59">
        <f t="shared" si="88"/>
        <v>204.62439362068329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44.48913592565701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44.48913592565701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826.36129826402475</v>
      </c>
      <c r="AN88" s="59">
        <f ca="1">AVERAGE(OFFSET($AM$3,0,0,'Données projet'!$E$10+1,1))-AVERAGE(OFFSET($H$3,0,0,'Données projet'!$E$10+1,1))</f>
        <v>430.16825592717629</v>
      </c>
      <c r="AO88" s="59">
        <f t="shared" si="90"/>
        <v>192.87542067077248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7.9879999999999969</v>
      </c>
      <c r="BD88" s="12">
        <f>IF('Données projet'!$A$88&gt;35,BD87+BC88-BL87,IF(A88&lt;'Données projet'!$A$88,$BA$205^A88,IF(A88='Données projet'!$A$88,'Données projet'!$B$88,BD87+BC88-BL87)))</f>
        <v>240.42600000000019</v>
      </c>
      <c r="BE88" s="13">
        <f>BD88*VLOOKUP('Données projet'!$B$11,Paramètres!$A$1:$I$89,3,0)*VLOOKUP('Données projet'!$B$11,Paramètres!$A$1:$I$89,5,0)</f>
        <v>202.53486240000018</v>
      </c>
      <c r="BF88" s="13">
        <f t="shared" si="91"/>
        <v>50.300844751824435</v>
      </c>
      <c r="BG88" s="20">
        <f t="shared" si="61"/>
        <v>440.35552328942782</v>
      </c>
      <c r="BH88" s="59">
        <f t="shared" si="62"/>
        <v>733.68885662276114</v>
      </c>
      <c r="BI88" s="59">
        <f ca="1">AVERAGE(OFFSET($BH$3,0,0,'Données projet'!$E$11+1,1))-AVERAGE(OFFSET($H$3,0,0,'Données projet'!$E$11+1,1))</f>
        <v>243.94505553629301</v>
      </c>
      <c r="BJ88" s="59">
        <f t="shared" si="92"/>
        <v>173.05364940250229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31.732327836764899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31.732327836764899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214</v>
      </c>
      <c r="BW88" s="12">
        <f>VLOOKUP(A88,'Données projet'!$A$113:$I$133,9,0)</f>
        <v>3.6</v>
      </c>
      <c r="BX88" s="12">
        <f t="array" ref="BX88">INDEX(BW:BW,MIN(IF(ISNUMBER(BW88:BW284),ROW(BW88:BW284),"")))</f>
        <v>3.6</v>
      </c>
      <c r="BY88" s="12">
        <f>IF('Données projet'!$A$114&gt;35,BY87+BX88-CG87,IF(A88&lt;'Données projet'!$A$114,$BV$205^A88,IF(A88='Données projet'!$A$114,'Données projet'!$B$114,BY87+BX88-CG87)))</f>
        <v>214.00000000000014</v>
      </c>
      <c r="BZ88" s="13">
        <f>BY88*VLOOKUP('Données projet'!$B$12,Paramètres!$A$1:$I$89,3,0)*VLOOKUP('Données projet'!$B$12,Paramètres!$A$1:$I$89,5,0)</f>
        <v>140.21280000000007</v>
      </c>
      <c r="CA88" s="13">
        <f t="shared" si="93"/>
        <v>36.345750676634587</v>
      </c>
      <c r="CB88" s="20">
        <f t="shared" si="64"/>
        <v>307.50614242847206</v>
      </c>
      <c r="CC88" s="59">
        <f t="shared" si="65"/>
        <v>600.83947576180537</v>
      </c>
      <c r="CD88" s="59">
        <f ca="1">AVERAGE(OFFSET($CC$3,0,0,'Données projet'!$E$12+1,1))-AVERAGE(OFFSET($H$3,0,0,'Données projet'!$E$12+1,1))</f>
        <v>140.9558843244115</v>
      </c>
      <c r="CE88" s="59">
        <f t="shared" si="94"/>
        <v>158.88947216184619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16.257267802884325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16.257267802884325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8.2910000000000021</v>
      </c>
      <c r="CT88" s="12">
        <f>IF('Données projet'!$A$140&gt;35,CT87+CS88-DB87,IF(A88&lt;'Données projet'!$A$140,$CQ$205^A88,IF(A88='Données projet'!$A$140,'Données projet'!$B$140,CT87+CS88-DB87)))</f>
        <v>272.17100000000028</v>
      </c>
      <c r="CU88" s="17">
        <f>CT88*VLOOKUP('Données projet'!$B$13,Paramètres!$A$1:$I$89,3,0)*VLOOKUP('Données projet'!$B$13,Paramètres!$A$1:$I$89,5,0)</f>
        <v>263.24379120000026</v>
      </c>
      <c r="CV88" s="13">
        <f t="shared" si="95"/>
        <v>63.413323405741842</v>
      </c>
      <c r="CW88" s="20">
        <f t="shared" si="67"/>
        <v>568.92780793833413</v>
      </c>
      <c r="CX88" s="59">
        <f t="shared" si="68"/>
        <v>862.26114127166738</v>
      </c>
      <c r="CY88" s="59">
        <f ca="1">AVERAGE(OFFSET($CX$3,0,0,'Données projet'!$E$13+1,1))-AVERAGE(OFFSET($H$3,0,0,'Données projet'!$E$13+1,1))</f>
        <v>467.11196088914556</v>
      </c>
      <c r="CZ88" s="59">
        <f t="shared" si="96"/>
        <v>208.53783609106262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45.218466022798921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45.218466022798921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8.2910000000000021</v>
      </c>
      <c r="DO88" s="12">
        <f>IF('Données projet'!$A$166&gt;35,DO87+DN88-DW87,IF(A88&lt;'Données projet'!$A$166,$DL$205^A88,IF(A88='Données projet'!$A$166,'Données projet'!$B$166,DO87+DN88-DW87)))</f>
        <v>272.17100000000028</v>
      </c>
      <c r="DP88" s="17">
        <f>DO88*VLOOKUP('Données projet'!$B$14,Paramètres!$A$1:$I$89,3,0)*VLOOKUP('Données projet'!$B$14,Paramètres!$A$1:$I$89,5,0)</f>
        <v>292.96486440000029</v>
      </c>
      <c r="DQ88" s="13">
        <f t="shared" si="97"/>
        <v>69.699598166054386</v>
      </c>
      <c r="DR88" s="20">
        <f t="shared" si="70"/>
        <v>631.64060563587861</v>
      </c>
      <c r="DS88" s="59">
        <f t="shared" si="71"/>
        <v>924.97393896921199</v>
      </c>
      <c r="DT88" s="59">
        <f ca="1">AVERAGE(OFFSET($DS$3,0,0,'Données projet'!$E$14+1,1))-AVERAGE(OFFSET($H$3,0,0,'Données projet'!$E$14+1,1))</f>
        <v>531.65020827367698</v>
      </c>
      <c r="DU88" s="59">
        <f t="shared" si="98"/>
        <v>235.89413420278396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50.32377670279233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50.32377670279233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49.63919999999996</v>
      </c>
      <c r="D89" s="11">
        <f t="shared" si="86"/>
        <v>14.520542252452634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495.26818580840592</v>
      </c>
      <c r="H89" s="67">
        <f t="shared" si="56"/>
        <v>405.07821775635489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266.88763920000025</v>
      </c>
      <c r="P89" s="13">
        <f t="shared" si="87"/>
        <v>64.188302727706215</v>
      </c>
      <c r="Q89" s="20">
        <f t="shared" si="54"/>
        <v>576.62393219075545</v>
      </c>
      <c r="R89" s="59">
        <f t="shared" si="55"/>
        <v>869.95726552408883</v>
      </c>
      <c r="S89" s="59">
        <f ca="1">AVERAGE(OFFSET($R$3,0,0,'Données projet'!$E$9+1,1))-AVERAGE(OFFSET($H$3,0,0,'Données projet'!$E$9+1,1))</f>
        <v>457.88065872594228</v>
      </c>
      <c r="T89" s="59">
        <f t="shared" si="88"/>
        <v>204.62439362068329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43.616731105848366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43.616731105848366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842.22452321490368</v>
      </c>
      <c r="AN89" s="59">
        <f ca="1">AVERAGE(OFFSET($AM$3,0,0,'Données projet'!$E$10+1,1))-AVERAGE(OFFSET($H$3,0,0,'Données projet'!$E$10+1,1))</f>
        <v>430.16825592717629</v>
      </c>
      <c r="AO89" s="59">
        <f t="shared" si="90"/>
        <v>192.87542067077248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7.9879999999999969</v>
      </c>
      <c r="BD89" s="12">
        <f>IF('Données projet'!$A$88&gt;35,BD88+BC89-BL88,IF(A89&lt;'Données projet'!$A$88,$BA$205^A89,IF(A89='Données projet'!$A$88,'Données projet'!$B$88,BD88+BC89-BL88)))</f>
        <v>248.41400000000019</v>
      </c>
      <c r="BE89" s="13">
        <f>BD89*VLOOKUP('Données projet'!$B$11,Paramètres!$A$1:$I$89,3,0)*VLOOKUP('Données projet'!$B$11,Paramètres!$A$1:$I$89,5,0)</f>
        <v>209.26395360000021</v>
      </c>
      <c r="BF89" s="13">
        <f t="shared" si="91"/>
        <v>51.774708187666221</v>
      </c>
      <c r="BG89" s="20">
        <f t="shared" si="61"/>
        <v>454.64233594685237</v>
      </c>
      <c r="BH89" s="59">
        <f t="shared" si="62"/>
        <v>747.97566928018568</v>
      </c>
      <c r="BI89" s="59">
        <f ca="1">AVERAGE(OFFSET($BH$3,0,0,'Données projet'!$E$11+1,1))-AVERAGE(OFFSET($H$3,0,0,'Données projet'!$E$11+1,1))</f>
        <v>243.94505553629301</v>
      </c>
      <c r="BJ89" s="59">
        <f t="shared" si="92"/>
        <v>173.05364940250229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31.110076242694792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31.110076242694792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</v>
      </c>
      <c r="BY89" s="12">
        <f>IF('Données projet'!$A$114&gt;35,BY88+BX89-CG88,IF(A89&lt;'Données projet'!$A$114,$BV$205^A89,IF(A89='Données projet'!$A$114,'Données projet'!$B$114,BY88+BX89-CG88)))</f>
        <v>203.40000000000015</v>
      </c>
      <c r="BZ89" s="13">
        <f>BY89*VLOOKUP('Données projet'!$B$12,Paramètres!$A$1:$I$89,3,0)*VLOOKUP('Données projet'!$B$12,Paramètres!$A$1:$I$89,5,0)</f>
        <v>133.2676800000001</v>
      </c>
      <c r="CA89" s="13">
        <f t="shared" si="93"/>
        <v>34.750329840004937</v>
      </c>
      <c r="CB89" s="20">
        <f t="shared" si="64"/>
        <v>292.63136713800878</v>
      </c>
      <c r="CC89" s="59">
        <f t="shared" si="65"/>
        <v>585.9647004713421</v>
      </c>
      <c r="CD89" s="59">
        <f ca="1">AVERAGE(OFFSET($CC$3,0,0,'Données projet'!$E$12+1,1))-AVERAGE(OFFSET($H$3,0,0,'Données projet'!$E$12+1,1))</f>
        <v>140.9558843244115</v>
      </c>
      <c r="CE89" s="59">
        <f t="shared" si="94"/>
        <v>158.88947216184619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15.938472697224004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15.938472697224004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8.2910000000000021</v>
      </c>
      <c r="CT89" s="12">
        <f>IF('Données projet'!$A$140&gt;35,CT88+CS89-DB88,IF(A89&lt;'Données projet'!$A$140,$CQ$205^A89,IF(A89='Données projet'!$A$140,'Données projet'!$B$140,CT88+CS89-DB88)))</f>
        <v>280.46200000000027</v>
      </c>
      <c r="CU89" s="17">
        <f>CT89*VLOOKUP('Données projet'!$B$13,Paramètres!$A$1:$I$89,3,0)*VLOOKUP('Données projet'!$B$13,Paramètres!$A$1:$I$89,5,0)</f>
        <v>271.26284640000029</v>
      </c>
      <c r="CV89" s="13">
        <f t="shared" si="95"/>
        <v>65.117204337314064</v>
      </c>
      <c r="CW89" s="20">
        <f t="shared" si="67"/>
        <v>585.86192170082245</v>
      </c>
      <c r="CX89" s="59">
        <f t="shared" si="68"/>
        <v>879.19525503415571</v>
      </c>
      <c r="CY89" s="59">
        <f ca="1">AVERAGE(OFFSET($CX$3,0,0,'Données projet'!$E$13+1,1))-AVERAGE(OFFSET($H$3,0,0,'Données projet'!$E$13+1,1))</f>
        <v>467.11196088914556</v>
      </c>
      <c r="CZ89" s="59">
        <f t="shared" si="96"/>
        <v>208.53783609106262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44.331759484632755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44.331759484632755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8.2910000000000021</v>
      </c>
      <c r="DO89" s="12">
        <f>IF('Données projet'!$A$166&gt;35,DO88+DN89-DW88,IF(A89&lt;'Données projet'!$A$166,$DL$205^A89,IF(A89='Données projet'!$A$166,'Données projet'!$B$166,DO88+DN89-DW88)))</f>
        <v>280.46200000000027</v>
      </c>
      <c r="DP89" s="17">
        <f>DO89*VLOOKUP('Données projet'!$B$14,Paramètres!$A$1:$I$89,3,0)*VLOOKUP('Données projet'!$B$14,Paramètres!$A$1:$I$89,5,0)</f>
        <v>301.88929680000024</v>
      </c>
      <c r="DQ89" s="13">
        <f t="shared" si="97"/>
        <v>71.572387824049713</v>
      </c>
      <c r="DR89" s="20">
        <f t="shared" si="70"/>
        <v>650.44576738688704</v>
      </c>
      <c r="DS89" s="59">
        <f t="shared" si="71"/>
        <v>943.77910072022041</v>
      </c>
      <c r="DT89" s="59">
        <f ca="1">AVERAGE(OFFSET($DS$3,0,0,'Données projet'!$E$14+1,1))-AVERAGE(OFFSET($H$3,0,0,'Données projet'!$E$14+1,1))</f>
        <v>531.65020827367698</v>
      </c>
      <c r="DU89" s="59">
        <f t="shared" si="98"/>
        <v>235.89413420278396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49.336958136123535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49.336958136123535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50.216399999999958</v>
      </c>
      <c r="D90" s="11">
        <f t="shared" si="86"/>
        <v>14.669631852582198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500.87463184449388</v>
      </c>
      <c r="H90" s="67">
        <f t="shared" si="56"/>
        <v>406.34317214324722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274.7773548000003</v>
      </c>
      <c r="P90" s="13">
        <f t="shared" si="87"/>
        <v>65.862107285872696</v>
      </c>
      <c r="Q90" s="20">
        <f t="shared" si="54"/>
        <v>593.28039646622881</v>
      </c>
      <c r="R90" s="59">
        <f t="shared" si="55"/>
        <v>886.61372979956218</v>
      </c>
      <c r="S90" s="59">
        <f ca="1">AVERAGE(OFFSET($R$3,0,0,'Données projet'!$E$9+1,1))-AVERAGE(OFFSET($H$3,0,0,'Données projet'!$E$9+1,1))</f>
        <v>457.88065872594228</v>
      </c>
      <c r="T90" s="59">
        <f t="shared" si="88"/>
        <v>204.62439362068329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42.76143361244177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42.76143361244177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858.07813607907929</v>
      </c>
      <c r="AN90" s="59">
        <f ca="1">AVERAGE(OFFSET($AM$3,0,0,'Données projet'!$E$10+1,1))-AVERAGE(OFFSET($H$3,0,0,'Données projet'!$E$10+1,1))</f>
        <v>430.16825592717629</v>
      </c>
      <c r="AO90" s="59">
        <f t="shared" si="90"/>
        <v>192.87542067077248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7.9879999999999969</v>
      </c>
      <c r="BD90" s="12">
        <f>IF('Données projet'!$A$88&gt;35,BD89+BC90-BL89,IF(A90&lt;'Données projet'!$A$88,$BA$205^A90,IF(A90='Données projet'!$A$88,'Données projet'!$B$88,BD89+BC90-BL89)))</f>
        <v>256.40200000000016</v>
      </c>
      <c r="BE90" s="13">
        <f>BD90*VLOOKUP('Données projet'!$B$11,Paramètres!$A$1:$I$89,3,0)*VLOOKUP('Données projet'!$B$11,Paramètres!$A$1:$I$89,5,0)</f>
        <v>215.99304480000018</v>
      </c>
      <c r="BF90" s="13">
        <f t="shared" si="91"/>
        <v>53.243064323023681</v>
      </c>
      <c r="BG90" s="20">
        <f t="shared" si="61"/>
        <v>468.91955672259991</v>
      </c>
      <c r="BH90" s="59">
        <f t="shared" si="62"/>
        <v>762.25289005593322</v>
      </c>
      <c r="BI90" s="59">
        <f ca="1">AVERAGE(OFFSET($BH$3,0,0,'Données projet'!$E$11+1,1))-AVERAGE(OFFSET($H$3,0,0,'Données projet'!$E$11+1,1))</f>
        <v>243.94505553629301</v>
      </c>
      <c r="BJ90" s="59">
        <f t="shared" si="92"/>
        <v>173.05364940250229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30.500026622848402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30.500026622848402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</v>
      </c>
      <c r="BY90" s="12">
        <f>IF('Données projet'!$A$114&gt;35,BY89+BX90-CG89,IF(A90&lt;'Données projet'!$A$114,$BV$205^A90,IF(A90='Données projet'!$A$114,'Données projet'!$B$114,BY89+BX90-CG89)))</f>
        <v>206.80000000000015</v>
      </c>
      <c r="BZ90" s="13">
        <f>BY90*VLOOKUP('Données projet'!$B$12,Paramètres!$A$1:$I$89,3,0)*VLOOKUP('Données projet'!$B$12,Paramètres!$A$1:$I$89,5,0)</f>
        <v>135.49536000000012</v>
      </c>
      <c r="CA90" s="13">
        <f t="shared" si="93"/>
        <v>35.263099712541788</v>
      </c>
      <c r="CB90" s="20">
        <f t="shared" si="64"/>
        <v>297.40431733267718</v>
      </c>
      <c r="CC90" s="59">
        <f t="shared" si="65"/>
        <v>590.7376506660105</v>
      </c>
      <c r="CD90" s="59">
        <f ca="1">AVERAGE(OFFSET($CC$3,0,0,'Données projet'!$E$12+1,1))-AVERAGE(OFFSET($H$3,0,0,'Données projet'!$E$12+1,1))</f>
        <v>140.9558843244115</v>
      </c>
      <c r="CE90" s="59">
        <f t="shared" si="94"/>
        <v>158.88947216184619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15.625928969139867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15.625928969139867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8.2910000000000021</v>
      </c>
      <c r="CT90" s="12">
        <f>IF('Données projet'!$A$140&gt;35,CT89+CS90-DB89,IF(A90&lt;'Données projet'!$A$140,$CQ$205^A90,IF(A90='Données projet'!$A$140,'Données projet'!$B$140,CT89+CS90-DB89)))</f>
        <v>288.75300000000027</v>
      </c>
      <c r="CU90" s="17">
        <f>CT90*VLOOKUP('Données projet'!$B$13,Paramètres!$A$1:$I$89,3,0)*VLOOKUP('Données projet'!$B$13,Paramètres!$A$1:$I$89,5,0)</f>
        <v>279.28190160000025</v>
      </c>
      <c r="CV90" s="13">
        <f t="shared" si="95"/>
        <v>66.815231373442643</v>
      </c>
      <c r="CW90" s="20">
        <f t="shared" si="67"/>
        <v>602.78583992874633</v>
      </c>
      <c r="CX90" s="59">
        <f t="shared" si="68"/>
        <v>896.11917326207958</v>
      </c>
      <c r="CY90" s="59">
        <f ca="1">AVERAGE(OFFSET($CX$3,0,0,'Données projet'!$E$13+1,1))-AVERAGE(OFFSET($H$3,0,0,'Données projet'!$E$13+1,1))</f>
        <v>467.11196088914556</v>
      </c>
      <c r="CZ90" s="59">
        <f t="shared" si="96"/>
        <v>208.53783609106262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43.462440720842444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43.462440720842444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8.2910000000000021</v>
      </c>
      <c r="DO90" s="12">
        <f>IF('Données projet'!$A$166&gt;35,DO89+DN90-DW89,IF(A90&lt;'Données projet'!$A$166,$DL$205^A90,IF(A90='Données projet'!$A$166,'Données projet'!$B$166,DO89+DN90-DW89)))</f>
        <v>288.75300000000027</v>
      </c>
      <c r="DP90" s="17">
        <f>DO90*VLOOKUP('Données projet'!$B$14,Paramètres!$A$1:$I$89,3,0)*VLOOKUP('Données projet'!$B$14,Paramètres!$A$1:$I$89,5,0)</f>
        <v>310.81372920000024</v>
      </c>
      <c r="DQ90" s="13">
        <f t="shared" si="97"/>
        <v>73.438743279606001</v>
      </c>
      <c r="DR90" s="20">
        <f t="shared" si="70"/>
        <v>669.23972290198083</v>
      </c>
      <c r="DS90" s="59">
        <f t="shared" si="71"/>
        <v>962.5730562353142</v>
      </c>
      <c r="DT90" s="59">
        <f ca="1">AVERAGE(OFFSET($DS$3,0,0,'Données projet'!$E$14+1,1))-AVERAGE(OFFSET($H$3,0,0,'Données projet'!$E$14+1,1))</f>
        <v>531.65020827367698</v>
      </c>
      <c r="DU90" s="59">
        <f t="shared" si="98"/>
        <v>235.89413420278396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48.369490479647219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48.369490479647219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50.793599999999955</v>
      </c>
      <c r="D91" s="11">
        <f t="shared" si="86"/>
        <v>14.818522109847001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506.47953909355539</v>
      </c>
      <c r="H91" s="67">
        <f t="shared" si="56"/>
        <v>407.60777934131676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282.66707040000023</v>
      </c>
      <c r="P91" s="13">
        <f t="shared" si="87"/>
        <v>67.530326169234471</v>
      </c>
      <c r="Q91" s="20">
        <f t="shared" si="54"/>
        <v>609.92713235808367</v>
      </c>
      <c r="R91" s="59">
        <f t="shared" si="55"/>
        <v>903.26046569141704</v>
      </c>
      <c r="S91" s="59">
        <f ca="1">AVERAGE(OFFSET($R$3,0,0,'Données projet'!$E$9+1,1))-AVERAGE(OFFSET($H$3,0,0,'Données projet'!$E$9+1,1))</f>
        <v>457.88065872594228</v>
      </c>
      <c r="T91" s="59">
        <f t="shared" si="88"/>
        <v>204.62439362068329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41.922907981200915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41.922907981200915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873.92244454651131</v>
      </c>
      <c r="AN91" s="59">
        <f ca="1">AVERAGE(OFFSET($AM$3,0,0,'Données projet'!$E$10+1,1))-AVERAGE(OFFSET($H$3,0,0,'Données projet'!$E$10+1,1))</f>
        <v>430.16825592717629</v>
      </c>
      <c r="AO91" s="59">
        <f t="shared" si="90"/>
        <v>192.87542067077248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7.9879999999999969</v>
      </c>
      <c r="BD91" s="12">
        <f>IF('Données projet'!$A$88&gt;35,BD90+BC91-BL90,IF(A91&lt;'Données projet'!$A$88,$BA$205^A91,IF(A91='Données projet'!$A$88,'Données projet'!$B$88,BD90+BC91-BL90)))</f>
        <v>264.39000000000016</v>
      </c>
      <c r="BE91" s="13">
        <f>BD91*VLOOKUP('Données projet'!$B$11,Paramètres!$A$1:$I$89,3,0)*VLOOKUP('Données projet'!$B$11,Paramètres!$A$1:$I$89,5,0)</f>
        <v>222.72213600000015</v>
      </c>
      <c r="BF91" s="13">
        <f t="shared" si="91"/>
        <v>54.70610442073766</v>
      </c>
      <c r="BG91" s="20">
        <f t="shared" si="61"/>
        <v>483.18751873278489</v>
      </c>
      <c r="BH91" s="59">
        <f t="shared" si="62"/>
        <v>776.52085206611821</v>
      </c>
      <c r="BI91" s="59">
        <f ca="1">AVERAGE(OFFSET($BH$3,0,0,'Données projet'!$E$11+1,1))-AVERAGE(OFFSET($H$3,0,0,'Données projet'!$E$11+1,1))</f>
        <v>243.94505553629301</v>
      </c>
      <c r="BJ91" s="59">
        <f t="shared" si="92"/>
        <v>173.05364940250229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29.901939703953673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29.901939703953673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</v>
      </c>
      <c r="BY91" s="12">
        <f>IF('Données projet'!$A$114&gt;35,BY90+BX91-CG90,IF(A91&lt;'Données projet'!$A$114,$BV$205^A91,IF(A91='Données projet'!$A$114,'Données projet'!$B$114,BY90+BX91-CG90)))</f>
        <v>210.20000000000016</v>
      </c>
      <c r="BZ91" s="13">
        <f>BY91*VLOOKUP('Données projet'!$B$12,Paramètres!$A$1:$I$89,3,0)*VLOOKUP('Données projet'!$B$12,Paramètres!$A$1:$I$89,5,0)</f>
        <v>137.72304000000011</v>
      </c>
      <c r="CA91" s="13">
        <f t="shared" si="93"/>
        <v>35.774889172094717</v>
      </c>
      <c r="CB91" s="20">
        <f t="shared" si="64"/>
        <v>302.17555997473181</v>
      </c>
      <c r="CC91" s="59">
        <f t="shared" si="65"/>
        <v>595.50889330806513</v>
      </c>
      <c r="CD91" s="59">
        <f ca="1">AVERAGE(OFFSET($CC$3,0,0,'Données projet'!$E$12+1,1))-AVERAGE(OFFSET($H$3,0,0,'Données projet'!$E$12+1,1))</f>
        <v>140.9558843244115</v>
      </c>
      <c r="CE91" s="59">
        <f t="shared" si="94"/>
        <v>158.88947216184619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15.319514032930609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15.319514032930609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8.2910000000000021</v>
      </c>
      <c r="CT91" s="12">
        <f>IF('Données projet'!$A$140&gt;35,CT90+CS91-DB90,IF(A91&lt;'Données projet'!$A$140,$CQ$205^A91,IF(A91='Données projet'!$A$140,'Données projet'!$B$140,CT90+CS91-DB90)))</f>
        <v>297.04400000000027</v>
      </c>
      <c r="CU91" s="17">
        <f>CT91*VLOOKUP('Données projet'!$B$13,Paramètres!$A$1:$I$89,3,0)*VLOOKUP('Données projet'!$B$13,Paramètres!$A$1:$I$89,5,0)</f>
        <v>287.30095680000028</v>
      </c>
      <c r="CV91" s="13">
        <f t="shared" si="95"/>
        <v>68.507591901622632</v>
      </c>
      <c r="CW91" s="20">
        <f t="shared" si="67"/>
        <v>619.69988898865984</v>
      </c>
      <c r="CX91" s="59">
        <f t="shared" si="68"/>
        <v>913.03322232199321</v>
      </c>
      <c r="CY91" s="59">
        <f ca="1">AVERAGE(OFFSET($CX$3,0,0,'Données projet'!$E$13+1,1))-AVERAGE(OFFSET($H$3,0,0,'Données projet'!$E$13+1,1))</f>
        <v>467.11196088914556</v>
      </c>
      <c r="CZ91" s="59">
        <f t="shared" si="96"/>
        <v>208.53783609106262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42.610168767777971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42.610168767777971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8.2910000000000021</v>
      </c>
      <c r="DO91" s="12">
        <f>IF('Données projet'!$A$166&gt;35,DO90+DN91-DW90,IF(A91&lt;'Données projet'!$A$166,$DL$205^A91,IF(A91='Données projet'!$A$166,'Données projet'!$B$166,DO90+DN91-DW90)))</f>
        <v>297.04400000000027</v>
      </c>
      <c r="DP91" s="17">
        <f>DO91*VLOOKUP('Données projet'!$B$14,Paramètres!$A$1:$I$89,3,0)*VLOOKUP('Données projet'!$B$14,Paramètres!$A$1:$I$89,5,0)</f>
        <v>319.7381616000003</v>
      </c>
      <c r="DQ91" s="13">
        <f t="shared" si="97"/>
        <v>75.298870496271519</v>
      </c>
      <c r="DR91" s="20">
        <f t="shared" si="70"/>
        <v>688.02283090100661</v>
      </c>
      <c r="DS91" s="59">
        <f t="shared" si="71"/>
        <v>981.35616423433999</v>
      </c>
      <c r="DT91" s="59">
        <f ca="1">AVERAGE(OFFSET($DS$3,0,0,'Données projet'!$E$14+1,1))-AVERAGE(OFFSET($H$3,0,0,'Données projet'!$E$14+1,1))</f>
        <v>531.65020827367698</v>
      </c>
      <c r="DU91" s="59">
        <f t="shared" si="98"/>
        <v>235.89413420278396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47.420994273817399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47.420994273817399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51.370799999999953</v>
      </c>
      <c r="D92" s="11">
        <f t="shared" si="86"/>
        <v>14.967215551620642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512.08292706514158</v>
      </c>
      <c r="H92" s="67">
        <f t="shared" si="56"/>
        <v>408.87204375240583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290.55678600000027</v>
      </c>
      <c r="P92" s="13">
        <f t="shared" si="87"/>
        <v>69.193133194113571</v>
      </c>
      <c r="Q92" s="20">
        <f t="shared" si="54"/>
        <v>626.56444259641489</v>
      </c>
      <c r="R92" s="59">
        <f t="shared" si="55"/>
        <v>919.89777592974815</v>
      </c>
      <c r="S92" s="59">
        <f ca="1">AVERAGE(OFFSET($R$3,0,0,'Données projet'!$E$9+1,1))-AVERAGE(OFFSET($H$3,0,0,'Données projet'!$E$9+1,1))</f>
        <v>457.88065872594228</v>
      </c>
      <c r="T92" s="59">
        <f t="shared" si="88"/>
        <v>204.62439362068329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41.100825326138562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41.100825326138562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889.75773815357138</v>
      </c>
      <c r="AN92" s="59">
        <f ca="1">AVERAGE(OFFSET($AM$3,0,0,'Données projet'!$E$10+1,1))-AVERAGE(OFFSET($H$3,0,0,'Données projet'!$E$10+1,1))</f>
        <v>430.16825592717629</v>
      </c>
      <c r="AO92" s="59">
        <f t="shared" si="90"/>
        <v>192.87542067077248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7.9879999999999969</v>
      </c>
      <c r="BD92" s="12">
        <f>IF('Données projet'!$A$88&gt;35,BD91+BC92-BL91,IF(A92&lt;'Données projet'!$A$88,$BA$205^A92,IF(A92='Données projet'!$A$88,'Données projet'!$B$88,BD91+BC92-BL91)))</f>
        <v>272.37800000000016</v>
      </c>
      <c r="BE92" s="13">
        <f>BD92*VLOOKUP('Données projet'!$B$11,Paramètres!$A$1:$I$89,3,0)*VLOOKUP('Données projet'!$B$11,Paramètres!$A$1:$I$89,5,0)</f>
        <v>229.45122720000015</v>
      </c>
      <c r="BF92" s="13">
        <f t="shared" si="91"/>
        <v>56.164007529639626</v>
      </c>
      <c r="BG92" s="20">
        <f t="shared" si="61"/>
        <v>497.44653382078923</v>
      </c>
      <c r="BH92" s="59">
        <f t="shared" si="62"/>
        <v>790.77986715412248</v>
      </c>
      <c r="BI92" s="59">
        <f ca="1">AVERAGE(OFFSET($BH$3,0,0,'Données projet'!$E$11+1,1))-AVERAGE(OFFSET($H$3,0,0,'Données projet'!$E$11+1,1))</f>
        <v>243.94505553629301</v>
      </c>
      <c r="BJ92" s="59">
        <f t="shared" si="92"/>
        <v>173.05364940250229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29.31558090474147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29.31558090474147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</v>
      </c>
      <c r="BY92" s="12">
        <f>IF('Données projet'!$A$114&gt;35,BY91+BX92-CG91,IF(A92&lt;'Données projet'!$A$114,$BV$205^A92,IF(A92='Données projet'!$A$114,'Données projet'!$B$114,BY91+BX92-CG91)))</f>
        <v>213.60000000000016</v>
      </c>
      <c r="BZ92" s="13">
        <f>BY92*VLOOKUP('Données projet'!$B$12,Paramètres!$A$1:$I$89,3,0)*VLOOKUP('Données projet'!$B$12,Paramètres!$A$1:$I$89,5,0)</f>
        <v>139.9507200000001</v>
      </c>
      <c r="CA92" s="13">
        <f t="shared" si="93"/>
        <v>36.285715907711953</v>
      </c>
      <c r="CB92" s="20">
        <f t="shared" si="64"/>
        <v>306.94512587259851</v>
      </c>
      <c r="CC92" s="59">
        <f t="shared" si="65"/>
        <v>600.27845920593177</v>
      </c>
      <c r="CD92" s="59">
        <f ca="1">AVERAGE(OFFSET($CC$3,0,0,'Données projet'!$E$12+1,1))-AVERAGE(OFFSET($H$3,0,0,'Données projet'!$E$12+1,1))</f>
        <v>140.9558843244115</v>
      </c>
      <c r="CE92" s="59">
        <f t="shared" si="94"/>
        <v>158.88947216184619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15.019107706725759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15.019107706725759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8.2910000000000021</v>
      </c>
      <c r="CT92" s="12">
        <f>IF('Données projet'!$A$140&gt;35,CT91+CS92-DB91,IF(A92&lt;'Données projet'!$A$140,$CQ$205^A92,IF(A92='Données projet'!$A$140,'Données projet'!$B$140,CT91+CS92-DB91)))</f>
        <v>305.33500000000026</v>
      </c>
      <c r="CU92" s="17">
        <f>CT92*VLOOKUP('Données projet'!$B$13,Paramètres!$A$1:$I$89,3,0)*VLOOKUP('Données projet'!$B$13,Paramètres!$A$1:$I$89,5,0)</f>
        <v>295.32001200000025</v>
      </c>
      <c r="CV92" s="13">
        <f t="shared" si="95"/>
        <v>70.194462253560403</v>
      </c>
      <c r="CW92" s="20">
        <f t="shared" si="67"/>
        <v>636.60437599161821</v>
      </c>
      <c r="CX92" s="59">
        <f t="shared" si="68"/>
        <v>929.93770932495158</v>
      </c>
      <c r="CY92" s="59">
        <f ca="1">AVERAGE(OFFSET($CX$3,0,0,'Données projet'!$E$13+1,1))-AVERAGE(OFFSET($H$3,0,0,'Données projet'!$E$13+1,1))</f>
        <v>467.11196088914556</v>
      </c>
      <c r="CZ92" s="59">
        <f t="shared" si="96"/>
        <v>208.53783609106262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41.774609347878531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41.774609347878531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8.2910000000000021</v>
      </c>
      <c r="DO92" s="12">
        <f>IF('Données projet'!$A$166&gt;35,DO91+DN92-DW91,IF(A92&lt;'Données projet'!$A$166,$DL$205^A92,IF(A92='Données projet'!$A$166,'Données projet'!$B$166,DO91+DN92-DW91)))</f>
        <v>305.33500000000026</v>
      </c>
      <c r="DP92" s="17">
        <f>DO92*VLOOKUP('Données projet'!$B$14,Paramètres!$A$1:$I$89,3,0)*VLOOKUP('Données projet'!$B$14,Paramètres!$A$1:$I$89,5,0)</f>
        <v>328.6625940000003</v>
      </c>
      <c r="DQ92" s="13">
        <f t="shared" si="97"/>
        <v>77.152963285826345</v>
      </c>
      <c r="DR92" s="20">
        <f t="shared" si="70"/>
        <v>706.79542893948144</v>
      </c>
      <c r="DS92" s="59">
        <f t="shared" si="71"/>
        <v>1000.1287622728148</v>
      </c>
      <c r="DT92" s="59">
        <f ca="1">AVERAGE(OFFSET($DS$3,0,0,'Données projet'!$E$14+1,1))-AVERAGE(OFFSET($H$3,0,0,'Données projet'!$E$14+1,1))</f>
        <v>531.65020827367698</v>
      </c>
      <c r="DU92" s="59">
        <f t="shared" si="98"/>
        <v>235.89413420278396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46.491097500058345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46.491097500058345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51.947999999999951</v>
      </c>
      <c r="D93" s="11">
        <f t="shared" si="86"/>
        <v>15.115714645211879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517.68481480514401</v>
      </c>
      <c r="H93" s="67">
        <f t="shared" si="56"/>
        <v>410.13596967374394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298.44650160000026</v>
      </c>
      <c r="P93" s="13">
        <f t="shared" si="87"/>
        <v>70.850692199974645</v>
      </c>
      <c r="Q93" s="20">
        <f t="shared" si="54"/>
        <v>643.19261253495631</v>
      </c>
      <c r="R93" s="59">
        <f t="shared" si="55"/>
        <v>936.52594586828968</v>
      </c>
      <c r="S93" s="59">
        <f ca="1">AVERAGE(OFFSET($R$3,0,0,'Données projet'!$E$9+1,1))-AVERAGE(OFFSET($H$3,0,0,'Données projet'!$E$9+1,1))</f>
        <v>457.88065872594228</v>
      </c>
      <c r="T93" s="59">
        <f t="shared" si="88"/>
        <v>204.62439362068329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40.294863210521072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40.294863210521072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905.58428981757697</v>
      </c>
      <c r="AN93" s="59">
        <f ca="1">AVERAGE(OFFSET($AM$3,0,0,'Données projet'!$E$10+1,1))-AVERAGE(OFFSET($H$3,0,0,'Données projet'!$E$10+1,1))</f>
        <v>430.16825592717629</v>
      </c>
      <c r="AO93" s="59">
        <f t="shared" si="90"/>
        <v>192.87542067077248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7.9879999999999969</v>
      </c>
      <c r="BD93" s="12">
        <f>IF('Données projet'!$A$88&gt;35,BD92+BC93-BL92,IF(A93&lt;'Données projet'!$A$88,$BA$205^A93,IF(A93='Données projet'!$A$88,'Données projet'!$B$88,BD92+BC93-BL92)))</f>
        <v>280.36600000000016</v>
      </c>
      <c r="BE93" s="13">
        <f>BD93*VLOOKUP('Données projet'!$B$11,Paramètres!$A$1:$I$89,3,0)*VLOOKUP('Données projet'!$B$11,Paramètres!$A$1:$I$89,5,0)</f>
        <v>236.18031840000015</v>
      </c>
      <c r="BF93" s="13">
        <f t="shared" si="91"/>
        <v>57.61694159958833</v>
      </c>
      <c r="BG93" s="20">
        <f t="shared" si="61"/>
        <v>511.69689449928336</v>
      </c>
      <c r="BH93" s="59">
        <f t="shared" si="62"/>
        <v>805.03022783261667</v>
      </c>
      <c r="BI93" s="59">
        <f ca="1">AVERAGE(OFFSET($BH$3,0,0,'Données projet'!$E$11+1,1))-AVERAGE(OFFSET($H$3,0,0,'Données projet'!$E$11+1,1))</f>
        <v>243.94505553629301</v>
      </c>
      <c r="BJ93" s="59">
        <f t="shared" si="92"/>
        <v>173.05364940250229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28.740720243938267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28.740720243938267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217</v>
      </c>
      <c r="BW93" s="12">
        <f>VLOOKUP(A93,'Données projet'!$A$113:$I$133,9,0)</f>
        <v>3.4</v>
      </c>
      <c r="BX93" s="12">
        <f t="array" ref="BX93">INDEX(BW:BW,MIN(IF(ISNUMBER(BW93:BW289),ROW(BW93:BW289),"")))</f>
        <v>3.4</v>
      </c>
      <c r="BY93" s="12">
        <f>IF('Données projet'!$A$114&gt;35,BY92+BX93-CG92,IF(A93&lt;'Données projet'!$A$114,$BV$205^A93,IF(A93='Données projet'!$A$114,'Données projet'!$B$114,BY92+BX93-CG92)))</f>
        <v>217.00000000000017</v>
      </c>
      <c r="BZ93" s="13">
        <f>BY93*VLOOKUP('Données projet'!$B$12,Paramètres!$A$1:$I$89,3,0)*VLOOKUP('Données projet'!$B$12,Paramètres!$A$1:$I$89,5,0)</f>
        <v>142.17840000000012</v>
      </c>
      <c r="CA93" s="13">
        <f t="shared" si="93"/>
        <v>36.795597013009385</v>
      </c>
      <c r="CB93" s="20">
        <f t="shared" si="64"/>
        <v>311.71304479765826</v>
      </c>
      <c r="CC93" s="59">
        <f t="shared" si="65"/>
        <v>605.04637813099157</v>
      </c>
      <c r="CD93" s="59">
        <f ca="1">AVERAGE(OFFSET($CC$3,0,0,'Données projet'!$E$12+1,1))-AVERAGE(OFFSET($H$3,0,0,'Données projet'!$E$12+1,1))</f>
        <v>140.9558843244115</v>
      </c>
      <c r="CE93" s="59">
        <f t="shared" si="94"/>
        <v>158.88947216184619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217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55.275486696170027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55.275486696170027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8.2910000000000021</v>
      </c>
      <c r="CT93" s="12">
        <f>IF('Données projet'!$A$140&gt;35,CT92+CS93-DB92,IF(A93&lt;'Données projet'!$A$140,$CQ$205^A93,IF(A93='Données projet'!$A$140,'Données projet'!$B$140,CT92+CS93-DB92)))</f>
        <v>313.62600000000026</v>
      </c>
      <c r="CU93" s="17">
        <f>CT93*VLOOKUP('Données projet'!$B$13,Paramètres!$A$1:$I$89,3,0)*VLOOKUP('Données projet'!$B$13,Paramètres!$A$1:$I$89,5,0)</f>
        <v>303.33906720000027</v>
      </c>
      <c r="CV93" s="13">
        <f t="shared" si="95"/>
        <v>71.876008639724958</v>
      </c>
      <c r="CW93" s="20">
        <f t="shared" si="67"/>
        <v>653.4995904208547</v>
      </c>
      <c r="CX93" s="59">
        <f t="shared" si="68"/>
        <v>946.83292375418796</v>
      </c>
      <c r="CY93" s="59">
        <f ca="1">AVERAGE(OFFSET($CX$3,0,0,'Données projet'!$E$13+1,1))-AVERAGE(OFFSET($H$3,0,0,'Données projet'!$E$13+1,1))</f>
        <v>467.11196088914556</v>
      </c>
      <c r="CZ93" s="59">
        <f t="shared" si="96"/>
        <v>208.53783609106262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40.955434738562396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40.955434738562396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8.2910000000000021</v>
      </c>
      <c r="DO93" s="12">
        <f>IF('Données projet'!$A$166&gt;35,DO92+DN93-DW92,IF(A93&lt;'Données projet'!$A$166,$DL$205^A93,IF(A93='Données projet'!$A$166,'Données projet'!$B$166,DO92+DN93-DW92)))</f>
        <v>313.62600000000026</v>
      </c>
      <c r="DP93" s="17">
        <f>DO93*VLOOKUP('Données projet'!$B$14,Paramètres!$A$1:$I$89,3,0)*VLOOKUP('Données projet'!$B$14,Paramètres!$A$1:$I$89,5,0)</f>
        <v>337.5870264000003</v>
      </c>
      <c r="DQ93" s="13">
        <f t="shared" si="97"/>
        <v>79.001204335476828</v>
      </c>
      <c r="DR93" s="20">
        <f t="shared" si="70"/>
        <v>725.55783519762269</v>
      </c>
      <c r="DS93" s="59">
        <f t="shared" si="71"/>
        <v>1018.8911685309561</v>
      </c>
      <c r="DT93" s="59">
        <f ca="1">AVERAGE(OFFSET($DS$3,0,0,'Données projet'!$E$14+1,1))-AVERAGE(OFFSET($H$3,0,0,'Données projet'!$E$14+1,1))</f>
        <v>531.65020827367698</v>
      </c>
      <c r="DU93" s="59">
        <f t="shared" si="98"/>
        <v>235.89413420278396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45.579435434851675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45.579435434851675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52.525199999999948</v>
      </c>
      <c r="D94" s="11">
        <f t="shared" si="86"/>
        <v>15.26402179994329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523.28522091184254</v>
      </c>
      <c r="H94" s="67">
        <f t="shared" si="56"/>
        <v>411.39956130156776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306.33621720000025</v>
      </c>
      <c r="P94" s="13">
        <f t="shared" si="87"/>
        <v>72.503157870491862</v>
      </c>
      <c r="Q94" s="20">
        <f t="shared" si="54"/>
        <v>659.81191158110698</v>
      </c>
      <c r="R94" s="59">
        <f t="shared" si="55"/>
        <v>953.14524491444035</v>
      </c>
      <c r="S94" s="59">
        <f ca="1">AVERAGE(OFFSET($R$3,0,0,'Données projet'!$E$9+1,1))-AVERAGE(OFFSET($H$3,0,0,'Données projet'!$E$9+1,1))</f>
        <v>457.88065872594228</v>
      </c>
      <c r="T94" s="59">
        <f t="shared" si="88"/>
        <v>204.62439362068329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39.504705520402489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39.504705520402489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921.40235720449027</v>
      </c>
      <c r="AN94" s="59">
        <f ca="1">AVERAGE(OFFSET($AM$3,0,0,'Données projet'!$E$10+1,1))-AVERAGE(OFFSET($H$3,0,0,'Données projet'!$E$10+1,1))</f>
        <v>430.16825592717629</v>
      </c>
      <c r="AO94" s="59">
        <f t="shared" si="90"/>
        <v>192.87542067077248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7.9879999999999969</v>
      </c>
      <c r="BD94" s="12">
        <f>IF('Données projet'!$A$88&gt;35,BD93+BC94-BL93,IF(A94&lt;'Données projet'!$A$88,$BA$205^A94,IF(A94='Données projet'!$A$88,'Données projet'!$B$88,BD93+BC94-BL93)))</f>
        <v>288.35400000000016</v>
      </c>
      <c r="BE94" s="13">
        <f>BD94*VLOOKUP('Données projet'!$B$11,Paramètres!$A$1:$I$89,3,0)*VLOOKUP('Données projet'!$B$11,Paramètres!$A$1:$I$89,5,0)</f>
        <v>242.90940960000015</v>
      </c>
      <c r="BF94" s="13">
        <f t="shared" si="91"/>
        <v>59.065064465860083</v>
      </c>
      <c r="BG94" s="20">
        <f t="shared" si="61"/>
        <v>525.93887566470653</v>
      </c>
      <c r="BH94" s="59">
        <f t="shared" si="62"/>
        <v>819.27220899803979</v>
      </c>
      <c r="BI94" s="59">
        <f ca="1">AVERAGE(OFFSET($BH$3,0,0,'Données projet'!$E$11+1,1))-AVERAGE(OFFSET($H$3,0,0,'Données projet'!$E$11+1,1))</f>
        <v>243.94505553629301</v>
      </c>
      <c r="BJ94" s="59">
        <f t="shared" si="92"/>
        <v>173.05364940250229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28.177132250063032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28.177132250063032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1.7053025658242404E-13</v>
      </c>
      <c r="BZ94" s="13">
        <f>BY94*VLOOKUP('Données projet'!$B$12,Paramètres!$A$1:$I$89,3,0)*VLOOKUP('Données projet'!$B$12,Paramètres!$A$1:$I$89,5,0)</f>
        <v>1.1173142411280423E-13</v>
      </c>
      <c r="CA94" s="13">
        <f t="shared" si="93"/>
        <v>1.6569896290553793E-12</v>
      </c>
      <c r="CB94" s="20">
        <f t="shared" si="64"/>
        <v>3.0805225009345862E-12</v>
      </c>
      <c r="CC94" s="59">
        <f t="shared" si="65"/>
        <v>293.33333333333638</v>
      </c>
      <c r="CD94" s="59">
        <f ca="1">AVERAGE(OFFSET($CC$3,0,0,'Données projet'!$E$12+1,1))-AVERAGE(OFFSET($H$3,0,0,'Données projet'!$E$12+1,1))</f>
        <v>140.9558843244115</v>
      </c>
      <c r="CE94" s="59">
        <f t="shared" si="94"/>
        <v>158.88947216184619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54.191568116775969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54.191568116775969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8.2910000000000021</v>
      </c>
      <c r="CT94" s="12">
        <f>IF('Données projet'!$A$140&gt;35,CT93+CS94-DB93,IF(A94&lt;'Données projet'!$A$140,$CQ$205^A94,IF(A94='Données projet'!$A$140,'Données projet'!$B$140,CT93+CS94-DB93)))</f>
        <v>321.91700000000026</v>
      </c>
      <c r="CU94" s="17">
        <f>CT94*VLOOKUP('Données projet'!$B$13,Paramètres!$A$1:$I$89,3,0)*VLOOKUP('Données projet'!$B$13,Paramètres!$A$1:$I$89,5,0)</f>
        <v>311.35812240000024</v>
      </c>
      <c r="CV94" s="13">
        <f t="shared" si="95"/>
        <v>73.552387982296665</v>
      </c>
      <c r="CW94" s="20">
        <f t="shared" si="67"/>
        <v>670.38580558250044</v>
      </c>
      <c r="CX94" s="59">
        <f t="shared" si="68"/>
        <v>963.71913891583381</v>
      </c>
      <c r="CY94" s="59">
        <f ca="1">AVERAGE(OFFSET($CX$3,0,0,'Données projet'!$E$13+1,1))-AVERAGE(OFFSET($H$3,0,0,'Données projet'!$E$13+1,1))</f>
        <v>467.11196088914556</v>
      </c>
      <c r="CZ94" s="59">
        <f t="shared" si="96"/>
        <v>208.53783609106262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40.152323643687772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40.152323643687772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8.2910000000000021</v>
      </c>
      <c r="DO94" s="12">
        <f>IF('Données projet'!$A$166&gt;35,DO93+DN94-DW93,IF(A94&lt;'Données projet'!$A$166,$DL$205^A94,IF(A94='Données projet'!$A$166,'Données projet'!$B$166,DO93+DN94-DW93)))</f>
        <v>321.91700000000026</v>
      </c>
      <c r="DP94" s="17">
        <f>DO94*VLOOKUP('Données projet'!$B$14,Paramètres!$A$1:$I$89,3,0)*VLOOKUP('Données projet'!$B$14,Paramètres!$A$1:$I$89,5,0)</f>
        <v>346.51145880000024</v>
      </c>
      <c r="DQ94" s="13">
        <f t="shared" si="97"/>
        <v>80.843766123376099</v>
      </c>
      <c r="DR94" s="20">
        <f t="shared" si="70"/>
        <v>744.31035007488038</v>
      </c>
      <c r="DS94" s="59">
        <f t="shared" si="71"/>
        <v>1037.6436834082137</v>
      </c>
      <c r="DT94" s="59">
        <f ca="1">AVERAGE(OFFSET($DS$3,0,0,'Données projet'!$E$14+1,1))-AVERAGE(OFFSET($H$3,0,0,'Données projet'!$E$14+1,1))</f>
        <v>531.65020827367698</v>
      </c>
      <c r="DU94" s="59">
        <f t="shared" si="98"/>
        <v>235.89413420278396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44.685650506684759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44.685650506684759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53.102399999999946</v>
      </c>
      <c r="D95" s="11">
        <f t="shared" si="86"/>
        <v>15.41213936913595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528.88416355122445</v>
      </c>
      <c r="H95" s="67">
        <f t="shared" si="56"/>
        <v>412.6628227345783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314.22593280000024</v>
      </c>
      <c r="P95" s="13">
        <f t="shared" si="87"/>
        <v>74.150676467648211</v>
      </c>
      <c r="Q95" s="20">
        <f t="shared" si="54"/>
        <v>676.42259447448771</v>
      </c>
      <c r="R95" s="59">
        <f t="shared" si="55"/>
        <v>969.75592780782108</v>
      </c>
      <c r="S95" s="59">
        <f ca="1">AVERAGE(OFFSET($R$3,0,0,'Données projet'!$E$9+1,1))-AVERAGE(OFFSET($H$3,0,0,'Données projet'!$E$9+1,1))</f>
        <v>457.88065872594228</v>
      </c>
      <c r="T95" s="59">
        <f t="shared" si="88"/>
        <v>204.62439362068329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38.730042340638533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38.730042340638533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937.2121839517531</v>
      </c>
      <c r="AN95" s="59">
        <f ca="1">AVERAGE(OFFSET($AM$3,0,0,'Données projet'!$E$10+1,1))-AVERAGE(OFFSET($H$3,0,0,'Données projet'!$E$10+1,1))</f>
        <v>430.16825592717629</v>
      </c>
      <c r="AO95" s="59">
        <f t="shared" si="90"/>
        <v>192.87542067077248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7.9879999999999969</v>
      </c>
      <c r="BD95" s="12">
        <f>IF('Données projet'!$A$88&gt;35,BD94+BC95-BL94,IF(A95&lt;'Données projet'!$A$88,$BA$205^A95,IF(A95='Données projet'!$A$88,'Données projet'!$B$88,BD94+BC95-BL94)))</f>
        <v>296.34200000000016</v>
      </c>
      <c r="BE95" s="13">
        <f>BD95*VLOOKUP('Données projet'!$B$11,Paramètres!$A$1:$I$89,3,0)*VLOOKUP('Données projet'!$B$11,Paramètres!$A$1:$I$89,5,0)</f>
        <v>249.63850080000017</v>
      </c>
      <c r="BF95" s="13">
        <f t="shared" si="91"/>
        <v>60.508524721393243</v>
      </c>
      <c r="BG95" s="20">
        <f t="shared" si="61"/>
        <v>540.17273611642679</v>
      </c>
      <c r="BH95" s="59">
        <f t="shared" si="62"/>
        <v>833.50606944976016</v>
      </c>
      <c r="BI95" s="59">
        <f ca="1">AVERAGE(OFFSET($BH$3,0,0,'Données projet'!$E$11+1,1))-AVERAGE(OFFSET($H$3,0,0,'Données projet'!$E$11+1,1))</f>
        <v>243.94505553629301</v>
      </c>
      <c r="BJ95" s="59">
        <f t="shared" si="92"/>
        <v>173.05364940250229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27.624595872992955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27.624595872992955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1.7053025658242404E-13</v>
      </c>
      <c r="BZ95" s="13">
        <f>BY95*VLOOKUP('Données projet'!$B$12,Paramètres!$A$1:$I$89,3,0)*VLOOKUP('Données projet'!$B$12,Paramètres!$A$1:$I$89,5,0)</f>
        <v>1.1173142411280423E-13</v>
      </c>
      <c r="CA95" s="13">
        <f t="shared" si="93"/>
        <v>1.6569896290553793E-12</v>
      </c>
      <c r="CB95" s="20">
        <f t="shared" si="64"/>
        <v>3.0805225009345862E-12</v>
      </c>
      <c r="CC95" s="59">
        <f t="shared" si="65"/>
        <v>293.33333333333638</v>
      </c>
      <c r="CD95" s="59">
        <f ca="1">AVERAGE(OFFSET($CC$3,0,0,'Données projet'!$E$12+1,1))-AVERAGE(OFFSET($H$3,0,0,'Données projet'!$E$12+1,1))</f>
        <v>140.9558843244115</v>
      </c>
      <c r="CE95" s="59">
        <f t="shared" si="94"/>
        <v>158.88947216184619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53.12890451959877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53.12890451959877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8.2910000000000021</v>
      </c>
      <c r="CT95" s="12">
        <f>IF('Données projet'!$A$140&gt;35,CT94+CS95-DB94,IF(A95&lt;'Données projet'!$A$140,$CQ$205^A95,IF(A95='Données projet'!$A$140,'Données projet'!$B$140,CT94+CS95-DB94)))</f>
        <v>330.20800000000025</v>
      </c>
      <c r="CU95" s="17">
        <f>CT95*VLOOKUP('Données projet'!$B$13,Paramètres!$A$1:$I$89,3,0)*VLOOKUP('Données projet'!$B$13,Paramètres!$A$1:$I$89,5,0)</f>
        <v>319.37717760000021</v>
      </c>
      <c r="CV95" s="13">
        <f t="shared" si="95"/>
        <v>75.223748659890148</v>
      </c>
      <c r="CW95" s="20">
        <f t="shared" si="67"/>
        <v>687.26327990264235</v>
      </c>
      <c r="CX95" s="59">
        <f t="shared" si="68"/>
        <v>980.59661323597561</v>
      </c>
      <c r="CY95" s="59">
        <f ca="1">AVERAGE(OFFSET($CX$3,0,0,'Données projet'!$E$13+1,1))-AVERAGE(OFFSET($H$3,0,0,'Données projet'!$E$13+1,1))</f>
        <v>467.11196088914556</v>
      </c>
      <c r="CZ95" s="59">
        <f t="shared" si="96"/>
        <v>208.53783609106262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39.364961067534239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39.364961067534239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8.2910000000000021</v>
      </c>
      <c r="DO95" s="12">
        <f>IF('Données projet'!$A$166&gt;35,DO94+DN95-DW94,IF(A95&lt;'Données projet'!$A$166,$DL$205^A95,IF(A95='Données projet'!$A$166,'Données projet'!$B$166,DO94+DN95-DW94)))</f>
        <v>330.20800000000025</v>
      </c>
      <c r="DP95" s="17">
        <f>DO95*VLOOKUP('Données projet'!$B$14,Paramètres!$A$1:$I$89,3,0)*VLOOKUP('Données projet'!$B$14,Paramètres!$A$1:$I$89,5,0)</f>
        <v>355.43589120000024</v>
      </c>
      <c r="DQ95" s="13">
        <f t="shared" si="97"/>
        <v>82.68081173717313</v>
      </c>
      <c r="DR95" s="20">
        <f t="shared" si="70"/>
        <v>763.05325761557697</v>
      </c>
      <c r="DS95" s="59">
        <f t="shared" si="71"/>
        <v>1056.3865909489102</v>
      </c>
      <c r="DT95" s="59">
        <f ca="1">AVERAGE(OFFSET($DS$3,0,0,'Données projet'!$E$14+1,1))-AVERAGE(OFFSET($H$3,0,0,'Données projet'!$E$14+1,1))</f>
        <v>531.65020827367698</v>
      </c>
      <c r="DU95" s="59">
        <f t="shared" si="98"/>
        <v>235.89413420278396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43.809392155804218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43.809392155804218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53.679599999999944</v>
      </c>
      <c r="D96" s="11">
        <f t="shared" si="86"/>
        <v>15.560069652005405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534.48166047162022</v>
      </c>
      <c r="H96" s="67">
        <f t="shared" si="56"/>
        <v>413.9257579772426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322.11564840000028</v>
      </c>
      <c r="P96" s="13">
        <f t="shared" si="87"/>
        <v>75.793386490032546</v>
      </c>
      <c r="Q96" s="20">
        <f t="shared" si="54"/>
        <v>693.02490243347381</v>
      </c>
      <c r="R96" s="59">
        <f t="shared" si="55"/>
        <v>986.35823576680718</v>
      </c>
      <c r="S96" s="59">
        <f ca="1">AVERAGE(OFFSET($R$3,0,0,'Données projet'!$E$9+1,1))-AVERAGE(OFFSET($H$3,0,0,'Données projet'!$E$9+1,1))</f>
        <v>457.88065872594228</v>
      </c>
      <c r="T96" s="59">
        <f t="shared" si="88"/>
        <v>204.62439362068329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37.970569833331865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37.970569833331865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953.01400076485106</v>
      </c>
      <c r="AN96" s="59">
        <f ca="1">AVERAGE(OFFSET($AM$3,0,0,'Données projet'!$E$10+1,1))-AVERAGE(OFFSET($H$3,0,0,'Données projet'!$E$10+1,1))</f>
        <v>430.16825592717629</v>
      </c>
      <c r="AO96" s="59">
        <f t="shared" si="90"/>
        <v>192.87542067077248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304.33</v>
      </c>
      <c r="BB96" s="12">
        <f>VLOOKUP(A96,'Données projet'!$A$87:$I$107,9,0)</f>
        <v>7.9879999999999969</v>
      </c>
      <c r="BC96" s="12">
        <f t="array" ref="BC96">INDEX(BB:BB,MIN(IF(ISNUMBER(BB96:BB292),ROW(BB96:BB292),"")))</f>
        <v>7.9879999999999969</v>
      </c>
      <c r="BD96" s="12">
        <f>IF('Données projet'!$A$88&gt;35,BD95+BC96-BL95,IF(A96&lt;'Données projet'!$A$88,$BA$205^A96,IF(A96='Données projet'!$A$88,'Données projet'!$B$88,BD95+BC96-BL95)))</f>
        <v>304.33000000000015</v>
      </c>
      <c r="BE96" s="13">
        <f>BD96*VLOOKUP('Données projet'!$B$11,Paramètres!$A$1:$I$89,3,0)*VLOOKUP('Données projet'!$B$11,Paramètres!$A$1:$I$89,5,0)</f>
        <v>256.36759200000012</v>
      </c>
      <c r="BF96" s="13">
        <f t="shared" si="91"/>
        <v>61.947462492340996</v>
      </c>
      <c r="BG96" s="20">
        <f t="shared" si="61"/>
        <v>554.39871990749418</v>
      </c>
      <c r="BH96" s="59">
        <f t="shared" si="62"/>
        <v>847.73205324082755</v>
      </c>
      <c r="BI96" s="59">
        <f ca="1">AVERAGE(OFFSET($BH$3,0,0,'Données projet'!$E$11+1,1))-AVERAGE(OFFSET($H$3,0,0,'Données projet'!$E$11+1,1))</f>
        <v>243.94505553629301</v>
      </c>
      <c r="BJ96" s="59">
        <f t="shared" si="92"/>
        <v>173.05364940250229</v>
      </c>
      <c r="BK96" s="15">
        <f>IF(ISNA(VLOOKUP(A96,'Données projet'!$A$87:$I$107,3,0)),0,VLOOKUP(A96,'Données projet'!$A$87:$I$107,3,0))</f>
        <v>8</v>
      </c>
      <c r="BL96" s="15">
        <f>IF(ISNA(VLOOKUP(A96,'Données projet'!$A$87:$I$107,4,0)),0,VLOOKUP(A96,'Données projet'!$A$87:$I$107,4,0))</f>
        <v>59.26</v>
      </c>
      <c r="BM96" s="16">
        <f>IF(ISNA(VLOOKUP(A96,'Données projet'!$A$87:$I$107,5,0)),0%,VLOOKUP(A96,'Données projet'!$A$87:$I$107,5,0)*VLOOKUP('Données projet'!$B$11,Paramètres!$A$1:$I$89,7,0))</f>
        <v>0.25800000000000001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41.320823356492156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41.320823356492156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1.7053025658242404E-13</v>
      </c>
      <c r="BZ96" s="13">
        <f>BY96*VLOOKUP('Données projet'!$B$12,Paramètres!$A$1:$I$89,3,0)*VLOOKUP('Données projet'!$B$12,Paramètres!$A$1:$I$89,5,0)</f>
        <v>1.1173142411280423E-13</v>
      </c>
      <c r="CA96" s="13">
        <f t="shared" si="93"/>
        <v>1.6569896290553793E-12</v>
      </c>
      <c r="CB96" s="20">
        <f t="shared" si="64"/>
        <v>3.0805225009345862E-12</v>
      </c>
      <c r="CC96" s="59">
        <f t="shared" si="65"/>
        <v>293.33333333333638</v>
      </c>
      <c r="CD96" s="59">
        <f ca="1">AVERAGE(OFFSET($CC$3,0,0,'Données projet'!$E$12+1,1))-AVERAGE(OFFSET($H$3,0,0,'Données projet'!$E$12+1,1))</f>
        <v>140.9558843244115</v>
      </c>
      <c r="CE96" s="59">
        <f t="shared" si="94"/>
        <v>158.88947216184619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52.087079107401422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52.087079107401422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8.2910000000000021</v>
      </c>
      <c r="CT96" s="12">
        <f>IF('Données projet'!$A$140&gt;35,CT95+CS96-DB95,IF(A96&lt;'Données projet'!$A$140,$CQ$205^A96,IF(A96='Données projet'!$A$140,'Données projet'!$B$140,CT95+CS96-DB95)))</f>
        <v>338.49900000000025</v>
      </c>
      <c r="CU96" s="17">
        <f>CT96*VLOOKUP('Données projet'!$B$13,Paramètres!$A$1:$I$89,3,0)*VLOOKUP('Données projet'!$B$13,Paramètres!$A$1:$I$89,5,0)</f>
        <v>327.39623280000023</v>
      </c>
      <c r="CV96" s="13">
        <f t="shared" si="95"/>
        <v>76.890231175377878</v>
      </c>
      <c r="CW96" s="20">
        <f t="shared" si="67"/>
        <v>704.13225809045025</v>
      </c>
      <c r="CX96" s="59">
        <f t="shared" si="68"/>
        <v>997.46559142378351</v>
      </c>
      <c r="CY96" s="59">
        <f ca="1">AVERAGE(OFFSET($CX$3,0,0,'Données projet'!$E$13+1,1))-AVERAGE(OFFSET($H$3,0,0,'Données projet'!$E$13+1,1))</f>
        <v>467.11196088914556</v>
      </c>
      <c r="CZ96" s="59">
        <f t="shared" si="96"/>
        <v>208.53783609106262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38.593038191255324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38.593038191255324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8.2910000000000021</v>
      </c>
      <c r="DO96" s="12">
        <f>IF('Données projet'!$A$166&gt;35,DO95+DN96-DW95,IF(A96&lt;'Données projet'!$A$166,$DL$205^A96,IF(A96='Données projet'!$A$166,'Données projet'!$B$166,DO95+DN96-DW95)))</f>
        <v>338.49900000000025</v>
      </c>
      <c r="DP96" s="17">
        <f>DO96*VLOOKUP('Données projet'!$B$14,Paramètres!$A$1:$I$89,3,0)*VLOOKUP('Données projet'!$B$14,Paramètres!$A$1:$I$89,5,0)</f>
        <v>364.36032360000024</v>
      </c>
      <c r="DQ96" s="13">
        <f t="shared" si="97"/>
        <v>84.512495608038222</v>
      </c>
      <c r="DR96" s="20">
        <f t="shared" si="70"/>
        <v>781.78682678733367</v>
      </c>
      <c r="DS96" s="59">
        <f t="shared" si="71"/>
        <v>1075.1201601206669</v>
      </c>
      <c r="DT96" s="59">
        <f ca="1">AVERAGE(OFFSET($DS$3,0,0,'Données projet'!$E$14+1,1))-AVERAGE(OFFSET($H$3,0,0,'Données projet'!$E$14+1,1))</f>
        <v>531.65020827367698</v>
      </c>
      <c r="DU96" s="59">
        <f t="shared" si="98"/>
        <v>235.89413420278396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42.950316696719625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42.950316696719625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54.256799999999942</v>
      </c>
      <c r="D97" s="11">
        <f t="shared" si="86"/>
        <v>15.707814895473708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540.07772901769135</v>
      </c>
      <c r="H97" s="67">
        <f t="shared" si="56"/>
        <v>415.18837094294992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330.00536400000021</v>
      </c>
      <c r="P97" s="13">
        <f t="shared" si="87"/>
        <v>77.43141926482366</v>
      </c>
      <c r="Q97" s="20">
        <f t="shared" si="54"/>
        <v>709.61906418623494</v>
      </c>
      <c r="R97" s="59">
        <f t="shared" si="55"/>
        <v>1002.9523975195682</v>
      </c>
      <c r="S97" s="59">
        <f ca="1">AVERAGE(OFFSET($R$3,0,0,'Données projet'!$E$9+1,1))-AVERAGE(OFFSET($H$3,0,0,'Données projet'!$E$9+1,1))</f>
        <v>457.88065872594228</v>
      </c>
      <c r="T97" s="59">
        <f t="shared" si="88"/>
        <v>204.62439362068329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54.012520997595786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54.012520997595786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968.80802640341767</v>
      </c>
      <c r="AN97" s="59">
        <f ca="1">AVERAGE(OFFSET($AM$3,0,0,'Données projet'!$E$10+1,1))-AVERAGE(OFFSET($H$3,0,0,'Données projet'!$E$10+1,1))</f>
        <v>430.16825592717629</v>
      </c>
      <c r="AO97" s="59">
        <f t="shared" si="90"/>
        <v>192.87542067077248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7.7120000000000006</v>
      </c>
      <c r="BD97" s="12">
        <f>IF('Données projet'!$A$88&gt;35,BD96+BC97-BL96,IF(A97&lt;'Données projet'!$A$88,$BA$205^A97,IF(A97='Données projet'!$A$88,'Données projet'!$B$88,BD96+BC97-BL96)))</f>
        <v>252.78200000000015</v>
      </c>
      <c r="BE97" s="13">
        <f>BD97*VLOOKUP('Données projet'!$B$11,Paramètres!$A$1:$I$89,3,0)*VLOOKUP('Données projet'!$B$11,Paramètres!$A$1:$I$89,5,0)</f>
        <v>212.94355680000015</v>
      </c>
      <c r="BF97" s="13">
        <f t="shared" si="91"/>
        <v>52.578304887940781</v>
      </c>
      <c r="BG97" s="20">
        <f t="shared" si="61"/>
        <v>462.45057577316379</v>
      </c>
      <c r="BH97" s="59">
        <f t="shared" si="62"/>
        <v>755.78390910649705</v>
      </c>
      <c r="BI97" s="59">
        <f ca="1">AVERAGE(OFFSET($BH$3,0,0,'Données projet'!$E$11+1,1))-AVERAGE(OFFSET($H$3,0,0,'Données projet'!$E$11+1,1))</f>
        <v>243.94505553629301</v>
      </c>
      <c r="BJ97" s="59">
        <f t="shared" si="92"/>
        <v>173.05364940250229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40.51054721368498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40.51054721368498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1.7053025658242404E-13</v>
      </c>
      <c r="BZ97" s="13">
        <f>BY97*VLOOKUP('Données projet'!$B$12,Paramètres!$A$1:$I$89,3,0)*VLOOKUP('Données projet'!$B$12,Paramètres!$A$1:$I$89,5,0)</f>
        <v>1.1173142411280423E-13</v>
      </c>
      <c r="CA97" s="13">
        <f t="shared" si="93"/>
        <v>1.6569896290553793E-12</v>
      </c>
      <c r="CB97" s="20">
        <f t="shared" si="64"/>
        <v>3.0805225009345862E-12</v>
      </c>
      <c r="CC97" s="59">
        <f t="shared" si="65"/>
        <v>293.33333333333638</v>
      </c>
      <c r="CD97" s="59">
        <f ca="1">AVERAGE(OFFSET($CC$3,0,0,'Données projet'!$E$12+1,1))-AVERAGE(OFFSET($H$3,0,0,'Données projet'!$E$12+1,1))</f>
        <v>140.9558843244115</v>
      </c>
      <c r="CE97" s="59">
        <f t="shared" si="94"/>
        <v>158.88947216184619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51.065683256086508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51.065683256086508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346.79</v>
      </c>
      <c r="CR97" s="12">
        <f>VLOOKUP(A97,'Données projet'!$A$139:$I$159,9,0)</f>
        <v>8.2910000000000021</v>
      </c>
      <c r="CS97" s="12">
        <f t="array" ref="CS97">INDEX(CR:CR,MIN(IF(ISNUMBER(CR97:CR293),ROW(CR97:CR293),"")))</f>
        <v>8.2910000000000021</v>
      </c>
      <c r="CT97" s="12">
        <f>IF('Données projet'!$A$140&gt;35,CT96+CS97-DB96,IF(A97&lt;'Données projet'!$A$140,$CQ$205^A97,IF(A97='Données projet'!$A$140,'Données projet'!$B$140,CT96+CS97-DB96)))</f>
        <v>346.79000000000025</v>
      </c>
      <c r="CU97" s="17">
        <f>CT97*VLOOKUP('Données projet'!$B$13,Paramètres!$A$1:$I$89,3,0)*VLOOKUP('Données projet'!$B$13,Paramètres!$A$1:$I$89,5,0)</f>
        <v>335.41528800000026</v>
      </c>
      <c r="CV97" s="13">
        <f t="shared" si="95"/>
        <v>78.551968756441127</v>
      </c>
      <c r="CW97" s="20">
        <f t="shared" si="67"/>
        <v>720.9929721841354</v>
      </c>
      <c r="CX97" s="59">
        <f t="shared" si="68"/>
        <v>1014.3263055174687</v>
      </c>
      <c r="CY97" s="59">
        <f ca="1">AVERAGE(OFFSET($CX$3,0,0,'Données projet'!$E$13+1,1))-AVERAGE(OFFSET($H$3,0,0,'Données projet'!$E$13+1,1))</f>
        <v>467.11196088914556</v>
      </c>
      <c r="CZ97" s="59">
        <f t="shared" si="96"/>
        <v>208.53783609106262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0.25800000000000001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54.897972161490785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54.897972161490785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346.79</v>
      </c>
      <c r="DM97" s="12">
        <f>VLOOKUP(A97,'Données projet'!$A$165:$I$185,9,0)</f>
        <v>8.2910000000000021</v>
      </c>
      <c r="DN97" s="12">
        <f t="array" ref="DN97">INDEX(DM:DM,MIN(IF(ISNUMBER(DM97:DM293),ROW(DM97:DM293),"")))</f>
        <v>8.2910000000000021</v>
      </c>
      <c r="DO97" s="12">
        <f>IF('Données projet'!$A$166&gt;35,DO96+DN97-DW96,IF(A97&lt;'Données projet'!$A$166,$DL$205^A97,IF(A97='Données projet'!$A$166,'Données projet'!$B$166,DO96+DN97-DW96)))</f>
        <v>346.79000000000025</v>
      </c>
      <c r="DP97" s="17">
        <f>DO97*VLOOKUP('Données projet'!$B$14,Paramètres!$A$1:$I$89,3,0)*VLOOKUP('Données projet'!$B$14,Paramètres!$A$1:$I$89,5,0)</f>
        <v>373.28475600000024</v>
      </c>
      <c r="DQ97" s="13">
        <f t="shared" si="97"/>
        <v>86.338964170748</v>
      </c>
      <c r="DR97" s="20">
        <f t="shared" si="70"/>
        <v>800.51131263071977</v>
      </c>
      <c r="DS97" s="59">
        <f t="shared" si="71"/>
        <v>1093.8446459640531</v>
      </c>
      <c r="DT97" s="59">
        <f ca="1">AVERAGE(OFFSET($DS$3,0,0,'Données projet'!$E$14+1,1))-AVERAGE(OFFSET($H$3,0,0,'Données projet'!$E$14+1,1))</f>
        <v>531.65020827367698</v>
      </c>
      <c r="DU97" s="59">
        <f t="shared" si="98"/>
        <v>235.89413420278396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61.85</v>
      </c>
      <c r="DX97" s="16">
        <f>IF(ISNA(VLOOKUP(A97,'Données projet'!$A$165:$I$185,5,0)),0%,VLOOKUP(A97,'Données projet'!$A$165:$I$185,5,0)*VLOOKUP('Données projet'!$B$14,Paramètres!$A$1:$I$89,7,0))</f>
        <v>0.25800000000000001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61.096130308755875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61.096130308755875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54.833999999999939</v>
      </c>
      <c r="D98" s="11">
        <f t="shared" si="86"/>
        <v>15.855377295902153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545.67238614380562</v>
      </c>
      <c r="H98" s="67">
        <f t="shared" si="56"/>
        <v>416.45066545702946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278.80642920000025</v>
      </c>
      <c r="P98" s="13">
        <f t="shared" si="87"/>
        <v>66.714710382732235</v>
      </c>
      <c r="Q98" s="20">
        <f t="shared" si="54"/>
        <v>601.78265143992576</v>
      </c>
      <c r="R98" s="59">
        <f t="shared" si="55"/>
        <v>895.11598477325902</v>
      </c>
      <c r="S98" s="59">
        <f ca="1">AVERAGE(OFFSET($R$3,0,0,'Données projet'!$E$9+1,1))-AVERAGE(OFFSET($H$3,0,0,'Données projet'!$E$9+1,1))</f>
        <v>457.88065872594228</v>
      </c>
      <c r="T98" s="59">
        <f t="shared" si="88"/>
        <v>204.62439362068329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52.953368405217752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52.953368405217752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866.17055992404789</v>
      </c>
      <c r="AN98" s="59">
        <f ca="1">AVERAGE(OFFSET($AM$3,0,0,'Données projet'!$E$10+1,1))-AVERAGE(OFFSET($H$3,0,0,'Données projet'!$E$10+1,1))</f>
        <v>430.16825592717629</v>
      </c>
      <c r="AO98" s="59">
        <f t="shared" si="90"/>
        <v>192.87542067077248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7.7120000000000006</v>
      </c>
      <c r="BD98" s="12">
        <f>IF('Données projet'!$A$88&gt;35,BD97+BC98-BL97,IF(A98&lt;'Données projet'!$A$88,$BA$205^A98,IF(A98='Données projet'!$A$88,'Données projet'!$B$88,BD97+BC98-BL97)))</f>
        <v>260.49400000000014</v>
      </c>
      <c r="BE98" s="13">
        <f>BD98*VLOOKUP('Données projet'!$B$11,Paramètres!$A$1:$I$89,3,0)*VLOOKUP('Données projet'!$B$11,Paramètres!$A$1:$I$89,5,0)</f>
        <v>219.44014560000016</v>
      </c>
      <c r="BF98" s="13">
        <f t="shared" si="91"/>
        <v>53.993186093910936</v>
      </c>
      <c r="BG98" s="20">
        <f t="shared" si="61"/>
        <v>476.2297193668951</v>
      </c>
      <c r="BH98" s="59">
        <f t="shared" si="62"/>
        <v>769.56305270022835</v>
      </c>
      <c r="BI98" s="59">
        <f ca="1">AVERAGE(OFFSET($BH$3,0,0,'Données projet'!$E$11+1,1))-AVERAGE(OFFSET($H$3,0,0,'Données projet'!$E$11+1,1))</f>
        <v>243.94505553629301</v>
      </c>
      <c r="BJ98" s="59">
        <f t="shared" si="92"/>
        <v>173.05364940250229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39.716160091818608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39.716160091818608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1.7053025658242404E-13</v>
      </c>
      <c r="BZ98" s="13">
        <f>BY98*VLOOKUP('Données projet'!$B$12,Paramètres!$A$1:$I$89,3,0)*VLOOKUP('Données projet'!$B$12,Paramètres!$A$1:$I$89,5,0)</f>
        <v>1.1173142411280423E-13</v>
      </c>
      <c r="CA98" s="13">
        <f t="shared" si="93"/>
        <v>1.6569896290553793E-12</v>
      </c>
      <c r="CB98" s="20">
        <f t="shared" si="64"/>
        <v>3.0805225009345862E-12</v>
      </c>
      <c r="CC98" s="59">
        <f t="shared" si="65"/>
        <v>293.33333333333638</v>
      </c>
      <c r="CD98" s="59">
        <f ca="1">AVERAGE(OFFSET($CC$3,0,0,'Données projet'!$E$12+1,1))-AVERAGE(OFFSET($H$3,0,0,'Données projet'!$E$12+1,1))</f>
        <v>140.9558843244115</v>
      </c>
      <c r="CE98" s="59">
        <f t="shared" si="94"/>
        <v>158.88947216184619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50.064316354425927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50.064316354425927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8.0470000000000024</v>
      </c>
      <c r="CT98" s="12">
        <f>IF('Données projet'!$A$140&gt;35,CT97+CS98-DB97,IF(A98&lt;'Données projet'!$A$140,$CQ$205^A98,IF(A98='Données projet'!$A$140,'Données projet'!$B$140,CT97+CS98-DB97)))</f>
        <v>292.98700000000025</v>
      </c>
      <c r="CU98" s="17">
        <f>CT98*VLOOKUP('Données projet'!$B$13,Paramètres!$A$1:$I$89,3,0)*VLOOKUP('Données projet'!$B$13,Paramètres!$A$1:$I$89,5,0)</f>
        <v>283.37702640000026</v>
      </c>
      <c r="CV98" s="13">
        <f t="shared" si="95"/>
        <v>67.68017292381127</v>
      </c>
      <c r="CW98" s="20">
        <f t="shared" si="67"/>
        <v>611.42462215563842</v>
      </c>
      <c r="CX98" s="59">
        <f t="shared" si="68"/>
        <v>904.75795548897167</v>
      </c>
      <c r="CY98" s="59">
        <f ca="1">AVERAGE(OFFSET($CX$3,0,0,'Données projet'!$E$13+1,1))-AVERAGE(OFFSET($H$3,0,0,'Données projet'!$E$13+1,1))</f>
        <v>467.11196088914556</v>
      </c>
      <c r="CZ98" s="59">
        <f t="shared" si="96"/>
        <v>208.53783609106262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53.821456411860652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53.821456411860652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8.0470000000000024</v>
      </c>
      <c r="DO98" s="12">
        <f>IF('Données projet'!$A$166&gt;35,DO97+DN98-DW97,IF(A98&lt;'Données projet'!$A$166,$DL$205^A98,IF(A98='Données projet'!$A$166,'Données projet'!$B$166,DO97+DN98-DW97)))</f>
        <v>292.98700000000025</v>
      </c>
      <c r="DP98" s="17">
        <f>DO98*VLOOKUP('Données projet'!$B$14,Paramètres!$A$1:$I$89,3,0)*VLOOKUP('Données projet'!$B$14,Paramètres!$A$1:$I$89,5,0)</f>
        <v>315.37120680000027</v>
      </c>
      <c r="DQ98" s="13">
        <f t="shared" si="97"/>
        <v>74.389428013665466</v>
      </c>
      <c r="DR98" s="20">
        <f t="shared" si="70"/>
        <v>678.8331056338011</v>
      </c>
      <c r="DS98" s="59">
        <f t="shared" si="71"/>
        <v>972.16643896713435</v>
      </c>
      <c r="DT98" s="59">
        <f ca="1">AVERAGE(OFFSET($DS$3,0,0,'Données projet'!$E$14+1,1))-AVERAGE(OFFSET($H$3,0,0,'Données projet'!$E$14+1,1))</f>
        <v>531.65020827367698</v>
      </c>
      <c r="DU98" s="59">
        <f t="shared" si="98"/>
        <v>235.89413420278396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59.89807245836105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59.89807245836105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55.411199999999937</v>
      </c>
      <c r="D99" s="11">
        <f t="shared" si="86"/>
        <v>16.002759000749037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551.26564842683422</v>
      </c>
      <c r="H99" s="67">
        <f t="shared" si="56"/>
        <v>417.71264525963778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286.46395440000026</v>
      </c>
      <c r="P99" s="13">
        <f t="shared" si="87"/>
        <v>68.331208484937235</v>
      </c>
      <c r="Q99" s="20">
        <f t="shared" ref="Q99:Q130" si="107">(O99+P99)*0.475*44/12</f>
        <v>617.93490869126617</v>
      </c>
      <c r="R99" s="59">
        <f t="shared" si="55"/>
        <v>911.26824202459943</v>
      </c>
      <c r="S99" s="59">
        <f ca="1">AVERAGE(OFFSET($R$3,0,0,'Données projet'!$E$9+1,1))-AVERAGE(OFFSET($H$3,0,0,'Données projet'!$E$9+1,1))</f>
        <v>457.88065872594228</v>
      </c>
      <c r="T99" s="59">
        <f t="shared" si="88"/>
        <v>204.62439362068329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51.914985149156962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51.914985149156962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881.54420411452793</v>
      </c>
      <c r="AN99" s="59">
        <f ca="1">AVERAGE(OFFSET($AM$3,0,0,'Données projet'!$E$10+1,1))-AVERAGE(OFFSET($H$3,0,0,'Données projet'!$E$10+1,1))</f>
        <v>430.16825592717629</v>
      </c>
      <c r="AO99" s="59">
        <f t="shared" si="90"/>
        <v>192.87542067077248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7.7120000000000006</v>
      </c>
      <c r="BD99" s="12">
        <f>IF('Données projet'!$A$88&gt;35,BD98+BC99-BL98,IF(A99&lt;'Données projet'!$A$88,$BA$205^A99,IF(A99='Données projet'!$A$88,'Données projet'!$B$88,BD98+BC99-BL98)))</f>
        <v>268.20600000000013</v>
      </c>
      <c r="BE99" s="13">
        <f>BD99*VLOOKUP('Données projet'!$B$11,Paramètres!$A$1:$I$89,3,0)*VLOOKUP('Données projet'!$B$11,Paramètres!$A$1:$I$89,5,0)</f>
        <v>225.93673440000015</v>
      </c>
      <c r="BF99" s="13">
        <f t="shared" si="91"/>
        <v>55.403199180664444</v>
      </c>
      <c r="BG99" s="20">
        <f t="shared" si="61"/>
        <v>490.00038431965748</v>
      </c>
      <c r="BH99" s="59">
        <f t="shared" si="62"/>
        <v>783.3337176529908</v>
      </c>
      <c r="BI99" s="59">
        <f ca="1">AVERAGE(OFFSET($BH$3,0,0,'Données projet'!$E$11+1,1))-AVERAGE(OFFSET($H$3,0,0,'Données projet'!$E$11+1,1))</f>
        <v>243.94505553629301</v>
      </c>
      <c r="BJ99" s="59">
        <f t="shared" si="92"/>
        <v>173.05364940250229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38.937350416883731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38.937350416883731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1.7053025658242404E-13</v>
      </c>
      <c r="BZ99" s="13">
        <f>BY99*VLOOKUP('Données projet'!$B$12,Paramètres!$A$1:$I$89,3,0)*VLOOKUP('Données projet'!$B$12,Paramètres!$A$1:$I$89,5,0)</f>
        <v>1.1173142411280423E-13</v>
      </c>
      <c r="CA99" s="13">
        <f t="shared" si="93"/>
        <v>1.6569896290553793E-12</v>
      </c>
      <c r="CB99" s="20">
        <f t="shared" si="64"/>
        <v>3.0805225009345862E-12</v>
      </c>
      <c r="CC99" s="59">
        <f t="shared" si="65"/>
        <v>293.33333333333638</v>
      </c>
      <c r="CD99" s="59">
        <f ca="1">AVERAGE(OFFSET($CC$3,0,0,'Données projet'!$E$12+1,1))-AVERAGE(OFFSET($H$3,0,0,'Données projet'!$E$12+1,1))</f>
        <v>140.9558843244115</v>
      </c>
      <c r="CE99" s="59">
        <f t="shared" si="94"/>
        <v>158.88947216184619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49.08258564693341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49.08258564693341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8.0470000000000024</v>
      </c>
      <c r="CT99" s="12">
        <f>IF('Données projet'!$A$140&gt;35,CT98+CS99-DB98,IF(A99&lt;'Données projet'!$A$140,$CQ$205^A99,IF(A99='Données projet'!$A$140,'Données projet'!$B$140,CT98+CS99-DB98)))</f>
        <v>301.03400000000028</v>
      </c>
      <c r="CU99" s="17">
        <f>CT99*VLOOKUP('Données projet'!$B$13,Paramètres!$A$1:$I$89,3,0)*VLOOKUP('Données projet'!$B$13,Paramètres!$A$1:$I$89,5,0)</f>
        <v>291.16008480000028</v>
      </c>
      <c r="CV99" s="13">
        <f t="shared" si="95"/>
        <v>69.320064193077258</v>
      </c>
      <c r="CW99" s="20">
        <f t="shared" si="67"/>
        <v>627.83625949627674</v>
      </c>
      <c r="CX99" s="59">
        <f t="shared" si="68"/>
        <v>921.16959282961011</v>
      </c>
      <c r="CY99" s="59">
        <f ca="1">AVERAGE(OFFSET($CX$3,0,0,'Données projet'!$E$13+1,1))-AVERAGE(OFFSET($H$3,0,0,'Données projet'!$E$13+1,1))</f>
        <v>467.11196088914556</v>
      </c>
      <c r="CZ99" s="59">
        <f t="shared" si="96"/>
        <v>208.53783609106262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52.766050479470998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52.766050479470998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8.0470000000000024</v>
      </c>
      <c r="DO99" s="12">
        <f>IF('Données projet'!$A$166&gt;35,DO98+DN99-DW98,IF(A99&lt;'Données projet'!$A$166,$DL$205^A99,IF(A99='Données projet'!$A$166,'Données projet'!$B$166,DO98+DN99-DW98)))</f>
        <v>301.03400000000028</v>
      </c>
      <c r="DP99" s="17">
        <f>DO99*VLOOKUP('Données projet'!$B$14,Paramètres!$A$1:$I$89,3,0)*VLOOKUP('Données projet'!$B$14,Paramètres!$A$1:$I$89,5,0)</f>
        <v>324.03299760000027</v>
      </c>
      <c r="DQ99" s="13">
        <f t="shared" si="97"/>
        <v>76.191884601100995</v>
      </c>
      <c r="DR99" s="20">
        <f t="shared" si="70"/>
        <v>697.05833650025124</v>
      </c>
      <c r="DS99" s="59">
        <f t="shared" si="71"/>
        <v>990.3916698335845</v>
      </c>
      <c r="DT99" s="59">
        <f ca="1">AVERAGE(OFFSET($DS$3,0,0,'Données projet'!$E$14+1,1))-AVERAGE(OFFSET($H$3,0,0,'Données projet'!$E$14+1,1))</f>
        <v>531.65020827367698</v>
      </c>
      <c r="DU99" s="59">
        <f t="shared" si="98"/>
        <v>235.89413420278396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58.723507791669334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58.723507791669334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55.988399999999935</v>
      </c>
      <c r="D100" s="11">
        <f t="shared" si="86"/>
        <v>16.149962110156299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556.85753207839912</v>
      </c>
      <c r="H100" s="67">
        <f t="shared" si="56"/>
        <v>418.97431400852207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294.12147960000027</v>
      </c>
      <c r="P100" s="13">
        <f t="shared" si="87"/>
        <v>69.942684019322471</v>
      </c>
      <c r="Q100" s="20">
        <f t="shared" si="107"/>
        <v>634.07841830365373</v>
      </c>
      <c r="R100" s="59">
        <f t="shared" si="55"/>
        <v>927.41175163698699</v>
      </c>
      <c r="S100" s="59">
        <f ca="1">AVERAGE(OFFSET($R$3,0,0,'Données projet'!$E$9+1,1))-AVERAGE(OFFSET($H$3,0,0,'Données projet'!$E$9+1,1))</f>
        <v>457.88065872594228</v>
      </c>
      <c r="T100" s="59">
        <f t="shared" si="88"/>
        <v>204.62439362068329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50.896963955396274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50.896963955396274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896.9094819096656</v>
      </c>
      <c r="AN100" s="59">
        <f ca="1">AVERAGE(OFFSET($AM$3,0,0,'Données projet'!$E$10+1,1))-AVERAGE(OFFSET($H$3,0,0,'Données projet'!$E$10+1,1))</f>
        <v>430.16825592717629</v>
      </c>
      <c r="AO100" s="59">
        <f t="shared" si="90"/>
        <v>192.87542067077248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7.7120000000000006</v>
      </c>
      <c r="BD100" s="12">
        <f>IF('Données projet'!$A$88&gt;35,BD99+BC100-BL99,IF(A100&lt;'Données projet'!$A$88,$BA$205^A100,IF(A100='Données projet'!$A$88,'Données projet'!$B$88,BD99+BC100-BL99)))</f>
        <v>275.91800000000012</v>
      </c>
      <c r="BE100" s="13">
        <f>BD100*VLOOKUP('Données projet'!$B$11,Paramètres!$A$1:$I$89,3,0)*VLOOKUP('Données projet'!$B$11,Paramètres!$A$1:$I$89,5,0)</f>
        <v>232.4333232000001</v>
      </c>
      <c r="BF100" s="13">
        <f t="shared" si="91"/>
        <v>56.808500201978752</v>
      </c>
      <c r="BG100" s="20">
        <f t="shared" si="61"/>
        <v>503.76284242511315</v>
      </c>
      <c r="BH100" s="59">
        <f t="shared" si="62"/>
        <v>797.09617575844641</v>
      </c>
      <c r="BI100" s="59">
        <f ca="1">AVERAGE(OFFSET($BH$3,0,0,'Données projet'!$E$11+1,1))-AVERAGE(OFFSET($H$3,0,0,'Données projet'!$E$11+1,1))</f>
        <v>243.94505553629301</v>
      </c>
      <c r="BJ100" s="59">
        <f t="shared" si="92"/>
        <v>173.05364940250229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38.173812724647334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38.173812724647334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1.7053025658242404E-13</v>
      </c>
      <c r="BZ100" s="13">
        <f>BY100*VLOOKUP('Données projet'!$B$12,Paramètres!$A$1:$I$89,3,0)*VLOOKUP('Données projet'!$B$12,Paramètres!$A$1:$I$89,5,0)</f>
        <v>1.1173142411280423E-13</v>
      </c>
      <c r="CA100" s="13">
        <f t="shared" si="93"/>
        <v>1.6569896290553793E-12</v>
      </c>
      <c r="CB100" s="20">
        <f t="shared" si="64"/>
        <v>3.0805225009345862E-12</v>
      </c>
      <c r="CC100" s="59">
        <f t="shared" si="65"/>
        <v>293.33333333333638</v>
      </c>
      <c r="CD100" s="59">
        <f ca="1">AVERAGE(OFFSET($CC$3,0,0,'Données projet'!$E$12+1,1))-AVERAGE(OFFSET($H$3,0,0,'Données projet'!$E$12+1,1))</f>
        <v>140.9558843244115</v>
      </c>
      <c r="CE100" s="59">
        <f t="shared" si="94"/>
        <v>158.88947216184619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48.120106079818214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48.120106079818214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8.0470000000000024</v>
      </c>
      <c r="CT100" s="12">
        <f>IF('Données projet'!$A$140&gt;35,CT99+CS100-DB99,IF(A100&lt;'Données projet'!$A$140,$CQ$205^A100,IF(A100='Données projet'!$A$140,'Données projet'!$B$140,CT99+CS100-DB99)))</f>
        <v>309.0810000000003</v>
      </c>
      <c r="CU100" s="17">
        <f>CT100*VLOOKUP('Données projet'!$B$13,Paramètres!$A$1:$I$89,3,0)*VLOOKUP('Données projet'!$B$13,Paramètres!$A$1:$I$89,5,0)</f>
        <v>298.94314320000029</v>
      </c>
      <c r="CV100" s="13">
        <f t="shared" si="95"/>
        <v>70.954860210387238</v>
      </c>
      <c r="CW100" s="20">
        <f t="shared" si="67"/>
        <v>644.23902260642501</v>
      </c>
      <c r="CX100" s="59">
        <f t="shared" si="68"/>
        <v>937.57235593975838</v>
      </c>
      <c r="CY100" s="59">
        <f ca="1">AVERAGE(OFFSET($CX$3,0,0,'Données projet'!$E$13+1,1))-AVERAGE(OFFSET($H$3,0,0,'Données projet'!$E$13+1,1))</f>
        <v>467.11196088914556</v>
      </c>
      <c r="CZ100" s="59">
        <f t="shared" si="96"/>
        <v>208.53783609106262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51.731340413681444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51.731340413681444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8.0470000000000024</v>
      </c>
      <c r="DO100" s="12">
        <f>IF('Données projet'!$A$166&gt;35,DO99+DN100-DW99,IF(A100&lt;'Données projet'!$A$166,$DL$205^A100,IF(A100='Données projet'!$A$166,'Données projet'!$B$166,DO99+DN100-DW99)))</f>
        <v>309.0810000000003</v>
      </c>
      <c r="DP100" s="17">
        <f>DO100*VLOOKUP('Données projet'!$B$14,Paramètres!$A$1:$I$89,3,0)*VLOOKUP('Données projet'!$B$14,Paramètres!$A$1:$I$89,5,0)</f>
        <v>332.69478840000028</v>
      </c>
      <c r="DQ100" s="13">
        <f t="shared" si="97"/>
        <v>77.988740835254006</v>
      </c>
      <c r="DR100" s="20">
        <f t="shared" si="70"/>
        <v>715.27381341806779</v>
      </c>
      <c r="DS100" s="59">
        <f t="shared" si="71"/>
        <v>1008.6071467514012</v>
      </c>
      <c r="DT100" s="59">
        <f ca="1">AVERAGE(OFFSET($DS$3,0,0,'Données projet'!$E$14+1,1))-AVERAGE(OFFSET($H$3,0,0,'Données projet'!$E$14+1,1))</f>
        <v>531.65020827367698</v>
      </c>
      <c r="DU100" s="59">
        <f t="shared" si="98"/>
        <v>235.89413420278396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57.571975621677737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57.571975621677737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56.565599999999932</v>
      </c>
      <c r="D101" s="11">
        <f t="shared" si="86"/>
        <v>16.29698867846886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562.44805295660137</v>
      </c>
      <c r="H101" s="67">
        <f t="shared" si="56"/>
        <v>420.23567528166643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301.77900480000034</v>
      </c>
      <c r="P101" s="13">
        <f t="shared" si="87"/>
        <v>71.549282782941361</v>
      </c>
      <c r="Q101" s="20">
        <f t="shared" si="107"/>
        <v>650.21343420695678</v>
      </c>
      <c r="R101" s="59">
        <f t="shared" si="55"/>
        <v>943.54676754029015</v>
      </c>
      <c r="S101" s="59">
        <f ca="1">AVERAGE(OFFSET($R$3,0,0,'Données projet'!$E$9+1,1))-AVERAGE(OFFSET($H$3,0,0,'Données projet'!$E$9+1,1))</f>
        <v>457.88065872594228</v>
      </c>
      <c r="T101" s="59">
        <f t="shared" si="88"/>
        <v>204.62439362068329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49.89890553631362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49.89890553631362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912.26663617244117</v>
      </c>
      <c r="AN101" s="59">
        <f ca="1">AVERAGE(OFFSET($AM$3,0,0,'Données projet'!$E$10+1,1))-AVERAGE(OFFSET($H$3,0,0,'Données projet'!$E$10+1,1))</f>
        <v>430.16825592717629</v>
      </c>
      <c r="AO101" s="59">
        <f t="shared" si="90"/>
        <v>192.87542067077248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7.7120000000000006</v>
      </c>
      <c r="BD101" s="12">
        <f>IF('Données projet'!$A$88&gt;35,BD100+BC101-BL100,IF(A101&lt;'Données projet'!$A$88,$BA$205^A101,IF(A101='Données projet'!$A$88,'Données projet'!$B$88,BD100+BC101-BL100)))</f>
        <v>283.63000000000011</v>
      </c>
      <c r="BE101" s="13">
        <f>BD101*VLOOKUP('Données projet'!$B$11,Paramètres!$A$1:$I$89,3,0)*VLOOKUP('Données projet'!$B$11,Paramètres!$A$1:$I$89,5,0)</f>
        <v>238.92991200000012</v>
      </c>
      <c r="BF101" s="13">
        <f t="shared" si="91"/>
        <v>58.209235991783075</v>
      </c>
      <c r="BG101" s="20">
        <f t="shared" si="61"/>
        <v>517.51734941902237</v>
      </c>
      <c r="BH101" s="59">
        <f t="shared" si="62"/>
        <v>810.85068275235562</v>
      </c>
      <c r="BI101" s="59">
        <f ca="1">AVERAGE(OFFSET($BH$3,0,0,'Données projet'!$E$11+1,1))-AVERAGE(OFFSET($H$3,0,0,'Données projet'!$E$11+1,1))</f>
        <v>243.94505553629301</v>
      </c>
      <c r="BJ101" s="59">
        <f t="shared" si="92"/>
        <v>173.05364940250229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37.425247540843685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37.425247540843685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1.7053025658242404E-13</v>
      </c>
      <c r="BZ101" s="13">
        <f>BY101*VLOOKUP('Données projet'!$B$12,Paramètres!$A$1:$I$89,3,0)*VLOOKUP('Données projet'!$B$12,Paramètres!$A$1:$I$89,5,0)</f>
        <v>1.1173142411280423E-13</v>
      </c>
      <c r="CA101" s="13">
        <f t="shared" si="93"/>
        <v>1.6569896290553793E-12</v>
      </c>
      <c r="CB101" s="20">
        <f t="shared" si="64"/>
        <v>3.0805225009345862E-12</v>
      </c>
      <c r="CC101" s="59">
        <f t="shared" si="65"/>
        <v>293.33333333333638</v>
      </c>
      <c r="CD101" s="59">
        <f ca="1">AVERAGE(OFFSET($CC$3,0,0,'Données projet'!$E$12+1,1))-AVERAGE(OFFSET($H$3,0,0,'Données projet'!$E$12+1,1))</f>
        <v>140.9558843244115</v>
      </c>
      <c r="CE101" s="59">
        <f t="shared" si="94"/>
        <v>158.88947216184619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47.17650014995958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47.17650014995958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8.0470000000000024</v>
      </c>
      <c r="CT101" s="12">
        <f>IF('Données projet'!$A$140&gt;35,CT100+CS101-DB100,IF(A101&lt;'Données projet'!$A$140,$CQ$205^A101,IF(A101='Données projet'!$A$140,'Données projet'!$B$140,CT100+CS101-DB100)))</f>
        <v>317.12800000000033</v>
      </c>
      <c r="CU101" s="17">
        <f>CT101*VLOOKUP('Données projet'!$B$13,Paramètres!$A$1:$I$89,3,0)*VLOOKUP('Données projet'!$B$13,Paramètres!$A$1:$I$89,5,0)</f>
        <v>306.72620160000031</v>
      </c>
      <c r="CV101" s="13">
        <f t="shared" si="95"/>
        <v>72.584708882698152</v>
      </c>
      <c r="CW101" s="20">
        <f t="shared" si="67"/>
        <v>660.63316909069977</v>
      </c>
      <c r="CX101" s="59">
        <f t="shared" si="68"/>
        <v>953.96650242403302</v>
      </c>
      <c r="CY101" s="59">
        <f ca="1">AVERAGE(OFFSET($CX$3,0,0,'Données projet'!$E$13+1,1))-AVERAGE(OFFSET($H$3,0,0,'Données projet'!$E$13+1,1))</f>
        <v>467.11196088914556</v>
      </c>
      <c r="CZ101" s="59">
        <f t="shared" si="96"/>
        <v>208.53783609106262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50.716920381171207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50.716920381171207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8.0470000000000024</v>
      </c>
      <c r="DO101" s="12">
        <f>IF('Données projet'!$A$166&gt;35,DO100+DN101-DW100,IF(A101&lt;'Données projet'!$A$166,$DL$205^A101,IF(A101='Données projet'!$A$166,'Données projet'!$B$166,DO100+DN101-DW100)))</f>
        <v>317.12800000000033</v>
      </c>
      <c r="DP101" s="17">
        <f>DO101*VLOOKUP('Données projet'!$B$14,Paramètres!$A$1:$I$89,3,0)*VLOOKUP('Données projet'!$B$14,Paramètres!$A$1:$I$89,5,0)</f>
        <v>341.35657920000034</v>
      </c>
      <c r="DQ101" s="13">
        <f t="shared" si="97"/>
        <v>79.780159285359503</v>
      </c>
      <c r="DR101" s="20">
        <f t="shared" si="70"/>
        <v>733.47981952866837</v>
      </c>
      <c r="DS101" s="59">
        <f t="shared" si="71"/>
        <v>1026.8131528620017</v>
      </c>
      <c r="DT101" s="59">
        <f ca="1">AVERAGE(OFFSET($DS$3,0,0,'Données projet'!$E$14+1,1))-AVERAGE(OFFSET($H$3,0,0,'Données projet'!$E$14+1,1))</f>
        <v>531.65020827367698</v>
      </c>
      <c r="DU101" s="59">
        <f t="shared" si="98"/>
        <v>235.89413420278396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56.443024295174403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56.443024295174403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57.14279999999993</v>
      </c>
      <c r="D102" s="11">
        <f t="shared" si="86"/>
        <v>16.443840715690236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568.03722657725746</v>
      </c>
      <c r="H102" s="67">
        <f t="shared" si="56"/>
        <v>421.49673257982704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309.43653000000035</v>
      </c>
      <c r="P102" s="13">
        <f t="shared" si="87"/>
        <v>73.151142752153717</v>
      </c>
      <c r="Q102" s="20">
        <f t="shared" si="107"/>
        <v>666.34019671000158</v>
      </c>
      <c r="R102" s="59">
        <f t="shared" si="55"/>
        <v>959.67353004333495</v>
      </c>
      <c r="S102" s="59">
        <f ca="1">AVERAGE(OFFSET($R$3,0,0,'Données projet'!$E$9+1,1))-AVERAGE(OFFSET($H$3,0,0,'Données projet'!$E$9+1,1))</f>
        <v>457.88065872594228</v>
      </c>
      <c r="T102" s="59">
        <f t="shared" si="88"/>
        <v>204.62439362068329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48.920418434073646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48.920418434073646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927.61589673843241</v>
      </c>
      <c r="AN102" s="59">
        <f ca="1">AVERAGE(OFFSET($AM$3,0,0,'Données projet'!$E$10+1,1))-AVERAGE(OFFSET($H$3,0,0,'Données projet'!$E$10+1,1))</f>
        <v>430.16825592717629</v>
      </c>
      <c r="AO102" s="59">
        <f t="shared" si="90"/>
        <v>192.87542067077248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7.7120000000000006</v>
      </c>
      <c r="BD102" s="12">
        <f>IF('Données projet'!$A$88&gt;35,BD101+BC102-BL101,IF(A102&lt;'Données projet'!$A$88,$BA$205^A102,IF(A102='Données projet'!$A$88,'Données projet'!$B$88,BD101+BC102-BL101)))</f>
        <v>291.3420000000001</v>
      </c>
      <c r="BE102" s="13">
        <f>BD102*VLOOKUP('Données projet'!$B$11,Paramètres!$A$1:$I$89,3,0)*VLOOKUP('Données projet'!$B$11,Paramètres!$A$1:$I$89,5,0)</f>
        <v>245.4265008000001</v>
      </c>
      <c r="BF102" s="13">
        <f t="shared" si="91"/>
        <v>59.605544944565871</v>
      </c>
      <c r="BG102" s="20">
        <f t="shared" si="61"/>
        <v>531.26414633845241</v>
      </c>
      <c r="BH102" s="59">
        <f t="shared" si="62"/>
        <v>824.59747967178578</v>
      </c>
      <c r="BI102" s="59">
        <f ca="1">AVERAGE(OFFSET($BH$3,0,0,'Données projet'!$E$11+1,1))-AVERAGE(OFFSET($H$3,0,0,'Données projet'!$E$11+1,1))</f>
        <v>243.94505553629301</v>
      </c>
      <c r="BJ102" s="59">
        <f t="shared" si="92"/>
        <v>173.05364940250229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36.691361263714747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36.691361263714747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1.7053025658242404E-13</v>
      </c>
      <c r="BZ102" s="13">
        <f>BY102*VLOOKUP('Données projet'!$B$12,Paramètres!$A$1:$I$89,3,0)*VLOOKUP('Données projet'!$B$12,Paramètres!$A$1:$I$89,5,0)</f>
        <v>1.1173142411280423E-13</v>
      </c>
      <c r="CA102" s="13">
        <f t="shared" si="93"/>
        <v>1.6569896290553793E-12</v>
      </c>
      <c r="CB102" s="20">
        <f t="shared" si="64"/>
        <v>3.0805225009345862E-12</v>
      </c>
      <c r="CC102" s="59">
        <f t="shared" si="65"/>
        <v>293.33333333333638</v>
      </c>
      <c r="CD102" s="59">
        <f ca="1">AVERAGE(OFFSET($CC$3,0,0,'Données projet'!$E$12+1,1))-AVERAGE(OFFSET($H$3,0,0,'Données projet'!$E$12+1,1))</f>
        <v>140.9558843244115</v>
      </c>
      <c r="CE102" s="59">
        <f t="shared" si="94"/>
        <v>158.88947216184619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46.251397756842685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46.251397756842685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8.0470000000000024</v>
      </c>
      <c r="CT102" s="12">
        <f>IF('Données projet'!$A$140&gt;35,CT101+CS102-DB101,IF(A102&lt;'Données projet'!$A$140,$CQ$205^A102,IF(A102='Données projet'!$A$140,'Données projet'!$B$140,CT101+CS102-DB101)))</f>
        <v>325.17500000000035</v>
      </c>
      <c r="CU102" s="17">
        <f>CT102*VLOOKUP('Données projet'!$B$13,Paramètres!$A$1:$I$89,3,0)*VLOOKUP('Données projet'!$B$13,Paramètres!$A$1:$I$89,5,0)</f>
        <v>314.50926000000038</v>
      </c>
      <c r="CV102" s="13">
        <f t="shared" si="95"/>
        <v>74.209750183096105</v>
      </c>
      <c r="CW102" s="20">
        <f t="shared" si="67"/>
        <v>677.01894273555968</v>
      </c>
      <c r="CX102" s="59">
        <f t="shared" si="68"/>
        <v>970.35227606889293</v>
      </c>
      <c r="CY102" s="59">
        <f ca="1">AVERAGE(OFFSET($CX$3,0,0,'Données projet'!$E$13+1,1))-AVERAGE(OFFSET($H$3,0,0,'Données projet'!$E$13+1,1))</f>
        <v>467.11196088914556</v>
      </c>
      <c r="CZ102" s="59">
        <f t="shared" si="96"/>
        <v>208.53783609106262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49.72239250676337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49.72239250676337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8.0470000000000024</v>
      </c>
      <c r="DO102" s="12">
        <f>IF('Données projet'!$A$166&gt;35,DO101+DN102-DW101,IF(A102&lt;'Données projet'!$A$166,$DL$205^A102,IF(A102='Données projet'!$A$166,'Données projet'!$B$166,DO101+DN102-DW101)))</f>
        <v>325.17500000000035</v>
      </c>
      <c r="DP102" s="17">
        <f>DO102*VLOOKUP('Données projet'!$B$14,Paramètres!$A$1:$I$89,3,0)*VLOOKUP('Données projet'!$B$14,Paramètres!$A$1:$I$89,5,0)</f>
        <v>350.01837000000035</v>
      </c>
      <c r="DQ102" s="13">
        <f t="shared" si="97"/>
        <v>81.566293800282651</v>
      </c>
      <c r="DR102" s="20">
        <f t="shared" si="70"/>
        <v>751.6766227854929</v>
      </c>
      <c r="DS102" s="59">
        <f t="shared" si="71"/>
        <v>1045.0099561188263</v>
      </c>
      <c r="DT102" s="59">
        <f ca="1">AVERAGE(OFFSET($DS$3,0,0,'Données projet'!$E$14+1,1))-AVERAGE(OFFSET($H$3,0,0,'Données projet'!$E$14+1,1))</f>
        <v>531.65020827367698</v>
      </c>
      <c r="DU102" s="59">
        <f t="shared" si="98"/>
        <v>235.89413420278396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55.336211015591488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55.336211015591488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57.719999999999928</v>
      </c>
      <c r="D103" s="11">
        <f t="shared" si="86"/>
        <v>16.590520188877633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573.62506812466893</v>
      </c>
      <c r="H103" s="67">
        <f t="shared" si="56"/>
        <v>422.7574893289617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317.09405520000035</v>
      </c>
      <c r="P103" s="13">
        <f t="shared" si="87"/>
        <v>74.748394685141804</v>
      </c>
      <c r="Q103" s="20">
        <f t="shared" si="107"/>
        <v>682.45893354995599</v>
      </c>
      <c r="R103" s="59">
        <f t="shared" si="55"/>
        <v>975.79226688328936</v>
      </c>
      <c r="S103" s="59">
        <f ca="1">AVERAGE(OFFSET($R$3,0,0,'Données projet'!$E$9+1,1))-AVERAGE(OFFSET($H$3,0,0,'Données projet'!$E$9+1,1))</f>
        <v>457.88065872594228</v>
      </c>
      <c r="T103" s="59">
        <f t="shared" si="88"/>
        <v>204.62439362068329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47.961118867090399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47.961118867090399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942.95748141946046</v>
      </c>
      <c r="AN103" s="59">
        <f ca="1">AVERAGE(OFFSET($AM$3,0,0,'Données projet'!$E$10+1,1))-AVERAGE(OFFSET($H$3,0,0,'Données projet'!$E$10+1,1))</f>
        <v>430.16825592717629</v>
      </c>
      <c r="AO103" s="59">
        <f t="shared" si="90"/>
        <v>192.87542067077248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7.7120000000000006</v>
      </c>
      <c r="BD103" s="12">
        <f>IF('Données projet'!$A$88&gt;35,BD102+BC103-BL102,IF(A103&lt;'Données projet'!$A$88,$BA$205^A103,IF(A103='Données projet'!$A$88,'Données projet'!$B$88,BD102+BC103-BL102)))</f>
        <v>299.05400000000009</v>
      </c>
      <c r="BE103" s="13">
        <f>BD103*VLOOKUP('Données projet'!$B$11,Paramètres!$A$1:$I$89,3,0)*VLOOKUP('Données projet'!$B$11,Paramètres!$A$1:$I$89,5,0)</f>
        <v>251.92308960000008</v>
      </c>
      <c r="BF103" s="13">
        <f t="shared" si="91"/>
        <v>60.997557710826641</v>
      </c>
      <c r="BG103" s="20">
        <f t="shared" si="61"/>
        <v>545.00346073302319</v>
      </c>
      <c r="BH103" s="59">
        <f t="shared" si="62"/>
        <v>838.33679406635656</v>
      </c>
      <c r="BI103" s="59">
        <f ca="1">AVERAGE(OFFSET($BH$3,0,0,'Données projet'!$E$11+1,1))-AVERAGE(OFFSET($H$3,0,0,'Données projet'!$E$11+1,1))</f>
        <v>243.94505553629301</v>
      </c>
      <c r="BJ103" s="59">
        <f t="shared" si="92"/>
        <v>173.05364940250229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35.971866048853876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35.971866048853876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1.7053025658242404E-13</v>
      </c>
      <c r="BZ103" s="13">
        <f>BY103*VLOOKUP('Données projet'!$B$12,Paramètres!$A$1:$I$89,3,0)*VLOOKUP('Données projet'!$B$12,Paramètres!$A$1:$I$89,5,0)</f>
        <v>1.1173142411280423E-13</v>
      </c>
      <c r="CA103" s="13">
        <f t="shared" si="93"/>
        <v>1.6569896290553793E-12</v>
      </c>
      <c r="CB103" s="20">
        <f t="shared" si="64"/>
        <v>3.0805225009345862E-12</v>
      </c>
      <c r="CC103" s="59">
        <f t="shared" si="65"/>
        <v>293.33333333333638</v>
      </c>
      <c r="CD103" s="59">
        <f ca="1">AVERAGE(OFFSET($CC$3,0,0,'Données projet'!$E$12+1,1))-AVERAGE(OFFSET($H$3,0,0,'Données projet'!$E$12+1,1))</f>
        <v>140.9558843244115</v>
      </c>
      <c r="CE103" s="59">
        <f t="shared" si="94"/>
        <v>158.88947216184619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45.34443605739807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45.34443605739807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8.0470000000000024</v>
      </c>
      <c r="CT103" s="12">
        <f>IF('Données projet'!$A$140&gt;35,CT102+CS103-DB102,IF(A103&lt;'Données projet'!$A$140,$CQ$205^A103,IF(A103='Données projet'!$A$140,'Données projet'!$B$140,CT102+CS103-DB102)))</f>
        <v>333.22200000000038</v>
      </c>
      <c r="CU103" s="17">
        <f>CT103*VLOOKUP('Données projet'!$B$13,Paramètres!$A$1:$I$89,3,0)*VLOOKUP('Données projet'!$B$13,Paramètres!$A$1:$I$89,5,0)</f>
        <v>322.2923184000004</v>
      </c>
      <c r="CV103" s="13">
        <f t="shared" si="95"/>
        <v>75.830116762031381</v>
      </c>
      <c r="CW103" s="20">
        <f t="shared" si="67"/>
        <v>693.39657457387193</v>
      </c>
      <c r="CX103" s="59">
        <f t="shared" si="68"/>
        <v>986.72990790720519</v>
      </c>
      <c r="CY103" s="59">
        <f ca="1">AVERAGE(OFFSET($CX$3,0,0,'Données projet'!$E$13+1,1))-AVERAGE(OFFSET($H$3,0,0,'Données projet'!$E$13+1,1))</f>
        <v>467.11196088914556</v>
      </c>
      <c r="CZ103" s="59">
        <f t="shared" si="96"/>
        <v>208.53783609106262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48.747366717370561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48.747366717370561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8.0470000000000024</v>
      </c>
      <c r="DO103" s="12">
        <f>IF('Données projet'!$A$166&gt;35,DO102+DN103-DW102,IF(A103&lt;'Données projet'!$A$166,$DL$205^A103,IF(A103='Données projet'!$A$166,'Données projet'!$B$166,DO102+DN103-DW102)))</f>
        <v>333.22200000000038</v>
      </c>
      <c r="DP103" s="17">
        <f>DO103*VLOOKUP('Données projet'!$B$14,Paramètres!$A$1:$I$89,3,0)*VLOOKUP('Données projet'!$B$14,Paramètres!$A$1:$I$89,5,0)</f>
        <v>358.68016080000035</v>
      </c>
      <c r="DQ103" s="13">
        <f t="shared" si="97"/>
        <v>83.347290180347258</v>
      </c>
      <c r="DR103" s="20">
        <f t="shared" si="70"/>
        <v>769.86447712410529</v>
      </c>
      <c r="DS103" s="59">
        <f t="shared" si="71"/>
        <v>1063.1978104574387</v>
      </c>
      <c r="DT103" s="59">
        <f ca="1">AVERAGE(OFFSET($DS$3,0,0,'Données projet'!$E$14+1,1))-AVERAGE(OFFSET($H$3,0,0,'Données projet'!$E$14+1,1))</f>
        <v>531.65020827367698</v>
      </c>
      <c r="DU103" s="59">
        <f t="shared" si="98"/>
        <v>235.89413420278396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54.251101669331746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54.251101669331746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58.297199999999926</v>
      </c>
      <c r="D104" s="11">
        <f t="shared" si="86"/>
        <v>16.737029023479579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579.21159246194713</v>
      </c>
      <c r="H104" s="67">
        <f t="shared" si="56"/>
        <v>424.01794888256006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324.75158040000036</v>
      </c>
      <c r="P104" s="13">
        <f t="shared" si="87"/>
        <v>76.341162664586662</v>
      </c>
      <c r="Q104" s="20">
        <f t="shared" si="107"/>
        <v>698.56986083748905</v>
      </c>
      <c r="R104" s="59">
        <f t="shared" si="55"/>
        <v>991.90319417082242</v>
      </c>
      <c r="S104" s="59">
        <f ca="1">AVERAGE(OFFSET($R$3,0,0,'Données projet'!$E$9+1,1))-AVERAGE(OFFSET($H$3,0,0,'Données projet'!$E$9+1,1))</f>
        <v>457.88065872594228</v>
      </c>
      <c r="T104" s="59">
        <f t="shared" si="88"/>
        <v>204.62439362068329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47.020630579500732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47.020630579500732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958.29159690756046</v>
      </c>
      <c r="AN104" s="59">
        <f ca="1">AVERAGE(OFFSET($AM$3,0,0,'Données projet'!$E$10+1,1))-AVERAGE(OFFSET($H$3,0,0,'Données projet'!$E$10+1,1))</f>
        <v>430.16825592717629</v>
      </c>
      <c r="AO104" s="59">
        <f t="shared" si="90"/>
        <v>192.87542067077248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7.7120000000000006</v>
      </c>
      <c r="BD104" s="12">
        <f>IF('Données projet'!$A$88&gt;35,BD103+BC104-BL103,IF(A104&lt;'Données projet'!$A$88,$BA$205^A104,IF(A104='Données projet'!$A$88,'Données projet'!$B$88,BD103+BC104-BL103)))</f>
        <v>306.76600000000008</v>
      </c>
      <c r="BE104" s="13">
        <f>BD104*VLOOKUP('Données projet'!$B$11,Paramètres!$A$1:$I$89,3,0)*VLOOKUP('Données projet'!$B$11,Paramètres!$A$1:$I$89,5,0)</f>
        <v>258.41967840000007</v>
      </c>
      <c r="BF104" s="13">
        <f t="shared" si="91"/>
        <v>62.385397818771914</v>
      </c>
      <c r="BG104" s="20">
        <f t="shared" si="61"/>
        <v>558.73550774769456</v>
      </c>
      <c r="BH104" s="59">
        <f t="shared" si="62"/>
        <v>852.06884108102781</v>
      </c>
      <c r="BI104" s="59">
        <f ca="1">AVERAGE(OFFSET($BH$3,0,0,'Données projet'!$E$11+1,1))-AVERAGE(OFFSET($H$3,0,0,'Données projet'!$E$11+1,1))</f>
        <v>243.94505553629301</v>
      </c>
      <c r="BJ104" s="59">
        <f t="shared" si="92"/>
        <v>173.05364940250229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35.266479696307677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35.266479696307677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1.7053025658242404E-13</v>
      </c>
      <c r="BZ104" s="13">
        <f>BY104*VLOOKUP('Données projet'!$B$12,Paramètres!$A$1:$I$89,3,0)*VLOOKUP('Données projet'!$B$12,Paramètres!$A$1:$I$89,5,0)</f>
        <v>1.1173142411280423E-13</v>
      </c>
      <c r="CA104" s="13">
        <f t="shared" si="93"/>
        <v>1.6569896290553793E-12</v>
      </c>
      <c r="CB104" s="20">
        <f t="shared" si="64"/>
        <v>3.0805225009345862E-12</v>
      </c>
      <c r="CC104" s="59">
        <f t="shared" si="65"/>
        <v>293.33333333333638</v>
      </c>
      <c r="CD104" s="59">
        <f ca="1">AVERAGE(OFFSET($CC$3,0,0,'Données projet'!$E$12+1,1))-AVERAGE(OFFSET($H$3,0,0,'Données projet'!$E$12+1,1))</f>
        <v>140.9558843244115</v>
      </c>
      <c r="CE104" s="59">
        <f t="shared" si="94"/>
        <v>158.88947216184619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44.45525932368755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44.45525932368755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8.0470000000000024</v>
      </c>
      <c r="CT104" s="12">
        <f>IF('Données projet'!$A$140&gt;35,CT103+CS104-DB103,IF(A104&lt;'Données projet'!$A$140,$CQ$205^A104,IF(A104='Données projet'!$A$140,'Données projet'!$B$140,CT103+CS104-DB103)))</f>
        <v>341.2690000000004</v>
      </c>
      <c r="CU104" s="17">
        <f>CT104*VLOOKUP('Données projet'!$B$13,Paramètres!$A$1:$I$89,3,0)*VLOOKUP('Données projet'!$B$13,Paramètres!$A$1:$I$89,5,0)</f>
        <v>330.07537680000041</v>
      </c>
      <c r="CV104" s="13">
        <f t="shared" si="95"/>
        <v>77.445934497848739</v>
      </c>
      <c r="CW104" s="20">
        <f t="shared" si="67"/>
        <v>709.76628384375397</v>
      </c>
      <c r="CX104" s="59">
        <f t="shared" si="68"/>
        <v>1003.0996171770873</v>
      </c>
      <c r="CY104" s="59">
        <f ca="1">AVERAGE(OFFSET($CX$3,0,0,'Données projet'!$E$13+1,1))-AVERAGE(OFFSET($H$3,0,0,'Données projet'!$E$13+1,1))</f>
        <v>467.11196088914556</v>
      </c>
      <c r="CZ104" s="59">
        <f t="shared" si="96"/>
        <v>208.53783609106262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47.791460589000735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47.791460589000735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8.0470000000000024</v>
      </c>
      <c r="DO104" s="12">
        <f>IF('Données projet'!$A$166&gt;35,DO103+DN104-DW103,IF(A104&lt;'Données projet'!$A$166,$DL$205^A104,IF(A104='Données projet'!$A$166,'Données projet'!$B$166,DO103+DN104-DW103)))</f>
        <v>341.2690000000004</v>
      </c>
      <c r="DP104" s="17">
        <f>DO104*VLOOKUP('Données projet'!$B$14,Paramètres!$A$1:$I$89,3,0)*VLOOKUP('Données projet'!$B$14,Paramètres!$A$1:$I$89,5,0)</f>
        <v>367.34195160000041</v>
      </c>
      <c r="DQ104" s="13">
        <f t="shared" si="97"/>
        <v>85.123286782440843</v>
      </c>
      <c r="DR104" s="20">
        <f t="shared" si="70"/>
        <v>788.04362351608518</v>
      </c>
      <c r="DS104" s="59">
        <f t="shared" si="71"/>
        <v>1081.3769568494185</v>
      </c>
      <c r="DT104" s="59">
        <f ca="1">AVERAGE(OFFSET($DS$3,0,0,'Données projet'!$E$14+1,1))-AVERAGE(OFFSET($H$3,0,0,'Données projet'!$E$14+1,1))</f>
        <v>531.65020827367698</v>
      </c>
      <c r="DU104" s="59">
        <f t="shared" si="98"/>
        <v>235.89413420278396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53.187270655500811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53.187270655500811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58.874399999999923</v>
      </c>
      <c r="D105" s="11">
        <f t="shared" si="86"/>
        <v>16.883369104619209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584.79681414091965</v>
      </c>
      <c r="H105" s="67">
        <f t="shared" si="56"/>
        <v>425.27811452387834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332.40910560000043</v>
      </c>
      <c r="P105" s="13">
        <f t="shared" si="87"/>
        <v>77.92956458771809</v>
      </c>
      <c r="Q105" s="20">
        <f t="shared" si="107"/>
        <v>714.67318391027641</v>
      </c>
      <c r="R105" s="59">
        <f t="shared" si="55"/>
        <v>1008.0065172436098</v>
      </c>
      <c r="S105" s="59">
        <f ca="1">AVERAGE(OFFSET($R$3,0,0,'Données projet'!$E$9+1,1))-AVERAGE(OFFSET($H$3,0,0,'Données projet'!$E$9+1,1))</f>
        <v>457.88065872594228</v>
      </c>
      <c r="T105" s="59">
        <f t="shared" si="88"/>
        <v>204.62439362068329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46.098584693589487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46.098584693589487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973.6184395912876</v>
      </c>
      <c r="AN105" s="59">
        <f ca="1">AVERAGE(OFFSET($AM$3,0,0,'Données projet'!$E$10+1,1))-AVERAGE(OFFSET($H$3,0,0,'Données projet'!$E$10+1,1))</f>
        <v>430.16825592717629</v>
      </c>
      <c r="AO105" s="59">
        <f t="shared" si="90"/>
        <v>192.87542067077248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7.7120000000000006</v>
      </c>
      <c r="BD105" s="12">
        <f>IF('Données projet'!$A$88&gt;35,BD104+BC105-BL104,IF(A105&lt;'Données projet'!$A$88,$BA$205^A105,IF(A105='Données projet'!$A$88,'Données projet'!$B$88,BD104+BC105-BL104)))</f>
        <v>314.47800000000007</v>
      </c>
      <c r="BE105" s="13">
        <f>BD105*VLOOKUP('Données projet'!$B$11,Paramètres!$A$1:$I$89,3,0)*VLOOKUP('Données projet'!$B$11,Paramètres!$A$1:$I$89,5,0)</f>
        <v>264.91626720000011</v>
      </c>
      <c r="BF105" s="13">
        <f t="shared" si="91"/>
        <v>63.769182231734497</v>
      </c>
      <c r="BG105" s="20">
        <f t="shared" si="61"/>
        <v>572.46049109360445</v>
      </c>
      <c r="BH105" s="59">
        <f t="shared" si="62"/>
        <v>865.79382442693782</v>
      </c>
      <c r="BI105" s="59">
        <f ca="1">AVERAGE(OFFSET($BH$3,0,0,'Données projet'!$E$11+1,1))-AVERAGE(OFFSET($H$3,0,0,'Données projet'!$E$11+1,1))</f>
        <v>243.94505553629301</v>
      </c>
      <c r="BJ105" s="59">
        <f t="shared" si="92"/>
        <v>173.05364940250229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34.574925539891723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34.574925539891723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1.7053025658242404E-13</v>
      </c>
      <c r="BZ105" s="13">
        <f>BY105*VLOOKUP('Données projet'!$B$12,Paramètres!$A$1:$I$89,3,0)*VLOOKUP('Données projet'!$B$12,Paramètres!$A$1:$I$89,5,0)</f>
        <v>1.1173142411280423E-13</v>
      </c>
      <c r="CA105" s="13">
        <f t="shared" si="93"/>
        <v>1.6569896290553793E-12</v>
      </c>
      <c r="CB105" s="20">
        <f t="shared" si="64"/>
        <v>3.0805225009345862E-12</v>
      </c>
      <c r="CC105" s="59">
        <f t="shared" si="65"/>
        <v>293.33333333333638</v>
      </c>
      <c r="CD105" s="59">
        <f ca="1">AVERAGE(OFFSET($CC$3,0,0,'Données projet'!$E$12+1,1))-AVERAGE(OFFSET($H$3,0,0,'Données projet'!$E$12+1,1))</f>
        <v>140.9558843244115</v>
      </c>
      <c r="CE105" s="59">
        <f t="shared" si="94"/>
        <v>158.88947216184619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43.583518803380841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43.583518803380841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8.0470000000000024</v>
      </c>
      <c r="CT105" s="12">
        <f>IF('Données projet'!$A$140&gt;35,CT104+CS105-DB104,IF(A105&lt;'Données projet'!$A$140,$CQ$205^A105,IF(A105='Données projet'!$A$140,'Données projet'!$B$140,CT104+CS105-DB104)))</f>
        <v>349.31600000000043</v>
      </c>
      <c r="CU105" s="17">
        <f>CT105*VLOOKUP('Données projet'!$B$13,Paramètres!$A$1:$I$89,3,0)*VLOOKUP('Données projet'!$B$13,Paramètres!$A$1:$I$89,5,0)</f>
        <v>337.85843520000043</v>
      </c>
      <c r="CV105" s="13">
        <f t="shared" si="95"/>
        <v>79.057322993928835</v>
      </c>
      <c r="CW105" s="20">
        <f t="shared" si="67"/>
        <v>726.12827885442675</v>
      </c>
      <c r="CX105" s="59">
        <f t="shared" si="68"/>
        <v>1019.46161218776</v>
      </c>
      <c r="CY105" s="59">
        <f ca="1">AVERAGE(OFFSET($CX$3,0,0,'Données projet'!$E$13+1,1))-AVERAGE(OFFSET($H$3,0,0,'Données projet'!$E$13+1,1))</f>
        <v>467.11196088914556</v>
      </c>
      <c r="CZ105" s="59">
        <f t="shared" si="96"/>
        <v>208.53783609106262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46.854299196763073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46.854299196763073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8.0470000000000024</v>
      </c>
      <c r="DO105" s="12">
        <f>IF('Données projet'!$A$166&gt;35,DO104+DN105-DW104,IF(A105&lt;'Données projet'!$A$166,$DL$205^A105,IF(A105='Données projet'!$A$166,'Données projet'!$B$166,DO104+DN105-DW104)))</f>
        <v>349.31600000000043</v>
      </c>
      <c r="DP105" s="17">
        <f>DO105*VLOOKUP('Données projet'!$B$14,Paramètres!$A$1:$I$89,3,0)*VLOOKUP('Données projet'!$B$14,Paramètres!$A$1:$I$89,5,0)</f>
        <v>376.00374240000048</v>
      </c>
      <c r="DQ105" s="13">
        <f t="shared" si="97"/>
        <v>86.894415066438185</v>
      </c>
      <c r="DR105" s="20">
        <f t="shared" si="70"/>
        <v>806.21429092071401</v>
      </c>
      <c r="DS105" s="59">
        <f t="shared" si="71"/>
        <v>1099.5476242540474</v>
      </c>
      <c r="DT105" s="59">
        <f ca="1">AVERAGE(OFFSET($DS$3,0,0,'Données projet'!$E$14+1,1))-AVERAGE(OFFSET($H$3,0,0,'Données projet'!$E$14+1,1))</f>
        <v>531.65020827367698</v>
      </c>
      <c r="DU105" s="59">
        <f t="shared" si="98"/>
        <v>235.89413420278396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52.144300718978251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52.144300718978251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59.451599999999921</v>
      </c>
      <c r="D106" s="11">
        <f t="shared" si="86"/>
        <v>17.029542278325611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590.38074741163575</v>
      </c>
      <c r="H106" s="67">
        <f t="shared" si="56"/>
        <v>426.53798946808365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340.06663080000044</v>
      </c>
      <c r="P106" s="13">
        <f t="shared" si="87"/>
        <v>79.513712609935965</v>
      </c>
      <c r="Q106" s="20">
        <f t="shared" si="107"/>
        <v>730.76909810563927</v>
      </c>
      <c r="R106" s="59">
        <f t="shared" si="55"/>
        <v>1024.1024314389726</v>
      </c>
      <c r="S106" s="59">
        <f ca="1">AVERAGE(OFFSET($R$3,0,0,'Données projet'!$E$9+1,1))-AVERAGE(OFFSET($H$3,0,0,'Données projet'!$E$9+1,1))</f>
        <v>457.88065872594228</v>
      </c>
      <c r="T106" s="59">
        <f t="shared" si="88"/>
        <v>204.62439362068329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45.194619565108503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45.194619565108503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988.93819629468203</v>
      </c>
      <c r="AN106" s="59">
        <f ca="1">AVERAGE(OFFSET($AM$3,0,0,'Données projet'!$E$10+1,1))-AVERAGE(OFFSET($H$3,0,0,'Données projet'!$E$10+1,1))</f>
        <v>430.16825592717629</v>
      </c>
      <c r="AO106" s="59">
        <f t="shared" si="90"/>
        <v>192.87542067077248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322.19</v>
      </c>
      <c r="BB106" s="12">
        <f>VLOOKUP(A106,'Données projet'!$A$87:$I$107,9,0)</f>
        <v>7.7120000000000006</v>
      </c>
      <c r="BC106" s="12">
        <f t="array" ref="BC106">INDEX(BB:BB,MIN(IF(ISNUMBER(BB106:BB302),ROW(BB106:BB302),"")))</f>
        <v>7.7120000000000006</v>
      </c>
      <c r="BD106" s="12">
        <f>IF('Données projet'!$A$88&gt;35,BD105+BC106-BL105,IF(A106&lt;'Données projet'!$A$88,$BA$205^A106,IF(A106='Données projet'!$A$88,'Données projet'!$B$88,BD105+BC106-BL105)))</f>
        <v>322.19000000000005</v>
      </c>
      <c r="BE106" s="13">
        <f>BD106*VLOOKUP('Données projet'!$B$11,Paramètres!$A$1:$I$89,3,0)*VLOOKUP('Données projet'!$B$11,Paramètres!$A$1:$I$89,5,0)</f>
        <v>271.41285600000009</v>
      </c>
      <c r="BF106" s="13">
        <f t="shared" si="91"/>
        <v>65.149021849374975</v>
      </c>
      <c r="BG106" s="20">
        <f t="shared" si="61"/>
        <v>586.17860392099487</v>
      </c>
      <c r="BH106" s="59">
        <f t="shared" si="62"/>
        <v>879.51193725432813</v>
      </c>
      <c r="BI106" s="59">
        <f ca="1">AVERAGE(OFFSET($BH$3,0,0,'Données projet'!$E$11+1,1))-AVERAGE(OFFSET($H$3,0,0,'Données projet'!$E$11+1,1))</f>
        <v>243.94505553629301</v>
      </c>
      <c r="BJ106" s="59">
        <f t="shared" si="92"/>
        <v>173.05364940250229</v>
      </c>
      <c r="BK106" s="15">
        <f>IF(ISNA(VLOOKUP(A106,'Données projet'!$A$87:$I$107,3,0)),0,VLOOKUP(A106,'Données projet'!$A$87:$I$107,3,0))</f>
        <v>9</v>
      </c>
      <c r="BL106" s="15">
        <f>IF(ISNA(VLOOKUP(A106,'Données projet'!$A$87:$I$107,4,0)),0,VLOOKUP(A106,'Données projet'!$A$87:$I$107,4,0))</f>
        <v>58.98</v>
      </c>
      <c r="BM106" s="16">
        <f>IF(ISNA(VLOOKUP(A106,'Données projet'!$A$87:$I$107,5,0)),0%,VLOOKUP(A106,'Données projet'!$A$87:$I$107,5,0)*VLOOKUP('Données projet'!$B$11,Paramètres!$A$1:$I$89,7,0))</f>
        <v>0.25800000000000001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48.067587924490347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48.067587924490347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1.7053025658242404E-13</v>
      </c>
      <c r="BZ106" s="13">
        <f>BY106*VLOOKUP('Données projet'!$B$12,Paramètres!$A$1:$I$89,3,0)*VLOOKUP('Données projet'!$B$12,Paramètres!$A$1:$I$89,5,0)</f>
        <v>1.1173142411280423E-13</v>
      </c>
      <c r="CA106" s="13">
        <f t="shared" si="93"/>
        <v>1.6569896290553793E-12</v>
      </c>
      <c r="CB106" s="20">
        <f t="shared" si="64"/>
        <v>3.0805225009345862E-12</v>
      </c>
      <c r="CC106" s="59">
        <f t="shared" si="65"/>
        <v>293.33333333333638</v>
      </c>
      <c r="CD106" s="59">
        <f ca="1">AVERAGE(OFFSET($CC$3,0,0,'Données projet'!$E$12+1,1))-AVERAGE(OFFSET($H$3,0,0,'Données projet'!$E$12+1,1))</f>
        <v>140.9558843244115</v>
      </c>
      <c r="CE106" s="59">
        <f t="shared" si="94"/>
        <v>158.88947216184619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42.72887258296813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42.72887258296813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8.0470000000000024</v>
      </c>
      <c r="CT106" s="12">
        <f>IF('Données projet'!$A$140&gt;35,CT105+CS106-DB105,IF(A106&lt;'Données projet'!$A$140,$CQ$205^A106,IF(A106='Données projet'!$A$140,'Données projet'!$B$140,CT105+CS106-DB105)))</f>
        <v>357.36300000000045</v>
      </c>
      <c r="CU106" s="17">
        <f>CT106*VLOOKUP('Données projet'!$B$13,Paramètres!$A$1:$I$89,3,0)*VLOOKUP('Données projet'!$B$13,Paramètres!$A$1:$I$89,5,0)</f>
        <v>345.64149360000044</v>
      </c>
      <c r="CV106" s="13">
        <f t="shared" si="95"/>
        <v>80.664396028729414</v>
      </c>
      <c r="CW106" s="20">
        <f t="shared" si="67"/>
        <v>742.48275777003767</v>
      </c>
      <c r="CX106" s="59">
        <f t="shared" si="68"/>
        <v>1035.816091103371</v>
      </c>
      <c r="CY106" s="59">
        <f ca="1">AVERAGE(OFFSET($CX$3,0,0,'Données projet'!$E$13+1,1))-AVERAGE(OFFSET($H$3,0,0,'Données projet'!$E$13+1,1))</f>
        <v>467.11196088914556</v>
      </c>
      <c r="CZ106" s="59">
        <f t="shared" si="96"/>
        <v>208.53783609106262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45.935514967815188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45.935514967815188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8.0470000000000024</v>
      </c>
      <c r="DO106" s="12">
        <f>IF('Données projet'!$A$166&gt;35,DO105+DN106-DW105,IF(A106&lt;'Données projet'!$A$166,$DL$205^A106,IF(A106='Données projet'!$A$166,'Données projet'!$B$166,DO105+DN106-DW105)))</f>
        <v>357.36300000000045</v>
      </c>
      <c r="DP106" s="17">
        <f>DO106*VLOOKUP('Données projet'!$B$14,Paramètres!$A$1:$I$89,3,0)*VLOOKUP('Données projet'!$B$14,Paramètres!$A$1:$I$89,5,0)</f>
        <v>384.66553320000048</v>
      </c>
      <c r="DQ106" s="13">
        <f t="shared" si="97"/>
        <v>88.660800089856849</v>
      </c>
      <c r="DR106" s="20">
        <f t="shared" si="70"/>
        <v>824.37669714650144</v>
      </c>
      <c r="DS106" s="59">
        <f t="shared" si="71"/>
        <v>1117.7100304798348</v>
      </c>
      <c r="DT106" s="59">
        <f ca="1">AVERAGE(OFFSET($DS$3,0,0,'Données projet'!$E$14+1,1))-AVERAGE(OFFSET($H$3,0,0,'Données projet'!$E$14+1,1))</f>
        <v>531.65020827367698</v>
      </c>
      <c r="DU106" s="59">
        <f t="shared" si="98"/>
        <v>235.89413420278396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51.121782786762054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51.121782786762054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60.028799999999919</v>
      </c>
      <c r="D107" s="11">
        <f t="shared" si="86"/>
        <v>17.175550352716147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595.9634062314924</v>
      </c>
      <c r="H107" s="67">
        <f t="shared" si="56"/>
        <v>427.79757686431378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347.72415600000045</v>
      </c>
      <c r="P107" s="13">
        <f t="shared" si="87"/>
        <v>81.093713547347789</v>
      </c>
      <c r="Q107" s="20">
        <f t="shared" si="107"/>
        <v>746.85778946163146</v>
      </c>
      <c r="R107" s="59">
        <f t="shared" si="55"/>
        <v>1040.1911227949647</v>
      </c>
      <c r="S107" s="59">
        <f ca="1">AVERAGE(OFFSET($R$3,0,0,'Données projet'!$E$9+1,1))-AVERAGE(OFFSET($H$3,0,0,'Données projet'!$E$9+1,1))</f>
        <v>457.88065872594228</v>
      </c>
      <c r="T107" s="59">
        <f t="shared" si="88"/>
        <v>204.62439362068329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60.644375687561855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60.644375687561855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1004.2510449478025</v>
      </c>
      <c r="AN107" s="59">
        <f ca="1">AVERAGE(OFFSET($AM$3,0,0,'Données projet'!$E$10+1,1))-AVERAGE(OFFSET($H$3,0,0,'Données projet'!$E$10+1,1))</f>
        <v>430.16825592717629</v>
      </c>
      <c r="AO107" s="59">
        <f t="shared" si="90"/>
        <v>192.87542067077248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7.456999999999999</v>
      </c>
      <c r="BD107" s="12">
        <f>IF('Données projet'!$A$88&gt;35,BD106+BC107-BL106,IF(A107&lt;'Données projet'!$A$88,$BA$205^A107,IF(A107='Données projet'!$A$88,'Données projet'!$B$88,BD106+BC107-BL106)))</f>
        <v>270.66700000000003</v>
      </c>
      <c r="BE107" s="13">
        <f>BD107*VLOOKUP('Données projet'!$B$11,Paramètres!$A$1:$I$89,3,0)*VLOOKUP('Données projet'!$B$11,Paramètres!$A$1:$I$89,5,0)</f>
        <v>228.00988080000005</v>
      </c>
      <c r="BF107" s="13">
        <f t="shared" si="91"/>
        <v>55.852153831597562</v>
      </c>
      <c r="BG107" s="20">
        <f t="shared" si="61"/>
        <v>494.39304365003255</v>
      </c>
      <c r="BH107" s="59">
        <f t="shared" si="62"/>
        <v>787.72637698336587</v>
      </c>
      <c r="BI107" s="59">
        <f ca="1">AVERAGE(OFFSET($BH$3,0,0,'Données projet'!$E$11+1,1))-AVERAGE(OFFSET($H$3,0,0,'Données projet'!$E$11+1,1))</f>
        <v>243.94505553629301</v>
      </c>
      <c r="BJ107" s="59">
        <f t="shared" si="92"/>
        <v>173.05364940250229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47.125011843624783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47.125011843624783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1.7053025658242404E-13</v>
      </c>
      <c r="BZ107" s="13">
        <f>BY107*VLOOKUP('Données projet'!$B$12,Paramètres!$A$1:$I$89,3,0)*VLOOKUP('Données projet'!$B$12,Paramètres!$A$1:$I$89,5,0)</f>
        <v>1.1173142411280423E-13</v>
      </c>
      <c r="CA107" s="13">
        <f t="shared" si="93"/>
        <v>1.6569896290553793E-12</v>
      </c>
      <c r="CB107" s="20">
        <f t="shared" si="64"/>
        <v>3.0805225009345862E-12</v>
      </c>
      <c r="CC107" s="59">
        <f t="shared" si="65"/>
        <v>293.33333333333638</v>
      </c>
      <c r="CD107" s="59">
        <f ca="1">AVERAGE(OFFSET($CC$3,0,0,'Données projet'!$E$12+1,1))-AVERAGE(OFFSET($H$3,0,0,'Données projet'!$E$12+1,1))</f>
        <v>140.9558843244115</v>
      </c>
      <c r="CE107" s="59">
        <f t="shared" si="94"/>
        <v>158.88947216184619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41.890985453654984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41.890985453654984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365.41</v>
      </c>
      <c r="CR107" s="12">
        <f>VLOOKUP(A107,'Données projet'!$A$139:$I$159,9,0)</f>
        <v>8.0470000000000024</v>
      </c>
      <c r="CS107" s="12">
        <f t="array" ref="CS107">INDEX(CR:CR,MIN(IF(ISNUMBER(CR107:CR303),ROW(CR107:CR303),"")))</f>
        <v>8.0470000000000024</v>
      </c>
      <c r="CT107" s="12">
        <f>IF('Données projet'!$A$140&gt;35,CT106+CS107-DB106,IF(A107&lt;'Données projet'!$A$140,$CQ$205^A107,IF(A107='Données projet'!$A$140,'Données projet'!$B$140,CT106+CS107-DB106)))</f>
        <v>365.41000000000048</v>
      </c>
      <c r="CU107" s="17">
        <f>CT107*VLOOKUP('Données projet'!$B$13,Paramètres!$A$1:$I$89,3,0)*VLOOKUP('Données projet'!$B$13,Paramètres!$A$1:$I$89,5,0)</f>
        <v>353.42455200000046</v>
      </c>
      <c r="CV107" s="13">
        <f t="shared" si="95"/>
        <v>82.267261964148275</v>
      </c>
      <c r="CW107" s="20">
        <f t="shared" si="67"/>
        <v>758.8299093208924</v>
      </c>
      <c r="CX107" s="59">
        <f t="shared" si="68"/>
        <v>1052.1632426542258</v>
      </c>
      <c r="CY107" s="59">
        <f ca="1">AVERAGE(OFFSET($CX$3,0,0,'Données projet'!$E$13+1,1))-AVERAGE(OFFSET($H$3,0,0,'Données projet'!$E$13+1,1))</f>
        <v>467.11196088914556</v>
      </c>
      <c r="CZ107" s="59">
        <f t="shared" si="96"/>
        <v>208.53783609106262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0.25800000000000001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61.638545780800555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61.638545780800555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365.41</v>
      </c>
      <c r="DM107" s="12">
        <f>VLOOKUP(A107,'Données projet'!$A$165:$I$185,9,0)</f>
        <v>8.0470000000000024</v>
      </c>
      <c r="DN107" s="12">
        <f t="array" ref="DN107">INDEX(DM:DM,MIN(IF(ISNUMBER(DM107:DM303),ROW(DM107:DM303),"")))</f>
        <v>8.0470000000000024</v>
      </c>
      <c r="DO107" s="12">
        <f>IF('Données projet'!$A$166&gt;35,DO106+DN107-DW106,IF(A107&lt;'Données projet'!$A$166,$DL$205^A107,IF(A107='Données projet'!$A$166,'Données projet'!$B$166,DO106+DN107-DW106)))</f>
        <v>365.41000000000048</v>
      </c>
      <c r="DP107" s="17">
        <f>DO107*VLOOKUP('Données projet'!$B$14,Paramètres!$A$1:$I$89,3,0)*VLOOKUP('Données projet'!$B$14,Paramètres!$A$1:$I$89,5,0)</f>
        <v>393.32732400000049</v>
      </c>
      <c r="DQ107" s="13">
        <f t="shared" si="97"/>
        <v>90.42256095670065</v>
      </c>
      <c r="DR107" s="20">
        <f t="shared" si="70"/>
        <v>842.53104963292105</v>
      </c>
      <c r="DS107" s="59">
        <f t="shared" si="71"/>
        <v>1135.8643829662544</v>
      </c>
      <c r="DT107" s="59">
        <f ca="1">AVERAGE(OFFSET($DS$3,0,0,'Données projet'!$E$14+1,1))-AVERAGE(OFFSET($H$3,0,0,'Données projet'!$E$14+1,1))</f>
        <v>531.65020827367698</v>
      </c>
      <c r="DU107" s="59">
        <f t="shared" si="98"/>
        <v>235.89413420278396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60.19</v>
      </c>
      <c r="DX107" s="16">
        <f>IF(ISNA(VLOOKUP(A107,'Données projet'!$A$165:$I$185,5,0)),0%,VLOOKUP(A107,'Données projet'!$A$165:$I$185,5,0)*VLOOKUP('Données projet'!$B$14,Paramètres!$A$1:$I$89,7,0))</f>
        <v>0.25800000000000001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68.597736433471596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68.597736433471596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60.605999999999916</v>
      </c>
      <c r="D108" s="11">
        <f t="shared" si="86"/>
        <v>17.321395099131863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601.54480427399983</v>
      </c>
      <c r="H108" s="67">
        <f t="shared" si="56"/>
        <v>429.05687979765446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297.99829800000049</v>
      </c>
      <c r="P108" s="13">
        <f t="shared" si="87"/>
        <v>70.756666487806527</v>
      </c>
      <c r="Q108" s="20">
        <f t="shared" si="107"/>
        <v>642.24822981626392</v>
      </c>
      <c r="R108" s="59">
        <f t="shared" si="55"/>
        <v>935.58156314959729</v>
      </c>
      <c r="S108" s="59">
        <f ca="1">AVERAGE(OFFSET($R$3,0,0,'Données projet'!$E$9+1,1))-AVERAGE(OFFSET($H$3,0,0,'Données projet'!$E$9+1,1))</f>
        <v>457.88065872594228</v>
      </c>
      <c r="T108" s="59">
        <f t="shared" si="88"/>
        <v>204.62439362068329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59.455176469745531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59.455176469745531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904.68543543540636</v>
      </c>
      <c r="AN108" s="59">
        <f ca="1">AVERAGE(OFFSET($AM$3,0,0,'Données projet'!$E$10+1,1))-AVERAGE(OFFSET($H$3,0,0,'Données projet'!$E$10+1,1))</f>
        <v>430.16825592717629</v>
      </c>
      <c r="AO108" s="59">
        <f t="shared" si="90"/>
        <v>192.87542067077248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7.456999999999999</v>
      </c>
      <c r="BD108" s="12">
        <f>IF('Données projet'!$A$88&gt;35,BD107+BC108-BL107,IF(A108&lt;'Données projet'!$A$88,$BA$205^A108,IF(A108='Données projet'!$A$88,'Données projet'!$B$88,BD107+BC108-BL107)))</f>
        <v>278.12400000000002</v>
      </c>
      <c r="BE108" s="13">
        <f>BD108*VLOOKUP('Données projet'!$B$11,Paramètres!$A$1:$I$89,3,0)*VLOOKUP('Données projet'!$B$11,Paramètres!$A$1:$I$89,5,0)</f>
        <v>234.29165760000006</v>
      </c>
      <c r="BF108" s="13">
        <f t="shared" si="91"/>
        <v>57.209637433767824</v>
      </c>
      <c r="BG108" s="20">
        <f t="shared" si="61"/>
        <v>507.69808885047905</v>
      </c>
      <c r="BH108" s="59">
        <f t="shared" si="62"/>
        <v>801.03142218381231</v>
      </c>
      <c r="BI108" s="59">
        <f ca="1">AVERAGE(OFFSET($BH$3,0,0,'Données projet'!$E$11+1,1))-AVERAGE(OFFSET($H$3,0,0,'Données projet'!$E$11+1,1))</f>
        <v>243.94505553629301</v>
      </c>
      <c r="BJ108" s="59">
        <f t="shared" si="92"/>
        <v>173.05364940250229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46.200919104790351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46.200919104790351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1.7053025658242404E-13</v>
      </c>
      <c r="BZ108" s="13">
        <f>BY108*VLOOKUP('Données projet'!$B$12,Paramètres!$A$1:$I$89,3,0)*VLOOKUP('Données projet'!$B$12,Paramètres!$A$1:$I$89,5,0)</f>
        <v>1.1173142411280423E-13</v>
      </c>
      <c r="CA108" s="13">
        <f t="shared" si="93"/>
        <v>1.6569896290553793E-12</v>
      </c>
      <c r="CB108" s="20">
        <f t="shared" si="64"/>
        <v>3.0805225009345862E-12</v>
      </c>
      <c r="CC108" s="59">
        <f t="shared" si="65"/>
        <v>293.33333333333638</v>
      </c>
      <c r="CD108" s="59">
        <f ca="1">AVERAGE(OFFSET($CC$3,0,0,'Données projet'!$E$12+1,1))-AVERAGE(OFFSET($H$3,0,0,'Données projet'!$E$12+1,1))</f>
        <v>140.9558843244115</v>
      </c>
      <c r="CE108" s="59">
        <f t="shared" si="94"/>
        <v>158.88947216184619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41.069528779886987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41.069528779886987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7.9349999999999969</v>
      </c>
      <c r="CT108" s="12">
        <f>IF('Données projet'!$A$140&gt;35,CT107+CS108-DB107,IF(A108&lt;'Données projet'!$A$140,$CQ$205^A108,IF(A108='Données projet'!$A$140,'Données projet'!$B$140,CT107+CS108-DB107)))</f>
        <v>313.15500000000048</v>
      </c>
      <c r="CU108" s="17">
        <f>CT108*VLOOKUP('Données projet'!$B$13,Paramètres!$A$1:$I$89,3,0)*VLOOKUP('Données projet'!$B$13,Paramètres!$A$1:$I$89,5,0)</f>
        <v>302.88351600000044</v>
      </c>
      <c r="CV108" s="13">
        <f t="shared" si="95"/>
        <v>71.780622233603793</v>
      </c>
      <c r="CW108" s="20">
        <f t="shared" si="67"/>
        <v>652.54004075686078</v>
      </c>
      <c r="CX108" s="59">
        <f t="shared" si="68"/>
        <v>945.87337409019415</v>
      </c>
      <c r="CY108" s="59">
        <f ca="1">AVERAGE(OFFSET($CX$3,0,0,'Données projet'!$E$13+1,1))-AVERAGE(OFFSET($H$3,0,0,'Données projet'!$E$13+1,1))</f>
        <v>467.11196088914556</v>
      </c>
      <c r="CZ108" s="59">
        <f t="shared" si="96"/>
        <v>208.53783609106262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60.429851493839706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60.429851493839706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7.9349999999999969</v>
      </c>
      <c r="DO108" s="12">
        <f>IF('Données projet'!$A$166&gt;35,DO107+DN108-DW107,IF(A108&lt;'Données projet'!$A$166,$DL$205^A108,IF(A108='Données projet'!$A$166,'Données projet'!$B$166,DO107+DN108-DW107)))</f>
        <v>313.15500000000048</v>
      </c>
      <c r="DP108" s="17">
        <f>DO108*VLOOKUP('Données projet'!$B$14,Paramètres!$A$1:$I$89,3,0)*VLOOKUP('Données projet'!$B$14,Paramètres!$A$1:$I$89,5,0)</f>
        <v>337.0800420000005</v>
      </c>
      <c r="DQ108" s="13">
        <f t="shared" si="97"/>
        <v>78.896362106429635</v>
      </c>
      <c r="DR108" s="20">
        <f t="shared" si="70"/>
        <v>724.49223715203243</v>
      </c>
      <c r="DS108" s="59">
        <f t="shared" si="71"/>
        <v>1017.8255704853657</v>
      </c>
      <c r="DT108" s="59">
        <f ca="1">AVERAGE(OFFSET($DS$3,0,0,'Données projet'!$E$14+1,1))-AVERAGE(OFFSET($H$3,0,0,'Données projet'!$E$14+1,1))</f>
        <v>531.65020827367698</v>
      </c>
      <c r="DU108" s="59">
        <f t="shared" si="98"/>
        <v>235.89413420278396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67.252576662499038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67.252576662499038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61.183199999999914</v>
      </c>
      <c r="D109" s="11">
        <f t="shared" si="86"/>
        <v>17.467078253228514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607.12495493720201</v>
      </c>
      <c r="H109" s="67">
        <f t="shared" si="56"/>
        <v>430.31590129103949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305.54924400000044</v>
      </c>
      <c r="P109" s="13">
        <f t="shared" si="87"/>
        <v>72.338554312522433</v>
      </c>
      <c r="Q109" s="20">
        <f t="shared" si="107"/>
        <v>658.1545820609773</v>
      </c>
      <c r="R109" s="59">
        <f t="shared" si="55"/>
        <v>951.48791539431068</v>
      </c>
      <c r="S109" s="59">
        <f ca="1">AVERAGE(OFFSET($R$3,0,0,'Données projet'!$E$9+1,1))-AVERAGE(OFFSET($H$3,0,0,'Données projet'!$E$9+1,1))</f>
        <v>457.88065872594228</v>
      </c>
      <c r="T109" s="59">
        <f t="shared" si="88"/>
        <v>204.62439362068329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58.289296723250686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58.289296723250686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919.82493087096304</v>
      </c>
      <c r="AN109" s="59">
        <f ca="1">AVERAGE(OFFSET($AM$3,0,0,'Données projet'!$E$10+1,1))-AVERAGE(OFFSET($H$3,0,0,'Données projet'!$E$10+1,1))</f>
        <v>430.16825592717629</v>
      </c>
      <c r="AO109" s="59">
        <f t="shared" si="90"/>
        <v>192.87542067077248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7.456999999999999</v>
      </c>
      <c r="BD109" s="12">
        <f>IF('Données projet'!$A$88&gt;35,BD108+BC109-BL108,IF(A109&lt;'Données projet'!$A$88,$BA$205^A109,IF(A109='Données projet'!$A$88,'Données projet'!$B$88,BD108+BC109-BL108)))</f>
        <v>285.58100000000002</v>
      </c>
      <c r="BE109" s="13">
        <f>BD109*VLOOKUP('Données projet'!$B$11,Paramètres!$A$1:$I$89,3,0)*VLOOKUP('Données projet'!$B$11,Paramètres!$A$1:$I$89,5,0)</f>
        <v>240.57343440000005</v>
      </c>
      <c r="BF109" s="13">
        <f t="shared" si="91"/>
        <v>58.562890545465834</v>
      </c>
      <c r="BG109" s="20">
        <f t="shared" si="61"/>
        <v>520.99576594668645</v>
      </c>
      <c r="BH109" s="59">
        <f t="shared" si="62"/>
        <v>814.32909928001982</v>
      </c>
      <c r="BI109" s="59">
        <f ca="1">AVERAGE(OFFSET($BH$3,0,0,'Données projet'!$E$11+1,1))-AVERAGE(OFFSET($H$3,0,0,'Données projet'!$E$11+1,1))</f>
        <v>243.94505553629301</v>
      </c>
      <c r="BJ109" s="59">
        <f t="shared" si="92"/>
        <v>173.05364940250229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45.294947260923543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45.294947260923543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1.7053025658242404E-13</v>
      </c>
      <c r="BZ109" s="13">
        <f>BY109*VLOOKUP('Données projet'!$B$12,Paramètres!$A$1:$I$89,3,0)*VLOOKUP('Données projet'!$B$12,Paramètres!$A$1:$I$89,5,0)</f>
        <v>1.1173142411280423E-13</v>
      </c>
      <c r="CA109" s="13">
        <f t="shared" si="93"/>
        <v>1.6569896290553793E-12</v>
      </c>
      <c r="CB109" s="20">
        <f t="shared" si="64"/>
        <v>3.0805225009345862E-12</v>
      </c>
      <c r="CC109" s="59">
        <f t="shared" si="65"/>
        <v>293.33333333333638</v>
      </c>
      <c r="CD109" s="59">
        <f ca="1">AVERAGE(OFFSET($CC$3,0,0,'Données projet'!$E$12+1,1))-AVERAGE(OFFSET($H$3,0,0,'Données projet'!$E$12+1,1))</f>
        <v>140.9558843244115</v>
      </c>
      <c r="CE109" s="59">
        <f t="shared" si="94"/>
        <v>158.88947216184619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40.264180370452486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40.264180370452486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7.9349999999999969</v>
      </c>
      <c r="CT109" s="12">
        <f>IF('Données projet'!$A$140&gt;35,CT108+CS109-DB108,IF(A109&lt;'Données projet'!$A$140,$CQ$205^A109,IF(A109='Données projet'!$A$140,'Données projet'!$B$140,CT108+CS109-DB108)))</f>
        <v>321.09000000000049</v>
      </c>
      <c r="CU109" s="17">
        <f>CT109*VLOOKUP('Données projet'!$B$13,Paramètres!$A$1:$I$89,3,0)*VLOOKUP('Données projet'!$B$13,Paramètres!$A$1:$I$89,5,0)</f>
        <v>310.5582480000005</v>
      </c>
      <c r="CV109" s="13">
        <f t="shared" si="95"/>
        <v>73.385402362433595</v>
      </c>
      <c r="CW109" s="20">
        <f t="shared" si="67"/>
        <v>668.70185771457261</v>
      </c>
      <c r="CX109" s="59">
        <f t="shared" si="68"/>
        <v>962.03519104790598</v>
      </c>
      <c r="CY109" s="59">
        <f ca="1">AVERAGE(OFFSET($CX$3,0,0,'Données projet'!$E$13+1,1))-AVERAGE(OFFSET($H$3,0,0,'Données projet'!$E$13+1,1))</f>
        <v>467.11196088914556</v>
      </c>
      <c r="CZ109" s="59">
        <f t="shared" si="96"/>
        <v>208.53783609106262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59.244858964615439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59.244858964615439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7.9349999999999969</v>
      </c>
      <c r="DO109" s="12">
        <f>IF('Données projet'!$A$166&gt;35,DO108+DN109-DW108,IF(A109&lt;'Données projet'!$A$166,$DL$205^A109,IF(A109='Données projet'!$A$166,'Données projet'!$B$166,DO108+DN109-DW108)))</f>
        <v>321.09000000000049</v>
      </c>
      <c r="DP109" s="17">
        <f>DO109*VLOOKUP('Données projet'!$B$14,Paramètres!$A$1:$I$89,3,0)*VLOOKUP('Données projet'!$B$14,Paramètres!$A$1:$I$89,5,0)</f>
        <v>345.62127600000048</v>
      </c>
      <c r="DQ109" s="13">
        <f t="shared" si="97"/>
        <v>80.660226924058378</v>
      </c>
      <c r="DR109" s="20">
        <f t="shared" si="70"/>
        <v>742.44028425940235</v>
      </c>
      <c r="DS109" s="59">
        <f t="shared" si="71"/>
        <v>1035.7736175927357</v>
      </c>
      <c r="DT109" s="59">
        <f ca="1">AVERAGE(OFFSET($DS$3,0,0,'Données projet'!$E$14+1,1))-AVERAGE(OFFSET($H$3,0,0,'Données projet'!$E$14+1,1))</f>
        <v>531.65020827367698</v>
      </c>
      <c r="DU109" s="59">
        <f t="shared" si="98"/>
        <v>235.89413420278396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65.933794654168807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65.933794654168807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61.760399999999912</v>
      </c>
      <c r="D110" s="11">
        <f t="shared" si="86"/>
        <v>17.612601516025176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612.70387135177259</v>
      </c>
      <c r="H110" s="67">
        <f t="shared" si="56"/>
        <v>431.57464430707699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313.10019000000045</v>
      </c>
      <c r="P110" s="13">
        <f t="shared" si="87"/>
        <v>73.915897794823138</v>
      </c>
      <c r="Q110" s="20">
        <f t="shared" si="107"/>
        <v>674.05301957598442</v>
      </c>
      <c r="R110" s="59">
        <f t="shared" si="55"/>
        <v>967.38635290931779</v>
      </c>
      <c r="S110" s="59">
        <f ca="1">AVERAGE(OFFSET($R$3,0,0,'Données projet'!$E$9+1,1))-AVERAGE(OFFSET($H$3,0,0,'Données projet'!$E$9+1,1))</f>
        <v>457.88065872594228</v>
      </c>
      <c r="T110" s="59">
        <f t="shared" si="88"/>
        <v>204.62439362068329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57.14627916746818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57.14627916746818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934.9568565201912</v>
      </c>
      <c r="AN110" s="59">
        <f ca="1">AVERAGE(OFFSET($AM$3,0,0,'Données projet'!$E$10+1,1))-AVERAGE(OFFSET($H$3,0,0,'Données projet'!$E$10+1,1))</f>
        <v>430.16825592717629</v>
      </c>
      <c r="AO110" s="59">
        <f t="shared" si="90"/>
        <v>192.87542067077248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7.456999999999999</v>
      </c>
      <c r="BD110" s="12">
        <f>IF('Données projet'!$A$88&gt;35,BD109+BC110-BL109,IF(A110&lt;'Données projet'!$A$88,$BA$205^A110,IF(A110='Données projet'!$A$88,'Données projet'!$B$88,BD109+BC110-BL109)))</f>
        <v>293.03800000000001</v>
      </c>
      <c r="BE110" s="13">
        <f>BD110*VLOOKUP('Données projet'!$B$11,Paramètres!$A$1:$I$89,3,0)*VLOOKUP('Données projet'!$B$11,Paramètres!$A$1:$I$89,5,0)</f>
        <v>246.85521120000001</v>
      </c>
      <c r="BF110" s="13">
        <f t="shared" si="91"/>
        <v>59.912036331165396</v>
      </c>
      <c r="BG110" s="20">
        <f t="shared" si="61"/>
        <v>534.28628945011303</v>
      </c>
      <c r="BH110" s="59">
        <f t="shared" si="62"/>
        <v>827.6196227834464</v>
      </c>
      <c r="BI110" s="59">
        <f ca="1">AVERAGE(OFFSET($BH$3,0,0,'Données projet'!$E$11+1,1))-AVERAGE(OFFSET($H$3,0,0,'Données projet'!$E$11+1,1))</f>
        <v>243.94505553629301</v>
      </c>
      <c r="BJ110" s="59">
        <f t="shared" si="92"/>
        <v>173.05364940250229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44.406740972326702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44.406740972326702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1.7053025658242404E-13</v>
      </c>
      <c r="BZ110" s="13">
        <f>BY110*VLOOKUP('Données projet'!$B$12,Paramètres!$A$1:$I$89,3,0)*VLOOKUP('Données projet'!$B$12,Paramètres!$A$1:$I$89,5,0)</f>
        <v>1.1173142411280423E-13</v>
      </c>
      <c r="CA110" s="13">
        <f t="shared" si="93"/>
        <v>1.6569896290553793E-12</v>
      </c>
      <c r="CB110" s="20">
        <f t="shared" si="64"/>
        <v>3.0805225009345862E-12</v>
      </c>
      <c r="CC110" s="59">
        <f t="shared" si="65"/>
        <v>293.33333333333638</v>
      </c>
      <c r="CD110" s="59">
        <f ca="1">AVERAGE(OFFSET($CC$3,0,0,'Données projet'!$E$12+1,1))-AVERAGE(OFFSET($H$3,0,0,'Données projet'!$E$12+1,1))</f>
        <v>140.9558843244115</v>
      </c>
      <c r="CE110" s="59">
        <f t="shared" si="94"/>
        <v>158.88947216184619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39.474624352112968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39.474624352112968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7.9349999999999969</v>
      </c>
      <c r="CT110" s="12">
        <f>IF('Données projet'!$A$140&gt;35,CT109+CS110-DB109,IF(A110&lt;'Données projet'!$A$140,$CQ$205^A110,IF(A110='Données projet'!$A$140,'Données projet'!$B$140,CT109+CS110-DB109)))</f>
        <v>329.02500000000049</v>
      </c>
      <c r="CU110" s="17">
        <f>CT110*VLOOKUP('Données projet'!$B$13,Paramètres!$A$1:$I$89,3,0)*VLOOKUP('Données projet'!$B$13,Paramètres!$A$1:$I$89,5,0)</f>
        <v>318.23298000000051</v>
      </c>
      <c r="CV110" s="13">
        <f t="shared" si="95"/>
        <v>74.985572385355411</v>
      </c>
      <c r="CW110" s="20">
        <f t="shared" si="67"/>
        <v>684.85564540449479</v>
      </c>
      <c r="CX110" s="59">
        <f t="shared" si="68"/>
        <v>978.18897873782817</v>
      </c>
      <c r="CY110" s="59">
        <f ca="1">AVERAGE(OFFSET($CX$3,0,0,'Données projet'!$E$13+1,1))-AVERAGE(OFFSET($H$3,0,0,'Données projet'!$E$13+1,1))</f>
        <v>467.11196088914556</v>
      </c>
      <c r="CZ110" s="59">
        <f t="shared" si="96"/>
        <v>208.53783609106262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58.083103416115186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58.083103416115186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7.9349999999999969</v>
      </c>
      <c r="DO110" s="12">
        <f>IF('Données projet'!$A$166&gt;35,DO109+DN110-DW109,IF(A110&lt;'Données projet'!$A$166,$DL$205^A110,IF(A110='Données projet'!$A$166,'Données projet'!$B$166,DO109+DN110-DW109)))</f>
        <v>329.02500000000049</v>
      </c>
      <c r="DP110" s="17">
        <f>DO110*VLOOKUP('Données projet'!$B$14,Paramètres!$A$1:$I$89,3,0)*VLOOKUP('Données projet'!$B$14,Paramètres!$A$1:$I$89,5,0)</f>
        <v>354.16251000000051</v>
      </c>
      <c r="DQ110" s="13">
        <f t="shared" si="97"/>
        <v>82.419024627837416</v>
      </c>
      <c r="DR110" s="20">
        <f t="shared" si="70"/>
        <v>760.37950614348438</v>
      </c>
      <c r="DS110" s="59">
        <f t="shared" si="71"/>
        <v>1053.7128394768176</v>
      </c>
      <c r="DT110" s="59">
        <f ca="1">AVERAGE(OFFSET($DS$3,0,0,'Données projet'!$E$14+1,1))-AVERAGE(OFFSET($H$3,0,0,'Données projet'!$E$14+1,1))</f>
        <v>531.65020827367698</v>
      </c>
      <c r="DU110" s="59">
        <f t="shared" si="98"/>
        <v>235.89413420278396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64.640873156644332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64.640873156644332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62.33759999999991</v>
      </c>
      <c r="D111" s="11">
        <f t="shared" si="86"/>
        <v>17.757966554912581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618.2815663887983</v>
      </c>
      <c r="H111" s="67">
        <f t="shared" si="56"/>
        <v>432.83311174980588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320.65113600000046</v>
      </c>
      <c r="P111" s="13">
        <f t="shared" si="87"/>
        <v>75.48881913848264</v>
      </c>
      <c r="Q111" s="20">
        <f t="shared" si="107"/>
        <v>689.94375519952473</v>
      </c>
      <c r="R111" s="59">
        <f t="shared" si="55"/>
        <v>983.27708853285799</v>
      </c>
      <c r="S111" s="59">
        <f ca="1">AVERAGE(OFFSET($R$3,0,0,'Données projet'!$E$9+1,1))-AVERAGE(OFFSET($H$3,0,0,'Données projet'!$E$9+1,1))</f>
        <v>457.88065872594228</v>
      </c>
      <c r="T111" s="59">
        <f t="shared" si="88"/>
        <v>204.62439362068329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56.025675488782696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56.025675488782696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950.0814159453173</v>
      </c>
      <c r="AN111" s="59">
        <f ca="1">AVERAGE(OFFSET($AM$3,0,0,'Données projet'!$E$10+1,1))-AVERAGE(OFFSET($H$3,0,0,'Données projet'!$E$10+1,1))</f>
        <v>430.16825592717629</v>
      </c>
      <c r="AO111" s="59">
        <f t="shared" si="90"/>
        <v>192.87542067077248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7.456999999999999</v>
      </c>
      <c r="BD111" s="12">
        <f>IF('Données projet'!$A$88&gt;35,BD110+BC111-BL110,IF(A111&lt;'Données projet'!$A$88,$BA$205^A111,IF(A111='Données projet'!$A$88,'Données projet'!$B$88,BD110+BC111-BL110)))</f>
        <v>300.495</v>
      </c>
      <c r="BE111" s="13">
        <f>BD111*VLOOKUP('Données projet'!$B$11,Paramètres!$A$1:$I$89,3,0)*VLOOKUP('Données projet'!$B$11,Paramètres!$A$1:$I$89,5,0)</f>
        <v>253.13698800000003</v>
      </c>
      <c r="BF111" s="13">
        <f t="shared" si="91"/>
        <v>61.257191329793066</v>
      </c>
      <c r="BG111" s="20">
        <f t="shared" si="61"/>
        <v>547.56986233272289</v>
      </c>
      <c r="BH111" s="59">
        <f t="shared" si="62"/>
        <v>840.90319566605626</v>
      </c>
      <c r="BI111" s="59">
        <f ca="1">AVERAGE(OFFSET($BH$3,0,0,'Données projet'!$E$11+1,1))-AVERAGE(OFFSET($H$3,0,0,'Données projet'!$E$11+1,1))</f>
        <v>243.94505553629301</v>
      </c>
      <c r="BJ111" s="59">
        <f t="shared" si="92"/>
        <v>173.05364940250229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43.535951867296902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43.535951867296902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1.7053025658242404E-13</v>
      </c>
      <c r="BZ111" s="13">
        <f>BY111*VLOOKUP('Données projet'!$B$12,Paramètres!$A$1:$I$89,3,0)*VLOOKUP('Données projet'!$B$12,Paramètres!$A$1:$I$89,5,0)</f>
        <v>1.1173142411280423E-13</v>
      </c>
      <c r="CA111" s="13">
        <f t="shared" si="93"/>
        <v>1.6569896290553793E-12</v>
      </c>
      <c r="CB111" s="20">
        <f t="shared" si="64"/>
        <v>3.0805225009345862E-12</v>
      </c>
      <c r="CC111" s="59">
        <f t="shared" si="65"/>
        <v>293.33333333333638</v>
      </c>
      <c r="CD111" s="59">
        <f ca="1">AVERAGE(OFFSET($CC$3,0,0,'Données projet'!$E$12+1,1))-AVERAGE(OFFSET($H$3,0,0,'Données projet'!$E$12+1,1))</f>
        <v>140.9558843244115</v>
      </c>
      <c r="CE111" s="59">
        <f t="shared" si="94"/>
        <v>158.88947216184619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38.700551045711471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38.700551045711471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7.9349999999999969</v>
      </c>
      <c r="CT111" s="12">
        <f>IF('Données projet'!$A$140&gt;35,CT110+CS111-DB110,IF(A111&lt;'Données projet'!$A$140,$CQ$205^A111,IF(A111='Données projet'!$A$140,'Données projet'!$B$140,CT110+CS111-DB110)))</f>
        <v>336.96000000000049</v>
      </c>
      <c r="CU111" s="17">
        <f>CT111*VLOOKUP('Données projet'!$B$13,Paramètres!$A$1:$I$89,3,0)*VLOOKUP('Données projet'!$B$13,Paramètres!$A$1:$I$89,5,0)</f>
        <v>325.90771200000052</v>
      </c>
      <c r="CV111" s="13">
        <f t="shared" si="95"/>
        <v>76.581256274616251</v>
      </c>
      <c r="CW111" s="20">
        <f t="shared" si="67"/>
        <v>701.00161974495734</v>
      </c>
      <c r="CX111" s="59">
        <f t="shared" si="68"/>
        <v>994.33495307829071</v>
      </c>
      <c r="CY111" s="59">
        <f ca="1">AVERAGE(OFFSET($CX$3,0,0,'Données projet'!$E$13+1,1))-AVERAGE(OFFSET($H$3,0,0,'Données projet'!$E$13+1,1))</f>
        <v>467.11196088914556</v>
      </c>
      <c r="CZ111" s="59">
        <f t="shared" si="96"/>
        <v>208.53783609106262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56.944129185320108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56.944129185320108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7.9349999999999969</v>
      </c>
      <c r="DO111" s="12">
        <f>IF('Données projet'!$A$166&gt;35,DO110+DN111-DW110,IF(A111&lt;'Données projet'!$A$166,$DL$205^A111,IF(A111='Données projet'!$A$166,'Données projet'!$B$166,DO110+DN111-DW110)))</f>
        <v>336.96000000000049</v>
      </c>
      <c r="DP111" s="17">
        <f>DO111*VLOOKUP('Données projet'!$B$14,Paramètres!$A$1:$I$89,3,0)*VLOOKUP('Données projet'!$B$14,Paramètres!$A$1:$I$89,5,0)</f>
        <v>362.70374400000048</v>
      </c>
      <c r="DQ111" s="13">
        <f t="shared" si="97"/>
        <v>84.172891479601518</v>
      </c>
      <c r="DR111" s="20">
        <f t="shared" si="70"/>
        <v>778.31014012697335</v>
      </c>
      <c r="DS111" s="59">
        <f t="shared" si="71"/>
        <v>1071.6434734603067</v>
      </c>
      <c r="DT111" s="59">
        <f ca="1">AVERAGE(OFFSET($DS$3,0,0,'Données projet'!$E$14+1,1))-AVERAGE(OFFSET($H$3,0,0,'Données projet'!$E$14+1,1))</f>
        <v>531.65020827367698</v>
      </c>
      <c r="DU111" s="59">
        <f t="shared" si="98"/>
        <v>235.89413420278396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63.373305061082064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63.373305061082064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62.914799999999907</v>
      </c>
      <c r="D112" s="11">
        <f t="shared" si="86"/>
        <v>17.903175004622941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623.85805266726413</v>
      </c>
      <c r="H112" s="67">
        <f t="shared" si="56"/>
        <v>434.09130646638476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328.20208200000047</v>
      </c>
      <c r="P112" s="13">
        <f t="shared" si="87"/>
        <v>77.057434463449852</v>
      </c>
      <c r="Q112" s="20">
        <f t="shared" si="107"/>
        <v>705.82699117384254</v>
      </c>
      <c r="R112" s="59">
        <f t="shared" si="55"/>
        <v>999.1603245071758</v>
      </c>
      <c r="S112" s="59">
        <f ca="1">AVERAGE(OFFSET($R$3,0,0,'Données projet'!$E$9+1,1))-AVERAGE(OFFSET($H$3,0,0,'Données projet'!$E$9+1,1))</f>
        <v>457.88065872594228</v>
      </c>
      <c r="T112" s="59">
        <f t="shared" si="88"/>
        <v>204.62439362068329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54.927046164735479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54.927046164735479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965.1988025743708</v>
      </c>
      <c r="AN112" s="59">
        <f ca="1">AVERAGE(OFFSET($AM$3,0,0,'Données projet'!$E$10+1,1))-AVERAGE(OFFSET($H$3,0,0,'Données projet'!$E$10+1,1))</f>
        <v>430.16825592717629</v>
      </c>
      <c r="AO112" s="59">
        <f t="shared" si="90"/>
        <v>192.87542067077248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7.456999999999999</v>
      </c>
      <c r="BD112" s="12">
        <f>IF('Données projet'!$A$88&gt;35,BD111+BC112-BL111,IF(A112&lt;'Données projet'!$A$88,$BA$205^A112,IF(A112='Données projet'!$A$88,'Données projet'!$B$88,BD111+BC112-BL111)))</f>
        <v>307.952</v>
      </c>
      <c r="BE112" s="13">
        <f>BD112*VLOOKUP('Données projet'!$B$11,Paramètres!$A$1:$I$89,3,0)*VLOOKUP('Données projet'!$B$11,Paramètres!$A$1:$I$89,5,0)</f>
        <v>259.41876480000002</v>
      </c>
      <c r="BF112" s="13">
        <f t="shared" si="91"/>
        <v>62.59846596659208</v>
      </c>
      <c r="BG112" s="20">
        <f t="shared" si="61"/>
        <v>560.84667691848119</v>
      </c>
      <c r="BH112" s="59">
        <f t="shared" si="62"/>
        <v>854.18001025181456</v>
      </c>
      <c r="BI112" s="59">
        <f ca="1">AVERAGE(OFFSET($BH$3,0,0,'Données projet'!$E$11+1,1))-AVERAGE(OFFSET($H$3,0,0,'Données projet'!$E$11+1,1))</f>
        <v>243.94505553629301</v>
      </c>
      <c r="BJ112" s="59">
        <f t="shared" si="92"/>
        <v>173.05364940250229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42.68223840548783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42.68223840548783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1.7053025658242404E-13</v>
      </c>
      <c r="BZ112" s="13">
        <f>BY112*VLOOKUP('Données projet'!$B$12,Paramètres!$A$1:$I$89,3,0)*VLOOKUP('Données projet'!$B$12,Paramètres!$A$1:$I$89,5,0)</f>
        <v>1.1173142411280423E-13</v>
      </c>
      <c r="CA112" s="13">
        <f t="shared" si="93"/>
        <v>1.6569896290553793E-12</v>
      </c>
      <c r="CB112" s="20">
        <f t="shared" si="64"/>
        <v>3.0805225009345862E-12</v>
      </c>
      <c r="CC112" s="59">
        <f t="shared" si="65"/>
        <v>293.33333333333638</v>
      </c>
      <c r="CD112" s="59">
        <f ca="1">AVERAGE(OFFSET($CC$3,0,0,'Données projet'!$E$12+1,1))-AVERAGE(OFFSET($H$3,0,0,'Données projet'!$E$12+1,1))</f>
        <v>140.9558843244115</v>
      </c>
      <c r="CE112" s="59">
        <f t="shared" si="94"/>
        <v>158.88947216184619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37.941656844710408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37.941656844710408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7.9349999999999969</v>
      </c>
      <c r="CT112" s="12">
        <f>IF('Données projet'!$A$140&gt;35,CT111+CS112-DB111,IF(A112&lt;'Données projet'!$A$140,$CQ$205^A112,IF(A112='Données projet'!$A$140,'Données projet'!$B$140,CT111+CS112-DB111)))</f>
        <v>344.89500000000049</v>
      </c>
      <c r="CU112" s="17">
        <f>CT112*VLOOKUP('Données projet'!$B$13,Paramètres!$A$1:$I$89,3,0)*VLOOKUP('Données projet'!$B$13,Paramètres!$A$1:$I$89,5,0)</f>
        <v>333.58244400000052</v>
      </c>
      <c r="CV112" s="13">
        <f t="shared" si="95"/>
        <v>78.172571830595942</v>
      </c>
      <c r="CW112" s="20">
        <f t="shared" si="67"/>
        <v>717.13998590495532</v>
      </c>
      <c r="CX112" s="59">
        <f t="shared" si="68"/>
        <v>1010.4733192382887</v>
      </c>
      <c r="CY112" s="59">
        <f ca="1">AVERAGE(OFFSET($CX$3,0,0,'Données projet'!$E$13+1,1))-AVERAGE(OFFSET($H$3,0,0,'Données projet'!$E$13+1,1))</f>
        <v>467.11196088914556</v>
      </c>
      <c r="CZ112" s="59">
        <f t="shared" si="96"/>
        <v>208.53783609106262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55.827489544485232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55.827489544485232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7.9349999999999969</v>
      </c>
      <c r="DO112" s="12">
        <f>IF('Données projet'!$A$166&gt;35,DO111+DN112-DW111,IF(A112&lt;'Données projet'!$A$166,$DL$205^A112,IF(A112='Données projet'!$A$166,'Données projet'!$B$166,DO111+DN112-DW111)))</f>
        <v>344.89500000000049</v>
      </c>
      <c r="DP112" s="17">
        <f>DO112*VLOOKUP('Données projet'!$B$14,Paramètres!$A$1:$I$89,3,0)*VLOOKUP('Données projet'!$B$14,Paramètres!$A$1:$I$89,5,0)</f>
        <v>371.24497800000051</v>
      </c>
      <c r="DQ112" s="13">
        <f t="shared" si="97"/>
        <v>85.921956957490252</v>
      </c>
      <c r="DR112" s="20">
        <f t="shared" si="70"/>
        <v>796.23241171762959</v>
      </c>
      <c r="DS112" s="59">
        <f t="shared" si="71"/>
        <v>1089.565745050963</v>
      </c>
      <c r="DT112" s="59">
        <f ca="1">AVERAGE(OFFSET($DS$3,0,0,'Données projet'!$E$14+1,1))-AVERAGE(OFFSET($H$3,0,0,'Données projet'!$E$14+1,1))</f>
        <v>531.65020827367698</v>
      </c>
      <c r="DU112" s="59">
        <f t="shared" si="98"/>
        <v>235.89413420278396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62.130593202733579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62.130593202733579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63.491999999999905</v>
      </c>
      <c r="D113" s="11">
        <f t="shared" si="86"/>
        <v>18.048228468163344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629.43334256126025</v>
      </c>
      <c r="H113" s="67">
        <f t="shared" si="56"/>
        <v>435.34923124871762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335.75302800000048</v>
      </c>
      <c r="P113" s="13">
        <f t="shared" si="87"/>
        <v>78.62185424162395</v>
      </c>
      <c r="Q113" s="20">
        <f t="shared" si="107"/>
        <v>721.70291990416251</v>
      </c>
      <c r="R113" s="59">
        <f t="shared" si="55"/>
        <v>1015.0362532374959</v>
      </c>
      <c r="S113" s="59">
        <f ca="1">AVERAGE(OFFSET($R$3,0,0,'Données projet'!$E$9+1,1))-AVERAGE(OFFSET($H$3,0,0,'Données projet'!$E$9+1,1))</f>
        <v>457.88065872594228</v>
      </c>
      <c r="T113" s="59">
        <f t="shared" si="88"/>
        <v>204.62439362068329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53.849960291635114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53.849960291635114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980.30920042708362</v>
      </c>
      <c r="AN113" s="59">
        <f ca="1">AVERAGE(OFFSET($AM$3,0,0,'Données projet'!$E$10+1,1))-AVERAGE(OFFSET($H$3,0,0,'Données projet'!$E$10+1,1))</f>
        <v>430.16825592717629</v>
      </c>
      <c r="AO113" s="59">
        <f t="shared" si="90"/>
        <v>192.87542067077248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7.456999999999999</v>
      </c>
      <c r="BD113" s="12">
        <f>IF('Données projet'!$A$88&gt;35,BD112+BC113-BL112,IF(A113&lt;'Données projet'!$A$88,$BA$205^A113,IF(A113='Données projet'!$A$88,'Données projet'!$B$88,BD112+BC113-BL112)))</f>
        <v>315.40899999999999</v>
      </c>
      <c r="BE113" s="13">
        <f>BD113*VLOOKUP('Données projet'!$B$11,Paramètres!$A$1:$I$89,3,0)*VLOOKUP('Données projet'!$B$11,Paramètres!$A$1:$I$89,5,0)</f>
        <v>265.70054160000001</v>
      </c>
      <c r="BF113" s="13">
        <f t="shared" si="91"/>
        <v>63.935965014011138</v>
      </c>
      <c r="BG113" s="20">
        <f t="shared" si="61"/>
        <v>574.11691568606932</v>
      </c>
      <c r="BH113" s="59">
        <f t="shared" si="62"/>
        <v>867.45024901940269</v>
      </c>
      <c r="BI113" s="59">
        <f ca="1">AVERAGE(OFFSET($BH$3,0,0,'Données projet'!$E$11+1,1))-AVERAGE(OFFSET($H$3,0,0,'Données projet'!$E$11+1,1))</f>
        <v>243.94505553629301</v>
      </c>
      <c r="BJ113" s="59">
        <f t="shared" si="92"/>
        <v>173.05364940250229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41.845265743951039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41.845265743951039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1.7053025658242404E-13</v>
      </c>
      <c r="BZ113" s="13">
        <f>BY113*VLOOKUP('Données projet'!$B$12,Paramètres!$A$1:$I$89,3,0)*VLOOKUP('Données projet'!$B$12,Paramètres!$A$1:$I$89,5,0)</f>
        <v>1.1173142411280423E-13</v>
      </c>
      <c r="CA113" s="13">
        <f t="shared" si="93"/>
        <v>1.6569896290553793E-12</v>
      </c>
      <c r="CB113" s="20">
        <f t="shared" si="64"/>
        <v>3.0805225009345862E-12</v>
      </c>
      <c r="CC113" s="59">
        <f t="shared" si="65"/>
        <v>293.33333333333638</v>
      </c>
      <c r="CD113" s="59">
        <f ca="1">AVERAGE(OFFSET($CC$3,0,0,'Données projet'!$E$12+1,1))-AVERAGE(OFFSET($H$3,0,0,'Données projet'!$E$12+1,1))</f>
        <v>140.9558843244115</v>
      </c>
      <c r="CE113" s="59">
        <f t="shared" si="94"/>
        <v>158.88947216184619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37.197644096111219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37.197644096111219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7.9349999999999969</v>
      </c>
      <c r="CT113" s="12">
        <f>IF('Données projet'!$A$140&gt;35,CT112+CS113-DB112,IF(A113&lt;'Données projet'!$A$140,$CQ$205^A113,IF(A113='Données projet'!$A$140,'Données projet'!$B$140,CT112+CS113-DB112)))</f>
        <v>352.8300000000005</v>
      </c>
      <c r="CU113" s="17">
        <f>CT113*VLOOKUP('Données projet'!$B$13,Paramètres!$A$1:$I$89,3,0)*VLOOKUP('Données projet'!$B$13,Paramètres!$A$1:$I$89,5,0)</f>
        <v>341.25717600000047</v>
      </c>
      <c r="CV113" s="13">
        <f t="shared" si="95"/>
        <v>79.759631123888809</v>
      </c>
      <c r="CW113" s="20">
        <f t="shared" si="67"/>
        <v>733.2709390741071</v>
      </c>
      <c r="CX113" s="59">
        <f t="shared" si="68"/>
        <v>1026.6042724074405</v>
      </c>
      <c r="CY113" s="59">
        <f ca="1">AVERAGE(OFFSET($CX$3,0,0,'Données projet'!$E$13+1,1))-AVERAGE(OFFSET($H$3,0,0,'Données projet'!$E$13+1,1))</f>
        <v>467.11196088914556</v>
      </c>
      <c r="CZ113" s="59">
        <f t="shared" si="96"/>
        <v>208.53783609106262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54.732746525924199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54.732746525924199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7.9349999999999969</v>
      </c>
      <c r="DO113" s="12">
        <f>IF('Données projet'!$A$166&gt;35,DO112+DN113-DW112,IF(A113&lt;'Données projet'!$A$166,$DL$205^A113,IF(A113='Données projet'!$A$166,'Données projet'!$B$166,DO112+DN113-DW112)))</f>
        <v>352.8300000000005</v>
      </c>
      <c r="DP113" s="17">
        <f>DO113*VLOOKUP('Données projet'!$B$14,Paramètres!$A$1:$I$89,3,0)*VLOOKUP('Données projet'!$B$14,Paramètres!$A$1:$I$89,5,0)</f>
        <v>379.78621200000055</v>
      </c>
      <c r="DQ113" s="13">
        <f t="shared" si="97"/>
        <v>87.666344241853807</v>
      </c>
      <c r="DR113" s="20">
        <f t="shared" si="70"/>
        <v>814.14653545456304</v>
      </c>
      <c r="DS113" s="59">
        <f t="shared" si="71"/>
        <v>1107.4798687878963</v>
      </c>
      <c r="DT113" s="59">
        <f ca="1">AVERAGE(OFFSET($DS$3,0,0,'Données projet'!$E$14+1,1))-AVERAGE(OFFSET($H$3,0,0,'Données projet'!$E$14+1,1))</f>
        <v>531.65020827367698</v>
      </c>
      <c r="DU113" s="59">
        <f t="shared" si="98"/>
        <v>235.89413420278396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60.912250165947917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60.912250165947917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64.06919999999991</v>
      </c>
      <c r="D114" s="11">
        <f t="shared" si="86"/>
        <v>18.193128517714069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635.007448206915</v>
      </c>
      <c r="H114" s="67">
        <f t="shared" si="56"/>
        <v>436.60688883501848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343.30397400000049</v>
      </c>
      <c r="P114" s="13">
        <f t="shared" si="87"/>
        <v>80.182183692322951</v>
      </c>
      <c r="Q114" s="20">
        <f t="shared" si="107"/>
        <v>737.57172464746327</v>
      </c>
      <c r="R114" s="59">
        <f t="shared" si="55"/>
        <v>1030.9050579807965</v>
      </c>
      <c r="S114" s="59">
        <f ca="1">AVERAGE(OFFSET($R$3,0,0,'Données projet'!$E$9+1,1))-AVERAGE(OFFSET($H$3,0,0,'Données projet'!$E$9+1,1))</f>
        <v>457.88065872594228</v>
      </c>
      <c r="T114" s="59">
        <f t="shared" si="88"/>
        <v>204.62439362068329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52.793995415548729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52.793995415548729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995.41278477364517</v>
      </c>
      <c r="AN114" s="59">
        <f ca="1">AVERAGE(OFFSET($AM$3,0,0,'Données projet'!$E$10+1,1))-AVERAGE(OFFSET($H$3,0,0,'Données projet'!$E$10+1,1))</f>
        <v>430.16825592717629</v>
      </c>
      <c r="AO114" s="59">
        <f t="shared" si="90"/>
        <v>192.87542067077248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7.456999999999999</v>
      </c>
      <c r="BD114" s="12">
        <f>IF('Données projet'!$A$88&gt;35,BD113+BC114-BL113,IF(A114&lt;'Données projet'!$A$88,$BA$205^A114,IF(A114='Données projet'!$A$88,'Données projet'!$B$88,BD113+BC114-BL113)))</f>
        <v>322.86599999999999</v>
      </c>
      <c r="BE114" s="13">
        <f>BD114*VLOOKUP('Données projet'!$B$11,Paramètres!$A$1:$I$89,3,0)*VLOOKUP('Données projet'!$B$11,Paramètres!$A$1:$I$89,5,0)</f>
        <v>271.98231840000005</v>
      </c>
      <c r="BF114" s="13">
        <f t="shared" si="91"/>
        <v>65.269788007779979</v>
      </c>
      <c r="BG114" s="20">
        <f t="shared" si="61"/>
        <v>587.38075199355023</v>
      </c>
      <c r="BH114" s="59">
        <f t="shared" si="62"/>
        <v>880.71408532688361</v>
      </c>
      <c r="BI114" s="59">
        <f ca="1">AVERAGE(OFFSET($BH$3,0,0,'Données projet'!$E$11+1,1))-AVERAGE(OFFSET($H$3,0,0,'Données projet'!$E$11+1,1))</f>
        <v>243.94505553629301</v>
      </c>
      <c r="BJ114" s="59">
        <f t="shared" si="92"/>
        <v>173.05364940250229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41.024705605804066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41.024705605804066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1.7053025658242404E-13</v>
      </c>
      <c r="BZ114" s="13">
        <f>BY114*VLOOKUP('Données projet'!$B$12,Paramètres!$A$1:$I$89,3,0)*VLOOKUP('Données projet'!$B$12,Paramètres!$A$1:$I$89,5,0)</f>
        <v>1.1173142411280423E-13</v>
      </c>
      <c r="CA114" s="13">
        <f t="shared" si="93"/>
        <v>1.6569896290553793E-12</v>
      </c>
      <c r="CB114" s="20">
        <f t="shared" si="64"/>
        <v>3.0805225009345862E-12</v>
      </c>
      <c r="CC114" s="59">
        <f t="shared" si="65"/>
        <v>293.33333333333638</v>
      </c>
      <c r="CD114" s="59">
        <f ca="1">AVERAGE(OFFSET($CC$3,0,0,'Données projet'!$E$12+1,1))-AVERAGE(OFFSET($H$3,0,0,'Données projet'!$E$12+1,1))</f>
        <v>140.9558843244115</v>
      </c>
      <c r="CE114" s="59">
        <f t="shared" si="94"/>
        <v>158.88947216184619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36.468220983709088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36.468220983709088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7.9349999999999969</v>
      </c>
      <c r="CT114" s="12">
        <f>IF('Données projet'!$A$140&gt;35,CT113+CS114-DB113,IF(A114&lt;'Données projet'!$A$140,$CQ$205^A114,IF(A114='Données projet'!$A$140,'Données projet'!$B$140,CT113+CS114-DB113)))</f>
        <v>360.7650000000005</v>
      </c>
      <c r="CU114" s="17">
        <f>CT114*VLOOKUP('Données projet'!$B$13,Paramètres!$A$1:$I$89,3,0)*VLOOKUP('Données projet'!$B$13,Paramètres!$A$1:$I$89,5,0)</f>
        <v>348.93190800000048</v>
      </c>
      <c r="CV114" s="13">
        <f t="shared" si="95"/>
        <v>81.342540896495009</v>
      </c>
      <c r="CW114" s="20">
        <f t="shared" si="67"/>
        <v>749.39466516139635</v>
      </c>
      <c r="CX114" s="59">
        <f t="shared" si="68"/>
        <v>1042.7279984947297</v>
      </c>
      <c r="CY114" s="59">
        <f ca="1">AVERAGE(OFFSET($CX$3,0,0,'Données projet'!$E$13+1,1))-AVERAGE(OFFSET($H$3,0,0,'Données projet'!$E$13+1,1))</f>
        <v>467.11196088914556</v>
      </c>
      <c r="CZ114" s="59">
        <f t="shared" si="96"/>
        <v>208.53783609106262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53.659470750229843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53.659470750229843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7.9349999999999969</v>
      </c>
      <c r="DO114" s="12">
        <f>IF('Données projet'!$A$166&gt;35,DO113+DN114-DW113,IF(A114&lt;'Données projet'!$A$166,$DL$205^A114,IF(A114='Données projet'!$A$166,'Données projet'!$B$166,DO113+DN114-DW113)))</f>
        <v>360.7650000000005</v>
      </c>
      <c r="DP114" s="17">
        <f>DO114*VLOOKUP('Données projet'!$B$14,Paramètres!$A$1:$I$89,3,0)*VLOOKUP('Données projet'!$B$14,Paramètres!$A$1:$I$89,5,0)</f>
        <v>388.32744600000052</v>
      </c>
      <c r="DQ114" s="13">
        <f t="shared" si="97"/>
        <v>89.406170656215622</v>
      </c>
      <c r="DR114" s="20">
        <f t="shared" si="70"/>
        <v>832.05271567624311</v>
      </c>
      <c r="DS114" s="59">
        <f t="shared" si="71"/>
        <v>1125.3860490095765</v>
      </c>
      <c r="DT114" s="59">
        <f ca="1">AVERAGE(OFFSET($DS$3,0,0,'Données projet'!$E$14+1,1))-AVERAGE(OFFSET($H$3,0,0,'Données projet'!$E$14+1,1))</f>
        <v>531.65020827367698</v>
      </c>
      <c r="DU114" s="59">
        <f t="shared" si="98"/>
        <v>235.89413420278396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59.717798092997747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59.717798092997747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64.646399999999915</v>
      </c>
      <c r="D115" s="11">
        <f t="shared" si="86"/>
        <v>18.337876695493641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640.58038150907305</v>
      </c>
      <c r="H115" s="67">
        <f t="shared" si="56"/>
        <v>437.8642819113179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350.85492000000045</v>
      </c>
      <c r="P115" s="13">
        <f t="shared" si="87"/>
        <v>81.738523141977637</v>
      </c>
      <c r="Q115" s="20">
        <f t="shared" si="107"/>
        <v>753.4335801389451</v>
      </c>
      <c r="R115" s="59">
        <f t="shared" si="55"/>
        <v>1046.7669134722785</v>
      </c>
      <c r="S115" s="59">
        <f ca="1">AVERAGE(OFFSET($R$3,0,0,'Données projet'!$E$9+1,1))-AVERAGE(OFFSET($H$3,0,0,'Données projet'!$E$9+1,1))</f>
        <v>457.88065872594228</v>
      </c>
      <c r="T115" s="59">
        <f t="shared" si="88"/>
        <v>204.62439362068329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51.75873736660742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51.75873736660742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1010.5097227338658</v>
      </c>
      <c r="AN115" s="59">
        <f ca="1">AVERAGE(OFFSET($AM$3,0,0,'Données projet'!$E$10+1,1))-AVERAGE(OFFSET($H$3,0,0,'Données projet'!$E$10+1,1))</f>
        <v>430.16825592717629</v>
      </c>
      <c r="AO115" s="59">
        <f t="shared" si="90"/>
        <v>192.87542067077248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7.456999999999999</v>
      </c>
      <c r="BD115" s="12">
        <f>IF('Données projet'!$A$88&gt;35,BD114+BC115-BL114,IF(A115&lt;'Données projet'!$A$88,$BA$205^A115,IF(A115='Données projet'!$A$88,'Données projet'!$B$88,BD114+BC115-BL114)))</f>
        <v>330.32299999999998</v>
      </c>
      <c r="BE115" s="13">
        <f>BD115*VLOOKUP('Données projet'!$B$11,Paramètres!$A$1:$I$89,3,0)*VLOOKUP('Données projet'!$B$11,Paramètres!$A$1:$I$89,5,0)</f>
        <v>278.26409519999999</v>
      </c>
      <c r="BF115" s="13">
        <f t="shared" si="91"/>
        <v>66.600029623461893</v>
      </c>
      <c r="BG115" s="20">
        <f t="shared" si="61"/>
        <v>600.63835073419614</v>
      </c>
      <c r="BH115" s="59">
        <f t="shared" si="62"/>
        <v>893.9716840675294</v>
      </c>
      <c r="BI115" s="59">
        <f ca="1">AVERAGE(OFFSET($BH$3,0,0,'Données projet'!$E$11+1,1))-AVERAGE(OFFSET($H$3,0,0,'Données projet'!$E$11+1,1))</f>
        <v>243.94505553629301</v>
      </c>
      <c r="BJ115" s="59">
        <f t="shared" si="92"/>
        <v>173.05364940250229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40.220236151473891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40.220236151473891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1.7053025658242404E-13</v>
      </c>
      <c r="BZ115" s="13">
        <f>BY115*VLOOKUP('Données projet'!$B$12,Paramètres!$A$1:$I$89,3,0)*VLOOKUP('Données projet'!$B$12,Paramètres!$A$1:$I$89,5,0)</f>
        <v>1.1173142411280423E-13</v>
      </c>
      <c r="CA115" s="13">
        <f t="shared" si="93"/>
        <v>1.6569896290553793E-12</v>
      </c>
      <c r="CB115" s="20">
        <f t="shared" si="64"/>
        <v>3.0805225009345862E-12</v>
      </c>
      <c r="CC115" s="59">
        <f t="shared" si="65"/>
        <v>293.33333333333638</v>
      </c>
      <c r="CD115" s="59">
        <f ca="1">AVERAGE(OFFSET($CC$3,0,0,'Données projet'!$E$12+1,1))-AVERAGE(OFFSET($H$3,0,0,'Données projet'!$E$12+1,1))</f>
        <v>140.9558843244115</v>
      </c>
      <c r="CE115" s="59">
        <f t="shared" si="94"/>
        <v>158.88947216184619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35.753101413636998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35.753101413636998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7.9349999999999969</v>
      </c>
      <c r="CT115" s="12">
        <f>IF('Données projet'!$A$140&gt;35,CT114+CS115-DB114,IF(A115&lt;'Données projet'!$A$140,$CQ$205^A115,IF(A115='Données projet'!$A$140,'Données projet'!$B$140,CT114+CS115-DB114)))</f>
        <v>368.7000000000005</v>
      </c>
      <c r="CU115" s="17">
        <f>CT115*VLOOKUP('Données projet'!$B$13,Paramètres!$A$1:$I$89,3,0)*VLOOKUP('Données projet'!$B$13,Paramètres!$A$1:$I$89,5,0)</f>
        <v>356.60664000000048</v>
      </c>
      <c r="CV115" s="13">
        <f t="shared" si="95"/>
        <v>82.921402926720376</v>
      </c>
      <c r="CW115" s="20">
        <f t="shared" si="67"/>
        <v>765.51134143070556</v>
      </c>
      <c r="CX115" s="59">
        <f t="shared" si="68"/>
        <v>1058.8446747640389</v>
      </c>
      <c r="CY115" s="59">
        <f ca="1">AVERAGE(OFFSET($CX$3,0,0,'Données projet'!$E$13+1,1))-AVERAGE(OFFSET($H$3,0,0,'Données projet'!$E$13+1,1))</f>
        <v>467.11196088914556</v>
      </c>
      <c r="CZ115" s="59">
        <f t="shared" si="96"/>
        <v>208.53783609106262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52.607241257863272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52.607241257863272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7.9349999999999969</v>
      </c>
      <c r="DO115" s="12">
        <f>IF('Données projet'!$A$166&gt;35,DO114+DN115-DW114,IF(A115&lt;'Données projet'!$A$166,$DL$205^A115,IF(A115='Données projet'!$A$166,'Données projet'!$B$166,DO114+DN115-DW114)))</f>
        <v>368.7000000000005</v>
      </c>
      <c r="DP115" s="17">
        <f>DO115*VLOOKUP('Données projet'!$B$14,Paramètres!$A$1:$I$89,3,0)*VLOOKUP('Données projet'!$B$14,Paramètres!$A$1:$I$89,5,0)</f>
        <v>396.86868000000055</v>
      </c>
      <c r="DQ115" s="13">
        <f t="shared" si="97"/>
        <v>91.14154806834452</v>
      </c>
      <c r="DR115" s="20">
        <f t="shared" si="70"/>
        <v>849.95114721903428</v>
      </c>
      <c r="DS115" s="59">
        <f t="shared" si="71"/>
        <v>1143.2844805523675</v>
      </c>
      <c r="DT115" s="59">
        <f ca="1">AVERAGE(OFFSET($DS$3,0,0,'Données projet'!$E$14+1,1))-AVERAGE(OFFSET($H$3,0,0,'Données projet'!$E$14+1,1))</f>
        <v>531.65020827367698</v>
      </c>
      <c r="DU115" s="59">
        <f t="shared" si="98"/>
        <v>235.89413420278396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58.546768496654302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58.546768496654302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65.223599999999919</v>
      </c>
      <c r="D116" s="11">
        <f t="shared" si="86"/>
        <v>18.482474514592173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646.15215414772842</v>
      </c>
      <c r="H116" s="67">
        <f t="shared" si="56"/>
        <v>439.12141311291452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358.40586600000046</v>
      </c>
      <c r="P116" s="13">
        <f t="shared" si="87"/>
        <v>83.290968351987175</v>
      </c>
      <c r="Q116" s="20">
        <f t="shared" si="107"/>
        <v>769.28865316304507</v>
      </c>
      <c r="R116" s="59">
        <f t="shared" si="55"/>
        <v>1062.6219864963784</v>
      </c>
      <c r="S116" s="59">
        <f ca="1">AVERAGE(OFFSET($R$3,0,0,'Données projet'!$E$9+1,1))-AVERAGE(OFFSET($H$3,0,0,'Données projet'!$E$9+1,1))</f>
        <v>457.88065872594228</v>
      </c>
      <c r="T116" s="59">
        <f t="shared" si="88"/>
        <v>204.62439362068329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50.743780096560791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50.743780096560791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1025.6001738233074</v>
      </c>
      <c r="AN116" s="59">
        <f ca="1">AVERAGE(OFFSET($AM$3,0,0,'Données projet'!$E$10+1,1))-AVERAGE(OFFSET($H$3,0,0,'Données projet'!$E$10+1,1))</f>
        <v>430.16825592717629</v>
      </c>
      <c r="AO116" s="59">
        <f t="shared" si="90"/>
        <v>192.87542067077248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337.78</v>
      </c>
      <c r="BB116" s="12">
        <f>VLOOKUP(A116,'Données projet'!$A$87:$I$107,9,0)</f>
        <v>7.456999999999999</v>
      </c>
      <c r="BC116" s="12">
        <f t="array" ref="BC116">INDEX(BB:BB,MIN(IF(ISNUMBER(BB116:BB312),ROW(BB116:BB312),"")))</f>
        <v>7.456999999999999</v>
      </c>
      <c r="BD116" s="12">
        <f>IF('Données projet'!$A$88&gt;35,BD115+BC116-BL115,IF(A116&lt;'Données projet'!$A$88,$BA$205^A116,IF(A116='Données projet'!$A$88,'Données projet'!$B$88,BD115+BC116-BL115)))</f>
        <v>337.78</v>
      </c>
      <c r="BE116" s="13">
        <f>BD116*VLOOKUP('Données projet'!$B$11,Paramètres!$A$1:$I$89,3,0)*VLOOKUP('Données projet'!$B$11,Paramètres!$A$1:$I$89,5,0)</f>
        <v>284.54587199999997</v>
      </c>
      <c r="BF116" s="13">
        <f t="shared" si="91"/>
        <v>67.926780018045676</v>
      </c>
      <c r="BG116" s="20">
        <f t="shared" si="61"/>
        <v>613.88986893142953</v>
      </c>
      <c r="BH116" s="59">
        <f t="shared" si="62"/>
        <v>907.2232022647629</v>
      </c>
      <c r="BI116" s="59">
        <f ca="1">AVERAGE(OFFSET($BH$3,0,0,'Données projet'!$E$11+1,1))-AVERAGE(OFFSET($H$3,0,0,'Données projet'!$E$11+1,1))</f>
        <v>243.94505553629301</v>
      </c>
      <c r="BJ116" s="59">
        <f t="shared" si="92"/>
        <v>173.05364940250229</v>
      </c>
      <c r="BK116" s="15">
        <f>IF(ISNA(VLOOKUP(A116,'Données projet'!$A$87:$I$107,3,0)),0,VLOOKUP(A116,'Données projet'!$A$87:$I$107,3,0))</f>
        <v>10</v>
      </c>
      <c r="BL116" s="15">
        <f>IF(ISNA(VLOOKUP(A116,'Données projet'!$A$87:$I$107,4,0)),0,VLOOKUP(A116,'Données projet'!$A$87:$I$107,4,0))</f>
        <v>59.52</v>
      </c>
      <c r="BM116" s="16">
        <f>IF(ISNA(VLOOKUP(A116,'Données projet'!$A$87:$I$107,5,0)),0%,VLOOKUP(A116,'Données projet'!$A$87:$I$107,5,0)*VLOOKUP('Données projet'!$B$11,Paramètres!$A$1:$I$89,7,0))</f>
        <v>0.25800000000000001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53.731938944151018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53.731938944151018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1.7053025658242404E-13</v>
      </c>
      <c r="BZ116" s="13">
        <f>BY116*VLOOKUP('Données projet'!$B$12,Paramètres!$A$1:$I$89,3,0)*VLOOKUP('Données projet'!$B$12,Paramètres!$A$1:$I$89,5,0)</f>
        <v>1.1173142411280423E-13</v>
      </c>
      <c r="CA116" s="13">
        <f t="shared" si="93"/>
        <v>1.6569896290553793E-12</v>
      </c>
      <c r="CB116" s="20">
        <f t="shared" si="64"/>
        <v>3.0805225009345862E-12</v>
      </c>
      <c r="CC116" s="59">
        <f t="shared" si="65"/>
        <v>293.33333333333638</v>
      </c>
      <c r="CD116" s="59">
        <f ca="1">AVERAGE(OFFSET($CC$3,0,0,'Données projet'!$E$12+1,1))-AVERAGE(OFFSET($H$3,0,0,'Données projet'!$E$12+1,1))</f>
        <v>140.9558843244115</v>
      </c>
      <c r="CE116" s="59">
        <f t="shared" si="94"/>
        <v>158.88947216184619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35.052004902154152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35.052004902154152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7.9349999999999969</v>
      </c>
      <c r="CT116" s="12">
        <f>IF('Données projet'!$A$140&gt;35,CT115+CS116-DB115,IF(A116&lt;'Données projet'!$A$140,$CQ$205^A116,IF(A116='Données projet'!$A$140,'Données projet'!$B$140,CT115+CS116-DB115)))</f>
        <v>376.6350000000005</v>
      </c>
      <c r="CU116" s="17">
        <f>CT116*VLOOKUP('Données projet'!$B$13,Paramètres!$A$1:$I$89,3,0)*VLOOKUP('Données projet'!$B$13,Paramètres!$A$1:$I$89,5,0)</f>
        <v>364.28137200000049</v>
      </c>
      <c r="CV116" s="13">
        <f t="shared" si="95"/>
        <v>84.496314361776058</v>
      </c>
      <c r="CW116" s="20">
        <f t="shared" si="67"/>
        <v>781.62113708009417</v>
      </c>
      <c r="CX116" s="59">
        <f t="shared" si="68"/>
        <v>1074.9544704134275</v>
      </c>
      <c r="CY116" s="59">
        <f ca="1">AVERAGE(OFFSET($CX$3,0,0,'Données projet'!$E$13+1,1))-AVERAGE(OFFSET($H$3,0,0,'Données projet'!$E$13+1,1))</f>
        <v>467.11196088914556</v>
      </c>
      <c r="CZ116" s="59">
        <f t="shared" si="96"/>
        <v>208.53783609106262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51.575645344045391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51.575645344045391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7.9349999999999969</v>
      </c>
      <c r="DO116" s="12">
        <f>IF('Données projet'!$A$166&gt;35,DO115+DN116-DW115,IF(A116&lt;'Données projet'!$A$166,$DL$205^A116,IF(A116='Données projet'!$A$166,'Données projet'!$B$166,DO115+DN116-DW115)))</f>
        <v>376.6350000000005</v>
      </c>
      <c r="DP116" s="17">
        <f>DO116*VLOOKUP('Données projet'!$B$14,Paramètres!$A$1:$I$89,3,0)*VLOOKUP('Données projet'!$B$14,Paramètres!$A$1:$I$89,5,0)</f>
        <v>405.40991400000053</v>
      </c>
      <c r="DQ116" s="13">
        <f t="shared" si="97"/>
        <v>92.872583255826356</v>
      </c>
      <c r="DR116" s="20">
        <f t="shared" si="70"/>
        <v>867.84201605389853</v>
      </c>
      <c r="DS116" s="59">
        <f t="shared" si="71"/>
        <v>1161.1753493872318</v>
      </c>
      <c r="DT116" s="59">
        <f ca="1">AVERAGE(OFFSET($DS$3,0,0,'Données projet'!$E$14+1,1))-AVERAGE(OFFSET($H$3,0,0,'Données projet'!$E$14+1,1))</f>
        <v>531.65020827367698</v>
      </c>
      <c r="DU116" s="59">
        <f t="shared" si="98"/>
        <v>235.89413420278396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57.398702076437623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57.398702076437623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65.800799999999924</v>
      </c>
      <c r="D117" s="11">
        <f t="shared" si="86"/>
        <v>18.626923459774272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651.72277758422194</v>
      </c>
      <c r="H117" s="67">
        <f t="shared" si="56"/>
        <v>440.37828502577338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365.95681200000047</v>
      </c>
      <c r="P117" s="13">
        <f t="shared" si="87"/>
        <v>84.839610818166577</v>
      </c>
      <c r="Q117" s="20">
        <f t="shared" si="107"/>
        <v>785.13710307497422</v>
      </c>
      <c r="R117" s="59">
        <f t="shared" si="55"/>
        <v>1078.4704364083075</v>
      </c>
      <c r="S117" s="59">
        <f ca="1">AVERAGE(OFFSET($R$3,0,0,'Données projet'!$E$9+1,1))-AVERAGE(OFFSET($H$3,0,0,'Données projet'!$E$9+1,1))</f>
        <v>457.88065872594228</v>
      </c>
      <c r="T117" s="59">
        <f t="shared" si="88"/>
        <v>204.62439362068329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64.966523197477756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64.966523197477756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1040.6842904520884</v>
      </c>
      <c r="AN117" s="59">
        <f ca="1">AVERAGE(OFFSET($AM$3,0,0,'Données projet'!$E$10+1,1))-AVERAGE(OFFSET($H$3,0,0,'Données projet'!$E$10+1,1))</f>
        <v>430.16825592717629</v>
      </c>
      <c r="AO117" s="59">
        <f t="shared" si="90"/>
        <v>192.87542067077248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7.3920000000000012</v>
      </c>
      <c r="BD117" s="12">
        <f>IF('Données projet'!$A$88&gt;35,BD116+BC117-BL116,IF(A117&lt;'Données projet'!$A$88,$BA$205^A117,IF(A117='Données projet'!$A$88,'Données projet'!$B$88,BD116+BC117-BL116)))</f>
        <v>285.65199999999999</v>
      </c>
      <c r="BE117" s="13">
        <f>BD117*VLOOKUP('Données projet'!$B$11,Paramètres!$A$1:$I$89,3,0)*VLOOKUP('Données projet'!$B$11,Paramètres!$A$1:$I$89,5,0)</f>
        <v>240.63324480000003</v>
      </c>
      <c r="BF117" s="13">
        <f t="shared" si="91"/>
        <v>58.575755284088402</v>
      </c>
      <c r="BG117" s="20">
        <f t="shared" si="61"/>
        <v>521.12234181312056</v>
      </c>
      <c r="BH117" s="59">
        <f t="shared" si="62"/>
        <v>814.45567514645381</v>
      </c>
      <c r="BI117" s="59">
        <f ca="1">AVERAGE(OFFSET($BH$3,0,0,'Données projet'!$E$11+1,1))-AVERAGE(OFFSET($H$3,0,0,'Données projet'!$E$11+1,1))</f>
        <v>243.94505553629301</v>
      </c>
      <c r="BJ117" s="59">
        <f t="shared" si="92"/>
        <v>173.05364940250229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52.678288394702882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52.678288394702882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1.7053025658242404E-13</v>
      </c>
      <c r="BZ117" s="13">
        <f>BY117*VLOOKUP('Données projet'!$B$12,Paramètres!$A$1:$I$89,3,0)*VLOOKUP('Données projet'!$B$12,Paramètres!$A$1:$I$89,5,0)</f>
        <v>1.1173142411280423E-13</v>
      </c>
      <c r="CA117" s="13">
        <f t="shared" si="93"/>
        <v>1.6569896290553793E-12</v>
      </c>
      <c r="CB117" s="20">
        <f t="shared" si="64"/>
        <v>3.0805225009345862E-12</v>
      </c>
      <c r="CC117" s="59">
        <f t="shared" si="65"/>
        <v>293.33333333333638</v>
      </c>
      <c r="CD117" s="59">
        <f ca="1">AVERAGE(OFFSET($CC$3,0,0,'Données projet'!$E$12+1,1))-AVERAGE(OFFSET($H$3,0,0,'Données projet'!$E$12+1,1))</f>
        <v>140.9558843244115</v>
      </c>
      <c r="CE117" s="59">
        <f t="shared" si="94"/>
        <v>158.88947216184619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34.364656465634837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34.364656465634837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384.57</v>
      </c>
      <c r="CR117" s="12">
        <f>VLOOKUP(A117,'Données projet'!$A$139:$I$159,9,0)</f>
        <v>7.9349999999999969</v>
      </c>
      <c r="CS117" s="12">
        <f t="array" ref="CS117">INDEX(CR:CR,MIN(IF(ISNUMBER(CR117:CR313),ROW(CR117:CR313),"")))</f>
        <v>7.9349999999999969</v>
      </c>
      <c r="CT117" s="12">
        <f>IF('Données projet'!$A$140&gt;35,CT116+CS117-DB116,IF(A117&lt;'Données projet'!$A$140,$CQ$205^A117,IF(A117='Données projet'!$A$140,'Données projet'!$B$140,CT116+CS117-DB116)))</f>
        <v>384.5700000000005</v>
      </c>
      <c r="CU117" s="17">
        <f>CT117*VLOOKUP('Données projet'!$B$13,Paramètres!$A$1:$I$89,3,0)*VLOOKUP('Données projet'!$B$13,Paramètres!$A$1:$I$89,5,0)</f>
        <v>371.95610400000049</v>
      </c>
      <c r="CV117" s="13">
        <f t="shared" si="95"/>
        <v>86.067368021559375</v>
      </c>
      <c r="CW117" s="20">
        <f t="shared" si="67"/>
        <v>797.72421377088347</v>
      </c>
      <c r="CX117" s="59">
        <f t="shared" si="68"/>
        <v>1091.0575471042168</v>
      </c>
      <c r="CY117" s="59">
        <f ca="1">AVERAGE(OFFSET($CX$3,0,0,'Données projet'!$E$13+1,1))-AVERAGE(OFFSET($H$3,0,0,'Données projet'!$E$13+1,1))</f>
        <v>467.11196088914556</v>
      </c>
      <c r="CZ117" s="59">
        <f t="shared" si="96"/>
        <v>208.53783609106262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0.25800000000000001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66.031548167928207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66.031548167928207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384.57</v>
      </c>
      <c r="DM117" s="12">
        <f>VLOOKUP(A117,'Données projet'!$A$165:$I$185,9,0)</f>
        <v>7.9349999999999969</v>
      </c>
      <c r="DN117" s="12">
        <f t="array" ref="DN117">INDEX(DM:DM,MIN(IF(ISNUMBER(DM117:DM313),ROW(DM117:DM313),"")))</f>
        <v>7.9349999999999969</v>
      </c>
      <c r="DO117" s="12">
        <f>IF('Données projet'!$A$166&gt;35,DO116+DN117-DW116,IF(A117&lt;'Données projet'!$A$166,$DL$205^A117,IF(A117='Données projet'!$A$166,'Données projet'!$B$166,DO116+DN117-DW116)))</f>
        <v>384.5700000000005</v>
      </c>
      <c r="DP117" s="17">
        <f>DO117*VLOOKUP('Données projet'!$B$14,Paramètres!$A$1:$I$89,3,0)*VLOOKUP('Données projet'!$B$14,Paramètres!$A$1:$I$89,5,0)</f>
        <v>413.95114800000056</v>
      </c>
      <c r="DQ117" s="13">
        <f t="shared" si="97"/>
        <v>94.599378239958753</v>
      </c>
      <c r="DR117" s="20">
        <f t="shared" si="70"/>
        <v>885.7254998679291</v>
      </c>
      <c r="DS117" s="59">
        <f t="shared" si="71"/>
        <v>1179.0588332012624</v>
      </c>
      <c r="DT117" s="59">
        <f ca="1">AVERAGE(OFFSET($DS$3,0,0,'Données projet'!$E$14+1,1))-AVERAGE(OFFSET($H$3,0,0,'Données projet'!$E$14+1,1))</f>
        <v>531.65020827367698</v>
      </c>
      <c r="DU117" s="59">
        <f t="shared" si="98"/>
        <v>235.89413420278396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56.07</v>
      </c>
      <c r="DX117" s="16">
        <f>IF(ISNA(VLOOKUP(A117,'Données projet'!$A$165:$I$185,5,0)),0%,VLOOKUP(A117,'Données projet'!$A$165:$I$185,5,0)*VLOOKUP('Données projet'!$B$14,Paramètres!$A$1:$I$89,7,0))</f>
        <v>0.25800000000000001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73.486722961081398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73.486722961081398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8" s="11">
        <f t="shared" si="86"/>
        <v>18.771224988253078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657.29226306721625</v>
      </c>
      <c r="H118" s="67">
        <f t="shared" si="56"/>
        <v>441.634900187874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320.20578720000049</v>
      </c>
      <c r="P118" s="13">
        <f t="shared" si="87"/>
        <v>75.396170089707468</v>
      </c>
      <c r="Q118" s="20">
        <f t="shared" si="107"/>
        <v>689.00674227957461</v>
      </c>
      <c r="R118" s="59">
        <f t="shared" si="55"/>
        <v>982.34007561290787</v>
      </c>
      <c r="S118" s="59">
        <f ca="1">AVERAGE(OFFSET($R$3,0,0,'Données projet'!$E$9+1,1))-AVERAGE(OFFSET($H$3,0,0,'Données projet'!$E$9+1,1))</f>
        <v>457.88065872594228</v>
      </c>
      <c r="T118" s="59">
        <f t="shared" si="88"/>
        <v>204.62439362068329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63.692569303241655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63.692569303241655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949.18958233471903</v>
      </c>
      <c r="AN118" s="59">
        <f ca="1">AVERAGE(OFFSET($AM$3,0,0,'Données projet'!$E$10+1,1))-AVERAGE(OFFSET($H$3,0,0,'Données projet'!$E$10+1,1))</f>
        <v>430.16825592717629</v>
      </c>
      <c r="AO118" s="59">
        <f t="shared" si="90"/>
        <v>192.87542067077248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7.3920000000000012</v>
      </c>
      <c r="BD118" s="12">
        <f>IF('Données projet'!$A$88&gt;35,BD117+BC118-BL117,IF(A118&lt;'Données projet'!$A$88,$BA$205^A118,IF(A118='Données projet'!$A$88,'Données projet'!$B$88,BD117+BC118-BL117)))</f>
        <v>293.04399999999998</v>
      </c>
      <c r="BE118" s="13">
        <f>BD118*VLOOKUP('Données projet'!$B$11,Paramètres!$A$1:$I$89,3,0)*VLOOKUP('Données projet'!$B$11,Paramètres!$A$1:$I$89,5,0)</f>
        <v>246.86026560000002</v>
      </c>
      <c r="BF118" s="13">
        <f t="shared" si="91"/>
        <v>59.913120249542224</v>
      </c>
      <c r="BG118" s="20">
        <f t="shared" si="61"/>
        <v>534.29698035461945</v>
      </c>
      <c r="BH118" s="59">
        <f t="shared" si="62"/>
        <v>827.63031368795282</v>
      </c>
      <c r="BI118" s="59">
        <f ca="1">AVERAGE(OFFSET($BH$3,0,0,'Données projet'!$E$11+1,1))-AVERAGE(OFFSET($H$3,0,0,'Données projet'!$E$11+1,1))</f>
        <v>243.94505553629301</v>
      </c>
      <c r="BJ118" s="59">
        <f t="shared" si="92"/>
        <v>173.05364940250229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51.645299289866045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51.645299289866045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1.7053025658242404E-13</v>
      </c>
      <c r="BZ118" s="13">
        <f>BY118*VLOOKUP('Données projet'!$B$12,Paramètres!$A$1:$I$89,3,0)*VLOOKUP('Données projet'!$B$12,Paramètres!$A$1:$I$89,5,0)</f>
        <v>1.1173142411280423E-13</v>
      </c>
      <c r="CA118" s="13">
        <f t="shared" si="93"/>
        <v>1.6569896290553793E-12</v>
      </c>
      <c r="CB118" s="20">
        <f t="shared" si="64"/>
        <v>3.0805225009345862E-12</v>
      </c>
      <c r="CC118" s="59">
        <f t="shared" si="65"/>
        <v>293.33333333333638</v>
      </c>
      <c r="CD118" s="59">
        <f ca="1">AVERAGE(OFFSET($CC$3,0,0,'Données projet'!$E$12+1,1))-AVERAGE(OFFSET($H$3,0,0,'Données projet'!$E$12+1,1))</f>
        <v>140.9558843244115</v>
      </c>
      <c r="CE118" s="59">
        <f t="shared" si="94"/>
        <v>158.88947216184619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33.690786512714517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33.690786512714517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7.9920000000000018</v>
      </c>
      <c r="CT118" s="12">
        <f>IF('Données projet'!$A$140&gt;35,CT117+CS118-DB117,IF(A118&lt;'Données projet'!$A$140,$CQ$205^A118,IF(A118='Données projet'!$A$140,'Données projet'!$B$140,CT117+CS118-DB117)))</f>
        <v>336.49200000000053</v>
      </c>
      <c r="CU118" s="17">
        <f>CT118*VLOOKUP('Données projet'!$B$13,Paramètres!$A$1:$I$89,3,0)*VLOOKUP('Données projet'!$B$13,Paramètres!$A$1:$I$89,5,0)</f>
        <v>325.45506240000054</v>
      </c>
      <c r="CV118" s="13">
        <f t="shared" si="95"/>
        <v>76.487266454284907</v>
      </c>
      <c r="CW118" s="20">
        <f t="shared" si="67"/>
        <v>700.04955608788043</v>
      </c>
      <c r="CX118" s="59">
        <f t="shared" si="68"/>
        <v>993.3828894212138</v>
      </c>
      <c r="CY118" s="59">
        <f ca="1">AVERAGE(OFFSET($CX$3,0,0,'Données projet'!$E$13+1,1))-AVERAGE(OFFSET($H$3,0,0,'Données projet'!$E$13+1,1))</f>
        <v>467.11196088914556</v>
      </c>
      <c r="CZ118" s="59">
        <f t="shared" si="96"/>
        <v>208.53783609106262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64.736709783622672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64.736709783622672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7.9920000000000018</v>
      </c>
      <c r="DO118" s="12">
        <f>IF('Données projet'!$A$166&gt;35,DO117+DN118-DW117,IF(A118&lt;'Données projet'!$A$166,$DL$205^A118,IF(A118='Données projet'!$A$166,'Données projet'!$B$166,DO117+DN118-DW117)))</f>
        <v>336.49200000000053</v>
      </c>
      <c r="DP118" s="17">
        <f>DO118*VLOOKUP('Données projet'!$B$14,Paramètres!$A$1:$I$89,3,0)*VLOOKUP('Données projet'!$B$14,Paramètres!$A$1:$I$89,5,0)</f>
        <v>362.19998880000054</v>
      </c>
      <c r="DQ118" s="13">
        <f t="shared" si="97"/>
        <v>84.069584282360367</v>
      </c>
      <c r="DR118" s="20">
        <f t="shared" si="70"/>
        <v>777.25283978511197</v>
      </c>
      <c r="DS118" s="59">
        <f t="shared" si="71"/>
        <v>1070.5861731184452</v>
      </c>
      <c r="DT118" s="59">
        <f ca="1">AVERAGE(OFFSET($DS$3,0,0,'Données projet'!$E$14+1,1))-AVERAGE(OFFSET($H$3,0,0,'Données projet'!$E$14+1,1))</f>
        <v>531.65020827367698</v>
      </c>
      <c r="DU118" s="59">
        <f t="shared" si="98"/>
        <v>235.89413420278396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72.04569314628975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72.04569314628975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66.955199999999934</v>
      </c>
      <c r="D119" s="11">
        <f t="shared" si="86"/>
        <v>18.915380530436487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662.86062163845668</v>
      </c>
      <c r="H119" s="67">
        <f t="shared" si="56"/>
        <v>442.89126109051006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327.81097440000053</v>
      </c>
      <c r="P119" s="13">
        <f t="shared" si="87"/>
        <v>76.976290669602136</v>
      </c>
      <c r="Q119" s="20">
        <f t="shared" si="107"/>
        <v>705.00448666289128</v>
      </c>
      <c r="R119" s="59">
        <f t="shared" si="55"/>
        <v>998.33781999622465</v>
      </c>
      <c r="S119" s="59">
        <f ca="1">AVERAGE(OFFSET($R$3,0,0,'Données projet'!$E$9+1,1))-AVERAGE(OFFSET($H$3,0,0,'Données projet'!$E$9+1,1))</f>
        <v>457.88065872594228</v>
      </c>
      <c r="T119" s="59">
        <f t="shared" si="88"/>
        <v>204.62439362068329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62.443596867836376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62.443596867836376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964.41595798356752</v>
      </c>
      <c r="AN119" s="59">
        <f ca="1">AVERAGE(OFFSET($AM$3,0,0,'Données projet'!$E$10+1,1))-AVERAGE(OFFSET($H$3,0,0,'Données projet'!$E$10+1,1))</f>
        <v>430.16825592717629</v>
      </c>
      <c r="AO119" s="59">
        <f t="shared" si="90"/>
        <v>192.87542067077248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7.3920000000000012</v>
      </c>
      <c r="BD119" s="12">
        <f>IF('Données projet'!$A$88&gt;35,BD118+BC119-BL118,IF(A119&lt;'Données projet'!$A$88,$BA$205^A119,IF(A119='Données projet'!$A$88,'Données projet'!$B$88,BD118+BC119-BL118)))</f>
        <v>300.43599999999998</v>
      </c>
      <c r="BE119" s="13">
        <f>BD119*VLOOKUP('Données projet'!$B$11,Paramètres!$A$1:$I$89,3,0)*VLOOKUP('Données projet'!$B$11,Paramètres!$A$1:$I$89,5,0)</f>
        <v>253.08728640000004</v>
      </c>
      <c r="BF119" s="13">
        <f t="shared" si="91"/>
        <v>61.246563795569969</v>
      </c>
      <c r="BG119" s="20">
        <f t="shared" si="61"/>
        <v>547.46478909061773</v>
      </c>
      <c r="BH119" s="59">
        <f t="shared" si="62"/>
        <v>840.7981224239511</v>
      </c>
      <c r="BI119" s="59">
        <f ca="1">AVERAGE(OFFSET($BH$3,0,0,'Données projet'!$E$11+1,1))-AVERAGE(OFFSET($H$3,0,0,'Données projet'!$E$11+1,1))</f>
        <v>243.94505553629301</v>
      </c>
      <c r="BJ119" s="59">
        <f t="shared" si="92"/>
        <v>173.05364940250229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50.632566471313922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50.632566471313922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1.7053025658242404E-13</v>
      </c>
      <c r="BZ119" s="13">
        <f>BY119*VLOOKUP('Données projet'!$B$12,Paramètres!$A$1:$I$89,3,0)*VLOOKUP('Données projet'!$B$12,Paramètres!$A$1:$I$89,5,0)</f>
        <v>1.1173142411280423E-13</v>
      </c>
      <c r="CA119" s="13">
        <f t="shared" si="93"/>
        <v>1.6569896290553793E-12</v>
      </c>
      <c r="CB119" s="20">
        <f t="shared" si="64"/>
        <v>3.0805225009345862E-12</v>
      </c>
      <c r="CC119" s="59">
        <f t="shared" si="65"/>
        <v>293.33333333333638</v>
      </c>
      <c r="CD119" s="59">
        <f ca="1">AVERAGE(OFFSET($CC$3,0,0,'Données projet'!$E$12+1,1))-AVERAGE(OFFSET($H$3,0,0,'Données projet'!$E$12+1,1))</f>
        <v>140.9558843244115</v>
      </c>
      <c r="CE119" s="59">
        <f t="shared" si="94"/>
        <v>158.88947216184619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33.030130738550881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33.030130738550881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7.9920000000000018</v>
      </c>
      <c r="CT119" s="12">
        <f>IF('Données projet'!$A$140&gt;35,CT118+CS119-DB118,IF(A119&lt;'Données projet'!$A$140,$CQ$205^A119,IF(A119='Données projet'!$A$140,'Données projet'!$B$140,CT118+CS119-DB118)))</f>
        <v>344.48400000000055</v>
      </c>
      <c r="CU119" s="17">
        <f>CT119*VLOOKUP('Données projet'!$B$13,Paramètres!$A$1:$I$89,3,0)*VLOOKUP('Données projet'!$B$13,Paramètres!$A$1:$I$89,5,0)</f>
        <v>333.18492480000054</v>
      </c>
      <c r="CV119" s="13">
        <f t="shared" si="95"/>
        <v>78.090253763593893</v>
      </c>
      <c r="CW119" s="20">
        <f t="shared" si="67"/>
        <v>716.30426933159345</v>
      </c>
      <c r="CX119" s="59">
        <f t="shared" si="68"/>
        <v>1009.6376026649268</v>
      </c>
      <c r="CY119" s="59">
        <f ca="1">AVERAGE(OFFSET($CX$3,0,0,'Données projet'!$E$13+1,1))-AVERAGE(OFFSET($H$3,0,0,'Données projet'!$E$13+1,1))</f>
        <v>467.11196088914556</v>
      </c>
      <c r="CZ119" s="59">
        <f t="shared" si="96"/>
        <v>208.53783609106262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63.467262390259933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63.467262390259933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7.9920000000000018</v>
      </c>
      <c r="DO119" s="12">
        <f>IF('Données projet'!$A$166&gt;35,DO118+DN119-DW118,IF(A119&lt;'Données projet'!$A$166,$DL$205^A119,IF(A119='Données projet'!$A$166,'Données projet'!$B$166,DO118+DN119-DW118)))</f>
        <v>344.48400000000055</v>
      </c>
      <c r="DP119" s="17">
        <f>DO119*VLOOKUP('Données projet'!$B$14,Paramètres!$A$1:$I$89,3,0)*VLOOKUP('Données projet'!$B$14,Paramètres!$A$1:$I$89,5,0)</f>
        <v>370.80257760000057</v>
      </c>
      <c r="DQ119" s="13">
        <f t="shared" si="97"/>
        <v>85.831478555102493</v>
      </c>
      <c r="DR119" s="20">
        <f t="shared" si="70"/>
        <v>795.3043144701378</v>
      </c>
      <c r="DS119" s="59">
        <f t="shared" si="71"/>
        <v>1088.6376478034711</v>
      </c>
      <c r="DT119" s="59">
        <f ca="1">AVERAGE(OFFSET($DS$3,0,0,'Données projet'!$E$14+1,1))-AVERAGE(OFFSET($H$3,0,0,'Données projet'!$E$14+1,1))</f>
        <v>531.65020827367698</v>
      </c>
      <c r="DU119" s="59">
        <f t="shared" si="98"/>
        <v>235.89413420278396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70.632921047224769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70.632921047224769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67.532399999999939</v>
      </c>
      <c r="D120" s="11">
        <f t="shared" si="86"/>
        <v>19.059391490646956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668.42786413832698</v>
      </c>
      <c r="H120" s="67">
        <f t="shared" si="56"/>
        <v>444.14737017954332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335.41616160000052</v>
      </c>
      <c r="P120" s="13">
        <f t="shared" si="87"/>
        <v>78.552149533154918</v>
      </c>
      <c r="Q120" s="20">
        <f t="shared" si="107"/>
        <v>720.99480855691252</v>
      </c>
      <c r="R120" s="59">
        <f t="shared" si="55"/>
        <v>1014.3281418902459</v>
      </c>
      <c r="S120" s="59">
        <f ca="1">AVERAGE(OFFSET($R$3,0,0,'Données projet'!$E$9+1,1))-AVERAGE(OFFSET($H$3,0,0,'Données projet'!$E$9+1,1))</f>
        <v>457.88065872594228</v>
      </c>
      <c r="T120" s="59">
        <f t="shared" si="88"/>
        <v>204.62439362068329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61.219116020091434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61.219116020091434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979.63523463345132</v>
      </c>
      <c r="AN120" s="59">
        <f ca="1">AVERAGE(OFFSET($AM$3,0,0,'Données projet'!$E$10+1,1))-AVERAGE(OFFSET($H$3,0,0,'Données projet'!$E$10+1,1))</f>
        <v>430.16825592717629</v>
      </c>
      <c r="AO120" s="59">
        <f t="shared" si="90"/>
        <v>192.87542067077248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7.3920000000000012</v>
      </c>
      <c r="BD120" s="12">
        <f>IF('Données projet'!$A$88&gt;35,BD119+BC120-BL119,IF(A120&lt;'Données projet'!$A$88,$BA$205^A120,IF(A120='Données projet'!$A$88,'Données projet'!$B$88,BD119+BC120-BL119)))</f>
        <v>307.82799999999997</v>
      </c>
      <c r="BE120" s="13">
        <f>BD120*VLOOKUP('Données projet'!$B$11,Paramètres!$A$1:$I$89,3,0)*VLOOKUP('Données projet'!$B$11,Paramètres!$A$1:$I$89,5,0)</f>
        <v>259.31430719999997</v>
      </c>
      <c r="BF120" s="13">
        <f t="shared" si="91"/>
        <v>62.57619350426765</v>
      </c>
      <c r="BG120" s="20">
        <f t="shared" si="61"/>
        <v>560.62595539326617</v>
      </c>
      <c r="BH120" s="59">
        <f t="shared" si="62"/>
        <v>853.95928872659942</v>
      </c>
      <c r="BI120" s="59">
        <f ca="1">AVERAGE(OFFSET($BH$3,0,0,'Données projet'!$E$11+1,1))-AVERAGE(OFFSET($H$3,0,0,'Données projet'!$E$11+1,1))</f>
        <v>243.94505553629301</v>
      </c>
      <c r="BJ120" s="59">
        <f t="shared" si="92"/>
        <v>173.05364940250229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49.639692725627576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49.639692725627576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1.7053025658242404E-13</v>
      </c>
      <c r="BZ120" s="13">
        <f>BY120*VLOOKUP('Données projet'!$B$12,Paramètres!$A$1:$I$89,3,0)*VLOOKUP('Données projet'!$B$12,Paramètres!$A$1:$I$89,5,0)</f>
        <v>1.1173142411280423E-13</v>
      </c>
      <c r="CA120" s="13">
        <f t="shared" si="93"/>
        <v>1.6569896290553793E-12</v>
      </c>
      <c r="CB120" s="20">
        <f t="shared" si="64"/>
        <v>3.0805225009345862E-12</v>
      </c>
      <c r="CC120" s="59">
        <f t="shared" si="65"/>
        <v>293.33333333333638</v>
      </c>
      <c r="CD120" s="59">
        <f ca="1">AVERAGE(OFFSET($CC$3,0,0,'Données projet'!$E$12+1,1))-AVERAGE(OFFSET($H$3,0,0,'Données projet'!$E$12+1,1))</f>
        <v>140.9558843244115</v>
      </c>
      <c r="CE120" s="59">
        <f t="shared" si="94"/>
        <v>158.88947216184619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32.382430021158356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32.382430021158356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7.9920000000000018</v>
      </c>
      <c r="CT120" s="12">
        <f>IF('Données projet'!$A$140&gt;35,CT119+CS120-DB119,IF(A120&lt;'Données projet'!$A$140,$CQ$205^A120,IF(A120='Données projet'!$A$140,'Données projet'!$B$140,CT119+CS120-DB119)))</f>
        <v>352.47600000000057</v>
      </c>
      <c r="CU120" s="17">
        <f>CT120*VLOOKUP('Données projet'!$B$13,Paramètres!$A$1:$I$89,3,0)*VLOOKUP('Données projet'!$B$13,Paramètres!$A$1:$I$89,5,0)</f>
        <v>340.91478720000055</v>
      </c>
      <c r="CV120" s="13">
        <f t="shared" si="95"/>
        <v>79.68891768309399</v>
      </c>
      <c r="CW120" s="20">
        <f t="shared" si="67"/>
        <v>732.55145267138971</v>
      </c>
      <c r="CX120" s="59">
        <f t="shared" si="68"/>
        <v>1025.8847860047231</v>
      </c>
      <c r="CY120" s="59">
        <f ca="1">AVERAGE(OFFSET($CX$3,0,0,'Données projet'!$E$13+1,1))-AVERAGE(OFFSET($H$3,0,0,'Données projet'!$E$13+1,1))</f>
        <v>467.11196088914556</v>
      </c>
      <c r="CZ120" s="59">
        <f t="shared" si="96"/>
        <v>208.53783609106262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62.222708085994576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62.222708085994576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7.9920000000000018</v>
      </c>
      <c r="DO120" s="12">
        <f>IF('Données projet'!$A$166&gt;35,DO119+DN120-DW119,IF(A120&lt;'Données projet'!$A$166,$DL$205^A120,IF(A120='Données projet'!$A$166,'Données projet'!$B$166,DO119+DN120-DW119)))</f>
        <v>352.47600000000057</v>
      </c>
      <c r="DP120" s="17">
        <f>DO120*VLOOKUP('Données projet'!$B$14,Paramètres!$A$1:$I$89,3,0)*VLOOKUP('Données projet'!$B$14,Paramètres!$A$1:$I$89,5,0)</f>
        <v>379.40516640000061</v>
      </c>
      <c r="DQ120" s="13">
        <f t="shared" si="97"/>
        <v>87.588620852767377</v>
      </c>
      <c r="DR120" s="20">
        <f t="shared" si="70"/>
        <v>813.34751279857085</v>
      </c>
      <c r="DS120" s="59">
        <f t="shared" si="71"/>
        <v>1106.6808461319042</v>
      </c>
      <c r="DT120" s="59">
        <f ca="1">AVERAGE(OFFSET($DS$3,0,0,'Données projet'!$E$14+1,1))-AVERAGE(OFFSET($H$3,0,0,'Données projet'!$E$14+1,1))</f>
        <v>531.65020827367698</v>
      </c>
      <c r="DU120" s="59">
        <f t="shared" si="98"/>
        <v>235.89413420278396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69.247852547316555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69.247852547316555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68.109599999999944</v>
      </c>
      <c r="D121" s="11">
        <f t="shared" si="86"/>
        <v>19.203259247816082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673.99400121121141</v>
      </c>
      <c r="H121" s="67">
        <f t="shared" si="56"/>
        <v>445.40322985661288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343.02134880000057</v>
      </c>
      <c r="P121" s="13">
        <f t="shared" si="87"/>
        <v>80.123854434146992</v>
      </c>
      <c r="Q121" s="20">
        <f t="shared" si="107"/>
        <v>736.97789563280696</v>
      </c>
      <c r="R121" s="59">
        <f t="shared" si="55"/>
        <v>1030.3112289661403</v>
      </c>
      <c r="S121" s="59">
        <f ca="1">AVERAGE(OFFSET($R$3,0,0,'Données projet'!$E$9+1,1))-AVERAGE(OFFSET($H$3,0,0,'Données projet'!$E$9+1,1))</f>
        <v>457.88065872594228</v>
      </c>
      <c r="T121" s="59">
        <f t="shared" si="88"/>
        <v>204.62439362068329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60.018646494911195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60.018646494911195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994.84759177636829</v>
      </c>
      <c r="AN121" s="59">
        <f ca="1">AVERAGE(OFFSET($AM$3,0,0,'Données projet'!$E$10+1,1))-AVERAGE(OFFSET($H$3,0,0,'Données projet'!$E$10+1,1))</f>
        <v>430.16825592717629</v>
      </c>
      <c r="AO121" s="59">
        <f t="shared" si="90"/>
        <v>192.87542067077248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7.3920000000000012</v>
      </c>
      <c r="BD121" s="12">
        <f>IF('Données projet'!$A$88&gt;35,BD120+BC121-BL120,IF(A121&lt;'Données projet'!$A$88,$BA$205^A121,IF(A121='Données projet'!$A$88,'Données projet'!$B$88,BD120+BC121-BL120)))</f>
        <v>315.21999999999997</v>
      </c>
      <c r="BE121" s="13">
        <f>BD121*VLOOKUP('Données projet'!$B$11,Paramètres!$A$1:$I$89,3,0)*VLOOKUP('Données projet'!$B$11,Paramètres!$A$1:$I$89,5,0)</f>
        <v>265.54132799999996</v>
      </c>
      <c r="BF121" s="13">
        <f t="shared" si="91"/>
        <v>63.90211149624934</v>
      </c>
      <c r="BG121" s="20">
        <f t="shared" si="61"/>
        <v>573.78065712263424</v>
      </c>
      <c r="BH121" s="59">
        <f t="shared" si="62"/>
        <v>867.1139904559675</v>
      </c>
      <c r="BI121" s="59">
        <f ca="1">AVERAGE(OFFSET($BH$3,0,0,'Données projet'!$E$11+1,1))-AVERAGE(OFFSET($H$3,0,0,'Données projet'!$E$11+1,1))</f>
        <v>243.94505553629301</v>
      </c>
      <c r="BJ121" s="59">
        <f t="shared" si="92"/>
        <v>173.05364940250229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48.666288628500958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48.666288628500958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1.7053025658242404E-13</v>
      </c>
      <c r="BZ121" s="13">
        <f>BY121*VLOOKUP('Données projet'!$B$12,Paramètres!$A$1:$I$89,3,0)*VLOOKUP('Données projet'!$B$12,Paramètres!$A$1:$I$89,5,0)</f>
        <v>1.1173142411280423E-13</v>
      </c>
      <c r="CA121" s="13">
        <f t="shared" si="93"/>
        <v>1.6569896290553793E-12</v>
      </c>
      <c r="CB121" s="20">
        <f t="shared" si="64"/>
        <v>3.0805225009345862E-12</v>
      </c>
      <c r="CC121" s="59">
        <f t="shared" si="65"/>
        <v>293.33333333333638</v>
      </c>
      <c r="CD121" s="59">
        <f ca="1">AVERAGE(OFFSET($CC$3,0,0,'Données projet'!$E$12+1,1))-AVERAGE(OFFSET($H$3,0,0,'Données projet'!$E$12+1,1))</f>
        <v>140.9558843244115</v>
      </c>
      <c r="CE121" s="59">
        <f t="shared" si="94"/>
        <v>158.88947216184619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31.747430319775471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31.747430319775471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7.9920000000000018</v>
      </c>
      <c r="CT121" s="12">
        <f>IF('Données projet'!$A$140&gt;35,CT120+CS121-DB120,IF(A121&lt;'Données projet'!$A$140,$CQ$205^A121,IF(A121='Données projet'!$A$140,'Données projet'!$B$140,CT120+CS121-DB120)))</f>
        <v>360.46800000000059</v>
      </c>
      <c r="CU121" s="17">
        <f>CT121*VLOOKUP('Données projet'!$B$13,Paramètres!$A$1:$I$89,3,0)*VLOOKUP('Données projet'!$B$13,Paramètres!$A$1:$I$89,5,0)</f>
        <v>348.64464960000061</v>
      </c>
      <c r="CV121" s="13">
        <f t="shared" si="95"/>
        <v>81.283367525926224</v>
      </c>
      <c r="CW121" s="20">
        <f t="shared" si="67"/>
        <v>748.79129649432252</v>
      </c>
      <c r="CX121" s="59">
        <f t="shared" si="68"/>
        <v>1042.1246298276558</v>
      </c>
      <c r="CY121" s="59">
        <f ca="1">AVERAGE(OFFSET($CX$3,0,0,'Données projet'!$E$13+1,1))-AVERAGE(OFFSET($H$3,0,0,'Données projet'!$E$13+1,1))</f>
        <v>467.11196088914556</v>
      </c>
      <c r="CZ121" s="59">
        <f t="shared" si="96"/>
        <v>208.53783609106262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61.002558732532698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61.002558732532698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7.9920000000000018</v>
      </c>
      <c r="DO121" s="12">
        <f>IF('Données projet'!$A$166&gt;35,DO120+DN121-DW120,IF(A121&lt;'Données projet'!$A$166,$DL$205^A121,IF(A121='Données projet'!$A$166,'Données projet'!$B$166,DO120+DN121-DW120)))</f>
        <v>360.46800000000059</v>
      </c>
      <c r="DP121" s="17">
        <f>DO121*VLOOKUP('Données projet'!$B$14,Paramètres!$A$1:$I$89,3,0)*VLOOKUP('Données projet'!$B$14,Paramètres!$A$1:$I$89,5,0)</f>
        <v>388.00775520000059</v>
      </c>
      <c r="DQ121" s="13">
        <f t="shared" si="97"/>
        <v>89.341131324900545</v>
      </c>
      <c r="DR121" s="20">
        <f t="shared" si="70"/>
        <v>831.38264403086941</v>
      </c>
      <c r="DS121" s="59">
        <f t="shared" si="71"/>
        <v>1124.7159773642027</v>
      </c>
      <c r="DT121" s="59">
        <f ca="1">AVERAGE(OFFSET($DS$3,0,0,'Données projet'!$E$14+1,1))-AVERAGE(OFFSET($H$3,0,0,'Données projet'!$E$14+1,1))</f>
        <v>531.65020827367698</v>
      </c>
      <c r="DU121" s="59">
        <f t="shared" si="98"/>
        <v>235.89413420278396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67.889944395883177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67.889944395883177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68.686799999999948</v>
      </c>
      <c r="D122" s="11">
        <f t="shared" si="86"/>
        <v>19.346985156154776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679.55904331066802</v>
      </c>
      <c r="H122" s="67">
        <f t="shared" si="56"/>
        <v>446.65884248030272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350.62653600000056</v>
      </c>
      <c r="P122" s="13">
        <f t="shared" si="87"/>
        <v>81.691508075494681</v>
      </c>
      <c r="Q122" s="20">
        <f t="shared" si="107"/>
        <v>752.95392676482072</v>
      </c>
      <c r="R122" s="59">
        <f t="shared" si="55"/>
        <v>1046.2872600981541</v>
      </c>
      <c r="S122" s="59">
        <f ca="1">AVERAGE(OFFSET($R$3,0,0,'Données projet'!$E$9+1,1))-AVERAGE(OFFSET($H$3,0,0,'Données projet'!$E$9+1,1))</f>
        <v>457.88065872594228</v>
      </c>
      <c r="T122" s="59">
        <f t="shared" si="88"/>
        <v>204.62439362068329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58.841717444905633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58.841717444905633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1010.0532004907852</v>
      </c>
      <c r="AN122" s="59">
        <f ca="1">AVERAGE(OFFSET($AM$3,0,0,'Données projet'!$E$10+1,1))-AVERAGE(OFFSET($H$3,0,0,'Données projet'!$E$10+1,1))</f>
        <v>430.16825592717629</v>
      </c>
      <c r="AO122" s="59">
        <f t="shared" si="90"/>
        <v>192.87542067077248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7.3920000000000012</v>
      </c>
      <c r="BD122" s="12">
        <f>IF('Données projet'!$A$88&gt;35,BD121+BC122-BL121,IF(A122&lt;'Données projet'!$A$88,$BA$205^A122,IF(A122='Données projet'!$A$88,'Données projet'!$B$88,BD121+BC122-BL121)))</f>
        <v>322.61199999999997</v>
      </c>
      <c r="BE122" s="13">
        <f>BD122*VLOOKUP('Données projet'!$B$11,Paramètres!$A$1:$I$89,3,0)*VLOOKUP('Données projet'!$B$11,Paramètres!$A$1:$I$89,5,0)</f>
        <v>271.76834880000001</v>
      </c>
      <c r="BF122" s="13">
        <f t="shared" si="91"/>
        <v>65.224414829377835</v>
      </c>
      <c r="BG122" s="20">
        <f t="shared" si="61"/>
        <v>586.92906332116638</v>
      </c>
      <c r="BH122" s="59">
        <f t="shared" si="62"/>
        <v>880.26239665449975</v>
      </c>
      <c r="BI122" s="59">
        <f ca="1">AVERAGE(OFFSET($BH$3,0,0,'Données projet'!$E$11+1,1))-AVERAGE(OFFSET($H$3,0,0,'Données projet'!$E$11+1,1))</f>
        <v>243.94505553629301</v>
      </c>
      <c r="BJ122" s="59">
        <f t="shared" si="92"/>
        <v>173.05364940250229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47.711972392001115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47.711972392001115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1.7053025658242404E-13</v>
      </c>
      <c r="BZ122" s="13">
        <f>BY122*VLOOKUP('Données projet'!$B$12,Paramètres!$A$1:$I$89,3,0)*VLOOKUP('Données projet'!$B$12,Paramètres!$A$1:$I$89,5,0)</f>
        <v>1.1173142411280423E-13</v>
      </c>
      <c r="CA122" s="13">
        <f t="shared" si="93"/>
        <v>1.6569896290553793E-12</v>
      </c>
      <c r="CB122" s="20">
        <f t="shared" si="64"/>
        <v>3.0805225009345862E-12</v>
      </c>
      <c r="CC122" s="59">
        <f t="shared" si="65"/>
        <v>293.33333333333638</v>
      </c>
      <c r="CD122" s="59">
        <f ca="1">AVERAGE(OFFSET($CC$3,0,0,'Données projet'!$E$12+1,1))-AVERAGE(OFFSET($H$3,0,0,'Données projet'!$E$12+1,1))</f>
        <v>140.9558843244115</v>
      </c>
      <c r="CE122" s="59">
        <f t="shared" si="94"/>
        <v>158.88947216184619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31.124882575225133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31.124882575225133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7.9920000000000018</v>
      </c>
      <c r="CT122" s="12">
        <f>IF('Données projet'!$A$140&gt;35,CT121+CS122-DB121,IF(A122&lt;'Données projet'!$A$140,$CQ$205^A122,IF(A122='Données projet'!$A$140,'Données projet'!$B$140,CT121+CS122-DB121)))</f>
        <v>368.4600000000006</v>
      </c>
      <c r="CU122" s="17">
        <f>CT122*VLOOKUP('Données projet'!$B$13,Paramètres!$A$1:$I$89,3,0)*VLOOKUP('Données projet'!$B$13,Paramètres!$A$1:$I$89,5,0)</f>
        <v>356.37451200000061</v>
      </c>
      <c r="CV122" s="13">
        <f t="shared" si="95"/>
        <v>82.873707481273101</v>
      </c>
      <c r="CW122" s="20">
        <f t="shared" si="67"/>
        <v>765.02398226321839</v>
      </c>
      <c r="CX122" s="59">
        <f t="shared" si="68"/>
        <v>1058.3573155965516</v>
      </c>
      <c r="CY122" s="59">
        <f ca="1">AVERAGE(OFFSET($CX$3,0,0,'Données projet'!$E$13+1,1))-AVERAGE(OFFSET($H$3,0,0,'Données projet'!$E$13+1,1))</f>
        <v>467.11196088914556</v>
      </c>
      <c r="CZ122" s="59">
        <f t="shared" si="96"/>
        <v>208.53783609106262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59.806335763674582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59.806335763674582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7.9920000000000018</v>
      </c>
      <c r="DO122" s="12">
        <f>IF('Données projet'!$A$166&gt;35,DO121+DN122-DW121,IF(A122&lt;'Données projet'!$A$166,$DL$205^A122,IF(A122='Données projet'!$A$166,'Données projet'!$B$166,DO121+DN122-DW121)))</f>
        <v>368.4600000000006</v>
      </c>
      <c r="DP122" s="17">
        <f>DO122*VLOOKUP('Données projet'!$B$14,Paramètres!$A$1:$I$89,3,0)*VLOOKUP('Données projet'!$B$14,Paramètres!$A$1:$I$89,5,0)</f>
        <v>396.61034400000062</v>
      </c>
      <c r="DQ122" s="13">
        <f t="shared" si="97"/>
        <v>91.089124489142378</v>
      </c>
      <c r="DR122" s="20">
        <f t="shared" si="70"/>
        <v>849.40990761859075</v>
      </c>
      <c r="DS122" s="59">
        <f t="shared" si="71"/>
        <v>1142.743240951924</v>
      </c>
      <c r="DT122" s="59">
        <f ca="1">AVERAGE(OFFSET($DS$3,0,0,'Données projet'!$E$14+1,1))-AVERAGE(OFFSET($H$3,0,0,'Données projet'!$E$14+1,1))</f>
        <v>531.65020827367698</v>
      </c>
      <c r="DU122" s="59">
        <f t="shared" si="98"/>
        <v>235.89413420278396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66.558663995057216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66.558663995057216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69.263999999999953</v>
      </c>
      <c r="D123" s="11">
        <f t="shared" si="86"/>
        <v>19.490570545800438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685.12300070442404</v>
      </c>
      <c r="H123" s="67">
        <f t="shared" si="56"/>
        <v>447.91421036726899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358.2317232000006</v>
      </c>
      <c r="P123" s="13">
        <f t="shared" si="87"/>
        <v>83.255208450342735</v>
      </c>
      <c r="Q123" s="20">
        <f t="shared" si="107"/>
        <v>768.92307262434781</v>
      </c>
      <c r="R123" s="59">
        <f t="shared" si="55"/>
        <v>1062.2564059576812</v>
      </c>
      <c r="S123" s="59">
        <f ca="1">AVERAGE(OFFSET($R$3,0,0,'Données projet'!$E$9+1,1))-AVERAGE(OFFSET($H$3,0,0,'Données projet'!$E$9+1,1))</f>
        <v>457.88065872594228</v>
      </c>
      <c r="T123" s="59">
        <f t="shared" si="88"/>
        <v>204.62439362068329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57.687867255714842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57.687867255714842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1025.2522240098172</v>
      </c>
      <c r="AN123" s="59">
        <f ca="1">AVERAGE(OFFSET($AM$3,0,0,'Données projet'!$E$10+1,1))-AVERAGE(OFFSET($H$3,0,0,'Données projet'!$E$10+1,1))</f>
        <v>430.16825592717629</v>
      </c>
      <c r="AO123" s="59">
        <f t="shared" si="90"/>
        <v>192.87542067077248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7.3920000000000012</v>
      </c>
      <c r="BD123" s="12">
        <f>IF('Données projet'!$A$88&gt;35,BD122+BC123-BL122,IF(A123&lt;'Données projet'!$A$88,$BA$205^A123,IF(A123='Données projet'!$A$88,'Données projet'!$B$88,BD122+BC123-BL122)))</f>
        <v>330.00399999999996</v>
      </c>
      <c r="BE123" s="13">
        <f>BD123*VLOOKUP('Données projet'!$B$11,Paramètres!$A$1:$I$89,3,0)*VLOOKUP('Données projet'!$B$11,Paramètres!$A$1:$I$89,5,0)</f>
        <v>277.9953696</v>
      </c>
      <c r="BF123" s="13">
        <f t="shared" si="91"/>
        <v>66.543195859920587</v>
      </c>
      <c r="BG123" s="20">
        <f t="shared" si="61"/>
        <v>600.07133484269514</v>
      </c>
      <c r="BH123" s="59">
        <f t="shared" si="62"/>
        <v>893.40466817602851</v>
      </c>
      <c r="BI123" s="59">
        <f ca="1">AVERAGE(OFFSET($BH$3,0,0,'Données projet'!$E$11+1,1))-AVERAGE(OFFSET($H$3,0,0,'Données projet'!$E$11+1,1))</f>
        <v>243.94505553629301</v>
      </c>
      <c r="BJ123" s="59">
        <f t="shared" si="92"/>
        <v>173.05364940250229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46.776369714823602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46.776369714823602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1.7053025658242404E-13</v>
      </c>
      <c r="BZ123" s="13">
        <f>BY123*VLOOKUP('Données projet'!$B$12,Paramètres!$A$1:$I$89,3,0)*VLOOKUP('Données projet'!$B$12,Paramètres!$A$1:$I$89,5,0)</f>
        <v>1.1173142411280423E-13</v>
      </c>
      <c r="CA123" s="13">
        <f t="shared" si="93"/>
        <v>1.6569896290553793E-12</v>
      </c>
      <c r="CB123" s="20">
        <f t="shared" si="64"/>
        <v>3.0805225009345862E-12</v>
      </c>
      <c r="CC123" s="59">
        <f t="shared" si="65"/>
        <v>293.33333333333638</v>
      </c>
      <c r="CD123" s="59">
        <f ca="1">AVERAGE(OFFSET($CC$3,0,0,'Données projet'!$E$12+1,1))-AVERAGE(OFFSET($H$3,0,0,'Données projet'!$E$12+1,1))</f>
        <v>140.9558843244115</v>
      </c>
      <c r="CE123" s="59">
        <f t="shared" si="94"/>
        <v>158.88947216184619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30.514542612228794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30.514542612228794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7.9920000000000018</v>
      </c>
      <c r="CT123" s="12">
        <f>IF('Données projet'!$A$140&gt;35,CT122+CS123-DB122,IF(A123&lt;'Données projet'!$A$140,$CQ$205^A123,IF(A123='Données projet'!$A$140,'Données projet'!$B$140,CT122+CS123-DB122)))</f>
        <v>376.45200000000062</v>
      </c>
      <c r="CU123" s="17">
        <f>CT123*VLOOKUP('Données projet'!$B$13,Paramètres!$A$1:$I$89,3,0)*VLOOKUP('Données projet'!$B$13,Paramètres!$A$1:$I$89,5,0)</f>
        <v>364.10437440000061</v>
      </c>
      <c r="CV123" s="13">
        <f t="shared" si="95"/>
        <v>84.460036960388123</v>
      </c>
      <c r="CW123" s="20">
        <f t="shared" si="67"/>
        <v>781.24968311934356</v>
      </c>
      <c r="CX123" s="59">
        <f t="shared" si="68"/>
        <v>1074.5830164526769</v>
      </c>
      <c r="CY123" s="59">
        <f ca="1">AVERAGE(OFFSET($CX$3,0,0,'Données projet'!$E$13+1,1))-AVERAGE(OFFSET($H$3,0,0,'Données projet'!$E$13+1,1))</f>
        <v>467.11196088914556</v>
      </c>
      <c r="CZ123" s="59">
        <f t="shared" si="96"/>
        <v>208.53783609106262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58.633569997611808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58.633569997611808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7.9920000000000018</v>
      </c>
      <c r="DO123" s="12">
        <f>IF('Données projet'!$A$166&gt;35,DO122+DN123-DW122,IF(A123&lt;'Données projet'!$A$166,$DL$205^A123,IF(A123='Données projet'!$A$166,'Données projet'!$B$166,DO122+DN123-DW122)))</f>
        <v>376.45200000000062</v>
      </c>
      <c r="DP123" s="17">
        <f>DO123*VLOOKUP('Données projet'!$B$14,Paramètres!$A$1:$I$89,3,0)*VLOOKUP('Données projet'!$B$14,Paramètres!$A$1:$I$89,5,0)</f>
        <v>405.21293280000066</v>
      </c>
      <c r="DQ123" s="13">
        <f t="shared" si="97"/>
        <v>92.832709611559608</v>
      </c>
      <c r="DR123" s="20">
        <f t="shared" si="70"/>
        <v>867.42949386680073</v>
      </c>
      <c r="DS123" s="59">
        <f t="shared" si="71"/>
        <v>1160.7628272001341</v>
      </c>
      <c r="DT123" s="59">
        <f ca="1">AVERAGE(OFFSET($DS$3,0,0,'Données projet'!$E$14+1,1))-AVERAGE(OFFSET($H$3,0,0,'Données projet'!$E$14+1,1))</f>
        <v>531.65020827367698</v>
      </c>
      <c r="DU123" s="59">
        <f t="shared" si="98"/>
        <v>235.89413420278396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65.253489190890576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65.253489190890576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69.841199999999958</v>
      </c>
      <c r="D124" s="11">
        <f t="shared" si="86"/>
        <v>19.634016723441825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690.68588347919967</v>
      </c>
      <c r="H124" s="67">
        <f t="shared" si="56"/>
        <v>449.16933579332772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365.83691040000065</v>
      </c>
      <c r="P124" s="13">
        <f t="shared" si="87"/>
        <v>84.815049153374403</v>
      </c>
      <c r="Q124" s="20">
        <f t="shared" si="107"/>
        <v>784.88549622212815</v>
      </c>
      <c r="R124" s="59">
        <f t="shared" si="55"/>
        <v>1078.2188295554615</v>
      </c>
      <c r="S124" s="59">
        <f ca="1">AVERAGE(OFFSET($R$3,0,0,'Données projet'!$E$9+1,1))-AVERAGE(OFFSET($H$3,0,0,'Données projet'!$E$9+1,1))</f>
        <v>457.88065872594228</v>
      </c>
      <c r="T124" s="59">
        <f t="shared" si="88"/>
        <v>204.62439362068329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56.556643364954958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56.556643364954958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1040.4448182397948</v>
      </c>
      <c r="AN124" s="59">
        <f ca="1">AVERAGE(OFFSET($AM$3,0,0,'Données projet'!$E$10+1,1))-AVERAGE(OFFSET($H$3,0,0,'Données projet'!$E$10+1,1))</f>
        <v>430.16825592717629</v>
      </c>
      <c r="AO124" s="59">
        <f t="shared" si="90"/>
        <v>192.87542067077248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7.3920000000000012</v>
      </c>
      <c r="BD124" s="12">
        <f>IF('Données projet'!$A$88&gt;35,BD123+BC124-BL123,IF(A124&lt;'Données projet'!$A$88,$BA$205^A124,IF(A124='Données projet'!$A$88,'Données projet'!$B$88,BD123+BC124-BL123)))</f>
        <v>337.39599999999996</v>
      </c>
      <c r="BE124" s="13">
        <f>BD124*VLOOKUP('Données projet'!$B$11,Paramètres!$A$1:$I$89,3,0)*VLOOKUP('Données projet'!$B$11,Paramètres!$A$1:$I$89,5,0)</f>
        <v>284.22239039999999</v>
      </c>
      <c r="BF124" s="13">
        <f t="shared" si="91"/>
        <v>67.858542570434679</v>
      </c>
      <c r="BG124" s="20">
        <f t="shared" si="61"/>
        <v>613.20762492350696</v>
      </c>
      <c r="BH124" s="59">
        <f t="shared" si="62"/>
        <v>906.54095825684021</v>
      </c>
      <c r="BI124" s="59">
        <f ca="1">AVERAGE(OFFSET($BH$3,0,0,'Données projet'!$E$11+1,1))-AVERAGE(OFFSET($H$3,0,0,'Données projet'!$E$11+1,1))</f>
        <v>243.94505553629301</v>
      </c>
      <c r="BJ124" s="59">
        <f t="shared" si="92"/>
        <v>173.05364940250229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45.859113635484256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45.859113635484256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1.7053025658242404E-13</v>
      </c>
      <c r="BZ124" s="13">
        <f>BY124*VLOOKUP('Données projet'!$B$12,Paramètres!$A$1:$I$89,3,0)*VLOOKUP('Données projet'!$B$12,Paramètres!$A$1:$I$89,5,0)</f>
        <v>1.1173142411280423E-13</v>
      </c>
      <c r="CA124" s="13">
        <f t="shared" si="93"/>
        <v>1.6569896290553793E-12</v>
      </c>
      <c r="CB124" s="20">
        <f t="shared" si="64"/>
        <v>3.0805225009345862E-12</v>
      </c>
      <c r="CC124" s="59">
        <f t="shared" si="65"/>
        <v>293.33333333333638</v>
      </c>
      <c r="CD124" s="59">
        <f ca="1">AVERAGE(OFFSET($CC$3,0,0,'Données projet'!$E$12+1,1))-AVERAGE(OFFSET($H$3,0,0,'Données projet'!$E$12+1,1))</f>
        <v>140.9558843244115</v>
      </c>
      <c r="CE124" s="59">
        <f t="shared" si="94"/>
        <v>158.88947216184619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29.916171043636197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29.916171043636197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7.9920000000000018</v>
      </c>
      <c r="CT124" s="12">
        <f>IF('Données projet'!$A$140&gt;35,CT123+CS124-DB123,IF(A124&lt;'Données projet'!$A$140,$CQ$205^A124,IF(A124='Données projet'!$A$140,'Données projet'!$B$140,CT123+CS124-DB123)))</f>
        <v>384.44400000000064</v>
      </c>
      <c r="CU124" s="17">
        <f>CT124*VLOOKUP('Données projet'!$B$13,Paramètres!$A$1:$I$89,3,0)*VLOOKUP('Données projet'!$B$13,Paramètres!$A$1:$I$89,5,0)</f>
        <v>371.83423680000061</v>
      </c>
      <c r="CV124" s="13">
        <f t="shared" si="95"/>
        <v>86.042450912410658</v>
      </c>
      <c r="CW124" s="20">
        <f t="shared" si="67"/>
        <v>797.46856443244951</v>
      </c>
      <c r="CX124" s="59">
        <f t="shared" si="68"/>
        <v>1090.8018977657828</v>
      </c>
      <c r="CY124" s="59">
        <f ca="1">AVERAGE(OFFSET($CX$3,0,0,'Données projet'!$E$13+1,1))-AVERAGE(OFFSET($H$3,0,0,'Données projet'!$E$13+1,1))</f>
        <v>467.11196088914556</v>
      </c>
      <c r="CZ124" s="59">
        <f t="shared" si="96"/>
        <v>208.53783609106262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57.483801452905041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57.483801452905041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7.9920000000000018</v>
      </c>
      <c r="DO124" s="12">
        <f>IF('Données projet'!$A$166&gt;35,DO123+DN124-DW123,IF(A124&lt;'Données projet'!$A$166,$DL$205^A124,IF(A124='Données projet'!$A$166,'Données projet'!$B$166,DO123+DN124-DW123)))</f>
        <v>384.44400000000064</v>
      </c>
      <c r="DP124" s="17">
        <f>DO124*VLOOKUP('Données projet'!$B$14,Paramètres!$A$1:$I$89,3,0)*VLOOKUP('Données projet'!$B$14,Paramètres!$A$1:$I$89,5,0)</f>
        <v>413.81552160000069</v>
      </c>
      <c r="DQ124" s="13">
        <f t="shared" si="97"/>
        <v>94.571991053767576</v>
      </c>
      <c r="DR124" s="20">
        <f t="shared" si="70"/>
        <v>885.44158453864645</v>
      </c>
      <c r="DS124" s="59">
        <f t="shared" si="71"/>
        <v>1178.7749178719798</v>
      </c>
      <c r="DT124" s="59">
        <f ca="1">AVERAGE(OFFSET($DS$3,0,0,'Données projet'!$E$14+1,1))-AVERAGE(OFFSET($H$3,0,0,'Données projet'!$E$14+1,1))</f>
        <v>531.65020827367698</v>
      </c>
      <c r="DU124" s="59">
        <f t="shared" si="98"/>
        <v>235.89413420278396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63.973908068555623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63.973908068555623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70.418399999999963</v>
      </c>
      <c r="D125" s="11">
        <f t="shared" si="86"/>
        <v>19.777324972922738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696.24770154536827</v>
      </c>
      <c r="H125" s="67">
        <f t="shared" si="56"/>
        <v>450.42422099450698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373.44209760000064</v>
      </c>
      <c r="P125" s="13">
        <f t="shared" si="87"/>
        <v>86.371119665503912</v>
      </c>
      <c r="Q125" s="20">
        <f t="shared" si="107"/>
        <v>800.84135340408704</v>
      </c>
      <c r="R125" s="59">
        <f t="shared" si="55"/>
        <v>1094.1746867374204</v>
      </c>
      <c r="S125" s="59">
        <f ca="1">AVERAGE(OFFSET($R$3,0,0,'Données projet'!$E$9+1,1))-AVERAGE(OFFSET($H$3,0,0,'Données projet'!$E$9+1,1))</f>
        <v>457.88065872594228</v>
      </c>
      <c r="T125" s="59">
        <f t="shared" si="88"/>
        <v>204.62439362068329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55.447602084714433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55.447602084714433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1055.6311322344952</v>
      </c>
      <c r="AN125" s="59">
        <f ca="1">AVERAGE(OFFSET($AM$3,0,0,'Données projet'!$E$10+1,1))-AVERAGE(OFFSET($H$3,0,0,'Données projet'!$E$10+1,1))</f>
        <v>430.16825592717629</v>
      </c>
      <c r="AO125" s="59">
        <f t="shared" si="90"/>
        <v>192.87542067077248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7.3920000000000012</v>
      </c>
      <c r="BD125" s="12">
        <f>IF('Données projet'!$A$88&gt;35,BD124+BC125-BL124,IF(A125&lt;'Données projet'!$A$88,$BA$205^A125,IF(A125='Données projet'!$A$88,'Données projet'!$B$88,BD124+BC125-BL124)))</f>
        <v>344.78799999999995</v>
      </c>
      <c r="BE125" s="13">
        <f>BD125*VLOOKUP('Données projet'!$B$11,Paramètres!$A$1:$I$89,3,0)*VLOOKUP('Données projet'!$B$11,Paramètres!$A$1:$I$89,5,0)</f>
        <v>290.44941119999999</v>
      </c>
      <c r="BF125" s="13">
        <f t="shared" si="91"/>
        <v>69.17053886810632</v>
      </c>
      <c r="BG125" s="20">
        <f t="shared" si="61"/>
        <v>626.33807970195176</v>
      </c>
      <c r="BH125" s="59">
        <f t="shared" si="62"/>
        <v>919.67141303528501</v>
      </c>
      <c r="BI125" s="59">
        <f ca="1">AVERAGE(OFFSET($BH$3,0,0,'Données projet'!$E$11+1,1))-AVERAGE(OFFSET($H$3,0,0,'Données projet'!$E$11+1,1))</f>
        <v>243.94505553629301</v>
      </c>
      <c r="BJ125" s="59">
        <f t="shared" si="92"/>
        <v>173.05364940250229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44.95984438838979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44.95984438838979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1.7053025658242404E-13</v>
      </c>
      <c r="BZ125" s="13">
        <f>BY125*VLOOKUP('Données projet'!$B$12,Paramètres!$A$1:$I$89,3,0)*VLOOKUP('Données projet'!$B$12,Paramètres!$A$1:$I$89,5,0)</f>
        <v>1.1173142411280423E-13</v>
      </c>
      <c r="CA125" s="13">
        <f t="shared" si="93"/>
        <v>1.6569896290553793E-12</v>
      </c>
      <c r="CB125" s="20">
        <f t="shared" si="64"/>
        <v>3.0805225009345862E-12</v>
      </c>
      <c r="CC125" s="59">
        <f t="shared" si="65"/>
        <v>293.33333333333638</v>
      </c>
      <c r="CD125" s="59">
        <f ca="1">AVERAGE(OFFSET($CC$3,0,0,'Données projet'!$E$12+1,1))-AVERAGE(OFFSET($H$3,0,0,'Données projet'!$E$12+1,1))</f>
        <v>140.9558843244115</v>
      </c>
      <c r="CE125" s="59">
        <f t="shared" si="94"/>
        <v>158.88947216184619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29.329533176533079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29.329533176533079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7.9920000000000018</v>
      </c>
      <c r="CT125" s="12">
        <f>IF('Données projet'!$A$140&gt;35,CT124+CS125-DB124,IF(A125&lt;'Données projet'!$A$140,$CQ$205^A125,IF(A125='Données projet'!$A$140,'Données projet'!$B$140,CT124+CS125-DB124)))</f>
        <v>392.43600000000066</v>
      </c>
      <c r="CU125" s="17">
        <f>CT125*VLOOKUP('Données projet'!$B$13,Paramètres!$A$1:$I$89,3,0)*VLOOKUP('Données projet'!$B$13,Paramètres!$A$1:$I$89,5,0)</f>
        <v>379.56409920000067</v>
      </c>
      <c r="CV125" s="13">
        <f t="shared" si="95"/>
        <v>87.621040113179006</v>
      </c>
      <c r="CW125" s="20">
        <f t="shared" si="67"/>
        <v>813.68078430378785</v>
      </c>
      <c r="CX125" s="59">
        <f t="shared" si="68"/>
        <v>1107.0141176371212</v>
      </c>
      <c r="CY125" s="59">
        <f ca="1">AVERAGE(OFFSET($CX$3,0,0,'Données projet'!$E$13+1,1))-AVERAGE(OFFSET($H$3,0,0,'Données projet'!$E$13+1,1))</f>
        <v>467.11196088914556</v>
      </c>
      <c r="CZ125" s="59">
        <f t="shared" si="96"/>
        <v>208.53783609106262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56.356579168070411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56.356579168070411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7.9920000000000018</v>
      </c>
      <c r="DO125" s="12">
        <f>IF('Données projet'!$A$166&gt;35,DO124+DN125-DW124,IF(A125&lt;'Données projet'!$A$166,$DL$205^A125,IF(A125='Données projet'!$A$166,'Données projet'!$B$166,DO124+DN125-DW124)))</f>
        <v>392.43600000000066</v>
      </c>
      <c r="DP125" s="17">
        <f>DO125*VLOOKUP('Données projet'!$B$14,Paramètres!$A$1:$I$89,3,0)*VLOOKUP('Données projet'!$B$14,Paramètres!$A$1:$I$89,5,0)</f>
        <v>422.41811040000067</v>
      </c>
      <c r="DQ125" s="13">
        <f t="shared" si="97"/>
        <v>96.307068590373376</v>
      </c>
      <c r="DR125" s="20">
        <f t="shared" si="70"/>
        <v>903.4463534082347</v>
      </c>
      <c r="DS125" s="59">
        <f t="shared" si="71"/>
        <v>1196.779686741568</v>
      </c>
      <c r="DT125" s="59">
        <f ca="1">AVERAGE(OFFSET($DS$3,0,0,'Données projet'!$E$14+1,1))-AVERAGE(OFFSET($H$3,0,0,'Données projet'!$E$14+1,1))</f>
        <v>531.65020827367698</v>
      </c>
      <c r="DU125" s="59">
        <f t="shared" si="98"/>
        <v>235.89413420278396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62.719418751562245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62.719418751562245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70.995599999999968</v>
      </c>
      <c r="D126" s="11">
        <f t="shared" si="86"/>
        <v>19.92049655582537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701.80846464145873</v>
      </c>
      <c r="H126" s="67">
        <f t="shared" si="56"/>
        <v>451.67886816806242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381.04728480000068</v>
      </c>
      <c r="P126" s="13">
        <f t="shared" si="87"/>
        <v>87.923505614723254</v>
      </c>
      <c r="Q126" s="20">
        <f t="shared" si="107"/>
        <v>816.79079330564412</v>
      </c>
      <c r="R126" s="59">
        <f t="shared" si="55"/>
        <v>1110.1241266389775</v>
      </c>
      <c r="S126" s="59">
        <f ca="1">AVERAGE(OFFSET($R$3,0,0,'Données projet'!$E$9+1,1))-AVERAGE(OFFSET($H$3,0,0,'Données projet'!$E$9+1,1))</f>
        <v>457.88065872594228</v>
      </c>
      <c r="T126" s="59">
        <f t="shared" si="88"/>
        <v>204.62439362068329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54.360308427531038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54.360308427531038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1070.8113086296501</v>
      </c>
      <c r="AN126" s="59">
        <f ca="1">AVERAGE(OFFSET($AM$3,0,0,'Données projet'!$E$10+1,1))-AVERAGE(OFFSET($H$3,0,0,'Données projet'!$E$10+1,1))</f>
        <v>430.16825592717629</v>
      </c>
      <c r="AO126" s="59">
        <f t="shared" si="90"/>
        <v>192.87542067077248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352.18</v>
      </c>
      <c r="BB126" s="12">
        <f>VLOOKUP(A126,'Données projet'!$A$87:$I$107,9,0)</f>
        <v>7.3920000000000012</v>
      </c>
      <c r="BC126" s="12">
        <f t="array" ref="BC126">INDEX(BB:BB,MIN(IF(ISNUMBER(BB126:BB322),ROW(BB126:BB322),"")))</f>
        <v>7.3920000000000012</v>
      </c>
      <c r="BD126" s="12">
        <f>IF('Données projet'!$A$88&gt;35,BD125+BC126-BL125,IF(A126&lt;'Données projet'!$A$88,$BA$205^A126,IF(A126='Données projet'!$A$88,'Données projet'!$B$88,BD125+BC126-BL125)))</f>
        <v>352.17999999999995</v>
      </c>
      <c r="BE126" s="13">
        <f>BD126*VLOOKUP('Données projet'!$B$11,Paramètres!$A$1:$I$89,3,0)*VLOOKUP('Données projet'!$B$11,Paramètres!$A$1:$I$89,5,0)</f>
        <v>296.67643200000003</v>
      </c>
      <c r="BF126" s="13">
        <f t="shared" si="91"/>
        <v>70.479264856783857</v>
      </c>
      <c r="BG126" s="20">
        <f t="shared" si="61"/>
        <v>639.46283869223191</v>
      </c>
      <c r="BH126" s="59">
        <f t="shared" si="62"/>
        <v>932.79617202556528</v>
      </c>
      <c r="BI126" s="59">
        <f ca="1">AVERAGE(OFFSET($BH$3,0,0,'Données projet'!$E$11+1,1))-AVERAGE(OFFSET($H$3,0,0,'Données projet'!$E$11+1,1))</f>
        <v>243.94505553629301</v>
      </c>
      <c r="BJ126" s="59">
        <f t="shared" si="92"/>
        <v>173.05364940250229</v>
      </c>
      <c r="BK126" s="15">
        <f>IF(ISNA(VLOOKUP(A126,'Données projet'!$A$87:$I$107,3,0)),0,VLOOKUP(A126,'Données projet'!$A$87:$I$107,3,0))</f>
        <v>11</v>
      </c>
      <c r="BL126" s="15">
        <f>IF(ISNA(VLOOKUP(A126,'Données projet'!$A$87:$I$107,4,0)),0,VLOOKUP(A126,'Données projet'!$A$87:$I$107,4,0))</f>
        <v>175.3</v>
      </c>
      <c r="BM126" s="16">
        <f>IF(ISNA(VLOOKUP(A126,'Données projet'!$A$87:$I$107,5,0)),0%,VLOOKUP(A126,'Données projet'!$A$87:$I$107,5,0)*VLOOKUP('Données projet'!$B$11,Paramètres!$A$1:$I$89,7,0))</f>
        <v>0.25800000000000001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86.19614626159705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86.19614626159705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1.7053025658242404E-13</v>
      </c>
      <c r="BZ126" s="13">
        <f>BY126*VLOOKUP('Données projet'!$B$12,Paramètres!$A$1:$I$89,3,0)*VLOOKUP('Données projet'!$B$12,Paramètres!$A$1:$I$89,5,0)</f>
        <v>1.1173142411280423E-13</v>
      </c>
      <c r="CA126" s="13">
        <f t="shared" si="93"/>
        <v>1.6569896290553793E-12</v>
      </c>
      <c r="CB126" s="20">
        <f t="shared" si="64"/>
        <v>3.0805225009345862E-12</v>
      </c>
      <c r="CC126" s="59">
        <f t="shared" si="65"/>
        <v>293.33333333333638</v>
      </c>
      <c r="CD126" s="59">
        <f ca="1">AVERAGE(OFFSET($CC$3,0,0,'Données projet'!$E$12+1,1))-AVERAGE(OFFSET($H$3,0,0,'Données projet'!$E$12+1,1))</f>
        <v>140.9558843244115</v>
      </c>
      <c r="CE126" s="59">
        <f t="shared" si="94"/>
        <v>158.88947216184619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28.754398920190088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28.754398920190088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7.9920000000000018</v>
      </c>
      <c r="CT126" s="12">
        <f>IF('Données projet'!$A$140&gt;35,CT125+CS126-DB125,IF(A126&lt;'Données projet'!$A$140,$CQ$205^A126,IF(A126='Données projet'!$A$140,'Données projet'!$B$140,CT125+CS126-DB125)))</f>
        <v>400.42800000000068</v>
      </c>
      <c r="CU126" s="17">
        <f>CT126*VLOOKUP('Données projet'!$B$13,Paramètres!$A$1:$I$89,3,0)*VLOOKUP('Données projet'!$B$13,Paramètres!$A$1:$I$89,5,0)</f>
        <v>387.29396160000067</v>
      </c>
      <c r="CV126" s="13">
        <f t="shared" si="95"/>
        <v>89.195891429851343</v>
      </c>
      <c r="CW126" s="20">
        <f t="shared" si="67"/>
        <v>829.8864940269923</v>
      </c>
      <c r="CX126" s="59">
        <f t="shared" si="68"/>
        <v>1123.2198273603256</v>
      </c>
      <c r="CY126" s="59">
        <f ca="1">AVERAGE(OFFSET($CX$3,0,0,'Données projet'!$E$13+1,1))-AVERAGE(OFFSET($H$3,0,0,'Données projet'!$E$13+1,1))</f>
        <v>467.11196088914556</v>
      </c>
      <c r="CZ126" s="59">
        <f t="shared" si="96"/>
        <v>208.53783609106262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55.25146102470368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55.25146102470368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7.9920000000000018</v>
      </c>
      <c r="DO126" s="12">
        <f>IF('Données projet'!$A$166&gt;35,DO125+DN126-DW125,IF(A126&lt;'Données projet'!$A$166,$DL$205^A126,IF(A126='Données projet'!$A$166,'Données projet'!$B$166,DO125+DN126-DW125)))</f>
        <v>400.42800000000068</v>
      </c>
      <c r="DP126" s="17">
        <f>DO126*VLOOKUP('Données projet'!$B$14,Paramètres!$A$1:$I$89,3,0)*VLOOKUP('Données projet'!$B$14,Paramètres!$A$1:$I$89,5,0)</f>
        <v>431.02069920000071</v>
      </c>
      <c r="DQ126" s="13">
        <f t="shared" si="97"/>
        <v>98.038037699830426</v>
      </c>
      <c r="DR126" s="20">
        <f t="shared" si="70"/>
        <v>921.44396676720589</v>
      </c>
      <c r="DS126" s="59">
        <f t="shared" si="71"/>
        <v>1214.7773001005392</v>
      </c>
      <c r="DT126" s="59">
        <f ca="1">AVERAGE(OFFSET($DS$3,0,0,'Données projet'!$E$14+1,1))-AVERAGE(OFFSET($H$3,0,0,'Données projet'!$E$14+1,1))</f>
        <v>531.65020827367698</v>
      </c>
      <c r="DU126" s="59">
        <f t="shared" si="98"/>
        <v>235.89413420278396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61.489529204912174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61.489529204912174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71.572799999999972</v>
      </c>
      <c r="D127" s="11">
        <f t="shared" si="86"/>
        <v>20.063532712034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707.36818233850784</v>
      </c>
      <c r="H127" s="67">
        <f t="shared" si="56"/>
        <v>452.93327947345915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388.65247200000067</v>
      </c>
      <c r="P127" s="13">
        <f t="shared" si="87"/>
        <v>89.472289015536205</v>
      </c>
      <c r="Q127" s="20">
        <f t="shared" si="107"/>
        <v>832.73395876872667</v>
      </c>
      <c r="R127" s="59">
        <f t="shared" si="55"/>
        <v>1126.06729210206</v>
      </c>
      <c r="S127" s="59">
        <f ca="1">AVERAGE(OFFSET($R$3,0,0,'Données projet'!$E$9+1,1))-AVERAGE(OFFSET($H$3,0,0,'Données projet'!$E$9+1,1))</f>
        <v>457.88065872594228</v>
      </c>
      <c r="T127" s="59">
        <f t="shared" si="88"/>
        <v>204.62439362068329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67.551352379927607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67.551352379927607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1085.985484041784</v>
      </c>
      <c r="AN127" s="59">
        <f ca="1">AVERAGE(OFFSET($AM$3,0,0,'Données projet'!$E$10+1,1))-AVERAGE(OFFSET($H$3,0,0,'Données projet'!$E$10+1,1))</f>
        <v>430.16825592717629</v>
      </c>
      <c r="AO127" s="59">
        <f t="shared" si="90"/>
        <v>192.87542067077248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4.085000000000008</v>
      </c>
      <c r="BD127" s="12">
        <f>IF('Données projet'!$A$88&gt;35,BD126+BC127-BL126,IF(A127&lt;'Données projet'!$A$88,$BA$205^A127,IF(A127='Données projet'!$A$88,'Données projet'!$B$88,BD126+BC127-BL126)))</f>
        <v>180.96499999999997</v>
      </c>
      <c r="BE127" s="13">
        <f>BD127*VLOOKUP('Données projet'!$B$11,Paramètres!$A$1:$I$89,3,0)*VLOOKUP('Données projet'!$B$11,Paramètres!$A$1:$I$89,5,0)</f>
        <v>152.44491600000001</v>
      </c>
      <c r="BF127" s="13">
        <f t="shared" si="91"/>
        <v>39.133677652296996</v>
      </c>
      <c r="BG127" s="20">
        <f t="shared" si="61"/>
        <v>333.6660506110839</v>
      </c>
      <c r="BH127" s="59">
        <f t="shared" si="62"/>
        <v>626.99938394441722</v>
      </c>
      <c r="BI127" s="59">
        <f ca="1">AVERAGE(OFFSET($BH$3,0,0,'Données projet'!$E$11+1,1))-AVERAGE(OFFSET($H$3,0,0,'Données projet'!$E$11+1,1))</f>
        <v>243.94505553629301</v>
      </c>
      <c r="BJ127" s="59">
        <f t="shared" si="92"/>
        <v>173.05364940250229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84.505892407865062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84.505892407865062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1.7053025658242404E-13</v>
      </c>
      <c r="BZ127" s="13">
        <f>BY127*VLOOKUP('Données projet'!$B$12,Paramètres!$A$1:$I$89,3,0)*VLOOKUP('Données projet'!$B$12,Paramètres!$A$1:$I$89,5,0)</f>
        <v>1.1173142411280423E-13</v>
      </c>
      <c r="CA127" s="13">
        <f t="shared" si="93"/>
        <v>1.6569896290553793E-12</v>
      </c>
      <c r="CB127" s="20">
        <f t="shared" si="64"/>
        <v>3.0805225009345862E-12</v>
      </c>
      <c r="CC127" s="59">
        <f t="shared" si="65"/>
        <v>293.33333333333638</v>
      </c>
      <c r="CD127" s="59">
        <f ca="1">AVERAGE(OFFSET($CC$3,0,0,'Données projet'!$E$12+1,1))-AVERAGE(OFFSET($H$3,0,0,'Données projet'!$E$12+1,1))</f>
        <v>140.9558843244115</v>
      </c>
      <c r="CE127" s="59">
        <f t="shared" si="94"/>
        <v>158.88947216184619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28.190542695816724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28.190542695816724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408.42</v>
      </c>
      <c r="CR127" s="12">
        <f>VLOOKUP(A127,'Données projet'!$A$139:$I$159,9,0)</f>
        <v>7.9920000000000018</v>
      </c>
      <c r="CS127" s="12">
        <f t="array" ref="CS127">INDEX(CR:CR,MIN(IF(ISNUMBER(CR127:CR323),ROW(CR127:CR323),"")))</f>
        <v>7.9920000000000018</v>
      </c>
      <c r="CT127" s="12">
        <f>IF('Données projet'!$A$140&gt;35,CT126+CS127-DB126,IF(A127&lt;'Données projet'!$A$140,$CQ$205^A127,IF(A127='Données projet'!$A$140,'Données projet'!$B$140,CT126+CS127-DB126)))</f>
        <v>408.4200000000007</v>
      </c>
      <c r="CU127" s="17">
        <f>CT127*VLOOKUP('Données projet'!$B$13,Paramètres!$A$1:$I$89,3,0)*VLOOKUP('Données projet'!$B$13,Paramètres!$A$1:$I$89,5,0)</f>
        <v>395.02382400000067</v>
      </c>
      <c r="CV127" s="13">
        <f t="shared" si="95"/>
        <v>90.767088063805105</v>
      </c>
      <c r="CW127" s="20">
        <f t="shared" si="67"/>
        <v>846.08583851112826</v>
      </c>
      <c r="CX127" s="59">
        <f t="shared" si="68"/>
        <v>1139.4191718444615</v>
      </c>
      <c r="CY127" s="59">
        <f ca="1">AVERAGE(OFFSET($CX$3,0,0,'Données projet'!$E$13+1,1))-AVERAGE(OFFSET($H$3,0,0,'Données projet'!$E$13+1,1))</f>
        <v>467.11196088914556</v>
      </c>
      <c r="CZ127" s="59">
        <f t="shared" si="96"/>
        <v>208.53783609106262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0.25800000000000001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68.658751599270687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68.658751599270687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408.42</v>
      </c>
      <c r="DM127" s="12">
        <f>VLOOKUP(A127,'Données projet'!$A$165:$I$185,9,0)</f>
        <v>7.9920000000000018</v>
      </c>
      <c r="DN127" s="12">
        <f t="array" ref="DN127">INDEX(DM:DM,MIN(IF(ISNUMBER(DM127:DM323),ROW(DM127:DM323),"")))</f>
        <v>7.9920000000000018</v>
      </c>
      <c r="DO127" s="12">
        <f>IF('Données projet'!$A$166&gt;35,DO126+DN127-DW126,IF(A127&lt;'Données projet'!$A$166,$DL$205^A127,IF(A127='Données projet'!$A$166,'Données projet'!$B$166,DO126+DN127-DW126)))</f>
        <v>408.4200000000007</v>
      </c>
      <c r="DP127" s="17">
        <f>DO127*VLOOKUP('Données projet'!$B$14,Paramètres!$A$1:$I$89,3,0)*VLOOKUP('Données projet'!$B$14,Paramètres!$A$1:$I$89,5,0)</f>
        <v>439.62328800000074</v>
      </c>
      <c r="DQ127" s="13">
        <f t="shared" si="97"/>
        <v>99.764989831415335</v>
      </c>
      <c r="DR127" s="20">
        <f t="shared" si="70"/>
        <v>939.43458388971624</v>
      </c>
      <c r="DS127" s="59">
        <f t="shared" si="71"/>
        <v>1232.7679172230496</v>
      </c>
      <c r="DT127" s="59">
        <f ca="1">AVERAGE(OFFSET($DS$3,0,0,'Données projet'!$E$14+1,1))-AVERAGE(OFFSET($H$3,0,0,'Données projet'!$E$14+1,1))</f>
        <v>531.65020827367698</v>
      </c>
      <c r="DU127" s="59">
        <f t="shared" si="98"/>
        <v>235.89413420278396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52.53</v>
      </c>
      <c r="DX127" s="16">
        <f>IF(ISNA(VLOOKUP(A127,'Données projet'!$A$165:$I$185,5,0)),0%,VLOOKUP(A127,'Données projet'!$A$165:$I$185,5,0)*VLOOKUP('Données projet'!$B$14,Paramètres!$A$1:$I$89,7,0))</f>
        <v>0.25800000000000001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76.410546134672217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76.410546134672217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72.149999999999977</v>
      </c>
      <c r="D128" s="11">
        <f t="shared" si="86"/>
        <v>20.206434660280163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712.92686404426775</v>
      </c>
      <c r="H128" s="67">
        <f t="shared" si="56"/>
        <v>454.18745703332127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346.34433600000068</v>
      </c>
      <c r="P128" s="13">
        <f t="shared" si="87"/>
        <v>80.809312687443921</v>
      </c>
      <c r="Q128" s="20">
        <f t="shared" si="107"/>
        <v>743.95927146396605</v>
      </c>
      <c r="R128" s="59">
        <f t="shared" si="55"/>
        <v>1037.2926047972994</v>
      </c>
      <c r="S128" s="59">
        <f ca="1">AVERAGE(OFFSET($R$3,0,0,'Données projet'!$E$9+1,1))-AVERAGE(OFFSET($H$3,0,0,'Données projet'!$E$9+1,1))</f>
        <v>457.88065872594228</v>
      </c>
      <c r="T128" s="59">
        <f t="shared" si="88"/>
        <v>204.62439362068329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66.22671156201379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66.22671156201379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1001.4923042145178</v>
      </c>
      <c r="AN128" s="59">
        <f ca="1">AVERAGE(OFFSET($AM$3,0,0,'Données projet'!$E$10+1,1))-AVERAGE(OFFSET($H$3,0,0,'Données projet'!$E$10+1,1))</f>
        <v>430.16825592717629</v>
      </c>
      <c r="AO128" s="59">
        <f t="shared" si="90"/>
        <v>192.87542067077248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185.05</v>
      </c>
      <c r="BB128" s="12">
        <f>VLOOKUP(A128,'Données projet'!$A$87:$I$107,9,0)</f>
        <v>4.085000000000008</v>
      </c>
      <c r="BC128" s="12">
        <f t="array" ref="BC128">INDEX(BB:BB,MIN(IF(ISNUMBER(BB128:BB324),ROW(BB128:BB324),"")))</f>
        <v>4.085000000000008</v>
      </c>
      <c r="BD128" s="12">
        <f>IF('Données projet'!$A$88&gt;35,BD127+BC128-BL127,IF(A128&lt;'Données projet'!$A$88,$BA$205^A128,IF(A128='Données projet'!$A$88,'Données projet'!$B$88,BD127+BC128-BL127)))</f>
        <v>185.04999999999998</v>
      </c>
      <c r="BE128" s="13">
        <f>BD128*VLOOKUP('Données projet'!$B$11,Paramètres!$A$1:$I$89,3,0)*VLOOKUP('Données projet'!$B$11,Paramètres!$A$1:$I$89,5,0)</f>
        <v>155.88612000000001</v>
      </c>
      <c r="BF128" s="13">
        <f t="shared" si="91"/>
        <v>39.913216292713308</v>
      </c>
      <c r="BG128" s="20">
        <f t="shared" si="61"/>
        <v>341.01717737647567</v>
      </c>
      <c r="BH128" s="59">
        <f t="shared" si="62"/>
        <v>634.35051070980899</v>
      </c>
      <c r="BI128" s="59">
        <f ca="1">AVERAGE(OFFSET($BH$3,0,0,'Données projet'!$E$11+1,1))-AVERAGE(OFFSET($H$3,0,0,'Données projet'!$E$11+1,1))</f>
        <v>243.94505553629301</v>
      </c>
      <c r="BJ128" s="59">
        <f t="shared" si="92"/>
        <v>173.05364940250229</v>
      </c>
      <c r="BK128" s="15">
        <f>IF(ISNA(VLOOKUP(A128,'Données projet'!$A$87:$I$107,3,0)),0,VLOOKUP(A128,'Données projet'!$A$87:$I$107,3,0))</f>
        <v>12</v>
      </c>
      <c r="BL128" s="15">
        <f>IF(ISNA(VLOOKUP(A128,'Données projet'!$A$87:$I$107,4,0)),0,VLOOKUP(A128,'Données projet'!$A$87:$I$107,4,0))</f>
        <v>60.7</v>
      </c>
      <c r="BM128" s="16">
        <f>IF(ISNA(VLOOKUP(A128,'Données projet'!$A$87:$I$107,5,0)),0%,VLOOKUP(A128,'Données projet'!$A$87:$I$107,5,0)*VLOOKUP('Données projet'!$B$11,Paramètres!$A$1:$I$89,7,0))</f>
        <v>0.25800000000000001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97.432689709472925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97.432689709472925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1.7053025658242404E-13</v>
      </c>
      <c r="BZ128" s="13">
        <f>BY128*VLOOKUP('Données projet'!$B$12,Paramètres!$A$1:$I$89,3,0)*VLOOKUP('Données projet'!$B$12,Paramètres!$A$1:$I$89,5,0)</f>
        <v>1.1173142411280423E-13</v>
      </c>
      <c r="CA128" s="13">
        <f t="shared" si="93"/>
        <v>1.6569896290553793E-12</v>
      </c>
      <c r="CB128" s="20">
        <f t="shared" si="64"/>
        <v>3.0805225009345862E-12</v>
      </c>
      <c r="CC128" s="59">
        <f t="shared" si="65"/>
        <v>293.33333333333638</v>
      </c>
      <c r="CD128" s="59">
        <f ca="1">AVERAGE(OFFSET($CC$3,0,0,'Données projet'!$E$12+1,1))-AVERAGE(OFFSET($H$3,0,0,'Données projet'!$E$12+1,1))</f>
        <v>140.9558843244115</v>
      </c>
      <c r="CE128" s="59">
        <f t="shared" si="94"/>
        <v>158.88947216184619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27.637743348084982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27.637743348084982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8.0699999999999985</v>
      </c>
      <c r="CT128" s="12">
        <f>IF('Données projet'!$A$140&gt;35,CT127+CS128-DB127,IF(A128&lt;'Données projet'!$A$140,$CQ$205^A128,IF(A128='Données projet'!$A$140,'Données projet'!$B$140,CT127+CS128-DB127)))</f>
        <v>363.96000000000072</v>
      </c>
      <c r="CU128" s="17">
        <f>CT128*VLOOKUP('Données projet'!$B$13,Paramètres!$A$1:$I$89,3,0)*VLOOKUP('Données projet'!$B$13,Paramètres!$A$1:$I$89,5,0)</f>
        <v>352.02211200000067</v>
      </c>
      <c r="CV128" s="13">
        <f t="shared" si="95"/>
        <v>81.978745394600864</v>
      </c>
      <c r="CW128" s="20">
        <f t="shared" si="67"/>
        <v>755.88482662893102</v>
      </c>
      <c r="CX128" s="59">
        <f t="shared" si="68"/>
        <v>1049.2181599622643</v>
      </c>
      <c r="CY128" s="59">
        <f ca="1">AVERAGE(OFFSET($CX$3,0,0,'Données projet'!$E$13+1,1))-AVERAGE(OFFSET($H$3,0,0,'Données projet'!$E$13+1,1))</f>
        <v>467.11196088914556</v>
      </c>
      <c r="CZ128" s="59">
        <f t="shared" si="96"/>
        <v>208.53783609106262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67.312395358112383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67.312395358112383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8.0699999999999985</v>
      </c>
      <c r="DO128" s="12">
        <f>IF('Données projet'!$A$166&gt;35,DO127+DN128-DW127,IF(A128&lt;'Données projet'!$A$166,$DL$205^A128,IF(A128='Données projet'!$A$166,'Données projet'!$B$166,DO127+DN128-DW127)))</f>
        <v>363.96000000000072</v>
      </c>
      <c r="DP128" s="17">
        <f>DO128*VLOOKUP('Données projet'!$B$14,Paramètres!$A$1:$I$89,3,0)*VLOOKUP('Données projet'!$B$14,Paramètres!$A$1:$I$89,5,0)</f>
        <v>391.76654400000075</v>
      </c>
      <c r="DQ128" s="13">
        <f t="shared" si="97"/>
        <v>90.105443229988325</v>
      </c>
      <c r="DR128" s="20">
        <f t="shared" si="70"/>
        <v>839.26037775889756</v>
      </c>
      <c r="DS128" s="59">
        <f t="shared" si="71"/>
        <v>1132.5937110922309</v>
      </c>
      <c r="DT128" s="59">
        <f ca="1">AVERAGE(OFFSET($DS$3,0,0,'Données projet'!$E$14+1,1))-AVERAGE(OFFSET($H$3,0,0,'Données projet'!$E$14+1,1))</f>
        <v>531.65020827367698</v>
      </c>
      <c r="DU128" s="59">
        <f t="shared" si="98"/>
        <v>235.89413420278396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74.91218193080249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74.91218193080249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72.727199999999982</v>
      </c>
      <c r="D129" s="11">
        <f t="shared" si="86"/>
        <v>20.349203598669749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718.48451900727514</v>
      </c>
      <c r="H129" s="67">
        <f t="shared" si="56"/>
        <v>455.44140293434975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354.02374800000069</v>
      </c>
      <c r="P129" s="13">
        <f t="shared" si="87"/>
        <v>82.390490733660229</v>
      </c>
      <c r="Q129" s="20">
        <f t="shared" si="107"/>
        <v>760.08813246112607</v>
      </c>
      <c r="R129" s="59">
        <f t="shared" si="55"/>
        <v>1053.4214657944594</v>
      </c>
      <c r="S129" s="59">
        <f ca="1">AVERAGE(OFFSET($R$3,0,0,'Données projet'!$E$9+1,1))-AVERAGE(OFFSET($H$3,0,0,'Données projet'!$E$9+1,1))</f>
        <v>457.88065872594228</v>
      </c>
      <c r="T129" s="59">
        <f t="shared" si="88"/>
        <v>204.62439362068329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64.928046142588144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64.928046142588144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1016.8433584290497</v>
      </c>
      <c r="AN129" s="59">
        <f ca="1">AVERAGE(OFFSET($AM$3,0,0,'Données projet'!$E$10+1,1))-AVERAGE(OFFSET($H$3,0,0,'Données projet'!$E$10+1,1))</f>
        <v>430.16825592717629</v>
      </c>
      <c r="AO129" s="59">
        <f t="shared" si="90"/>
        <v>192.87542067077248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2.7899999999999991</v>
      </c>
      <c r="BD129" s="12">
        <f>IF('Données projet'!$A$88&gt;35,BD128+BC129-BL128,IF(A129&lt;'Données projet'!$A$88,$BA$205^A129,IF(A129='Données projet'!$A$88,'Données projet'!$B$88,BD128+BC129-BL128)))</f>
        <v>127.13999999999997</v>
      </c>
      <c r="BE129" s="13">
        <f>BD129*VLOOKUP('Données projet'!$B$11,Paramètres!$A$1:$I$89,3,0)*VLOOKUP('Données projet'!$B$11,Paramètres!$A$1:$I$89,5,0)</f>
        <v>107.10273599999999</v>
      </c>
      <c r="BF129" s="13">
        <f t="shared" si="91"/>
        <v>28.647309778652222</v>
      </c>
      <c r="BG129" s="20">
        <f t="shared" si="61"/>
        <v>236.43132973115257</v>
      </c>
      <c r="BH129" s="59">
        <f t="shared" si="62"/>
        <v>529.76466306448583</v>
      </c>
      <c r="BI129" s="59">
        <f ca="1">AVERAGE(OFFSET($BH$3,0,0,'Données projet'!$E$11+1,1))-AVERAGE(OFFSET($H$3,0,0,'Données projet'!$E$11+1,1))</f>
        <v>243.94505553629301</v>
      </c>
      <c r="BJ129" s="59">
        <f t="shared" si="92"/>
        <v>173.05364940250229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95.522094092342854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95.522094092342854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1.7053025658242404E-13</v>
      </c>
      <c r="BZ129" s="13">
        <f>BY129*VLOOKUP('Données projet'!$B$12,Paramètres!$A$1:$I$89,3,0)*VLOOKUP('Données projet'!$B$12,Paramètres!$A$1:$I$89,5,0)</f>
        <v>1.1173142411280423E-13</v>
      </c>
      <c r="CA129" s="13">
        <f t="shared" si="93"/>
        <v>1.6569896290553793E-12</v>
      </c>
      <c r="CB129" s="20">
        <f t="shared" si="64"/>
        <v>3.0805225009345862E-12</v>
      </c>
      <c r="CC129" s="59">
        <f t="shared" si="65"/>
        <v>293.33333333333638</v>
      </c>
      <c r="CD129" s="59">
        <f ca="1">AVERAGE(OFFSET($CC$3,0,0,'Données projet'!$E$12+1,1))-AVERAGE(OFFSET($H$3,0,0,'Données projet'!$E$12+1,1))</f>
        <v>140.9558843244115</v>
      </c>
      <c r="CE129" s="59">
        <f t="shared" si="94"/>
        <v>158.88947216184619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27.095784058387952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27.095784058387952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8.0699999999999985</v>
      </c>
      <c r="CT129" s="12">
        <f>IF('Données projet'!$A$140&gt;35,CT128+CS129-DB128,IF(A129&lt;'Données projet'!$A$140,$CQ$205^A129,IF(A129='Données projet'!$A$140,'Données projet'!$B$140,CT128+CS129-DB128)))</f>
        <v>372.03000000000071</v>
      </c>
      <c r="CU129" s="17">
        <f>CT129*VLOOKUP('Données projet'!$B$13,Paramètres!$A$1:$I$89,3,0)*VLOOKUP('Données projet'!$B$13,Paramètres!$A$1:$I$89,5,0)</f>
        <v>359.82741600000071</v>
      </c>
      <c r="CV129" s="13">
        <f t="shared" si="95"/>
        <v>83.582805473365028</v>
      </c>
      <c r="CW129" s="20">
        <f t="shared" si="67"/>
        <v>772.27280239944514</v>
      </c>
      <c r="CX129" s="59">
        <f t="shared" si="68"/>
        <v>1065.6061357327785</v>
      </c>
      <c r="CY129" s="59">
        <f ca="1">AVERAGE(OFFSET($CX$3,0,0,'Données projet'!$E$13+1,1))-AVERAGE(OFFSET($H$3,0,0,'Données projet'!$E$13+1,1))</f>
        <v>467.11196088914556</v>
      </c>
      <c r="CZ129" s="59">
        <f t="shared" si="96"/>
        <v>208.53783609106262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65.992440341646969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65.992440341646969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8.0699999999999985</v>
      </c>
      <c r="DO129" s="12">
        <f>IF('Données projet'!$A$166&gt;35,DO128+DN129-DW128,IF(A129&lt;'Données projet'!$A$166,$DL$205^A129,IF(A129='Données projet'!$A$166,'Données projet'!$B$166,DO128+DN129-DW128)))</f>
        <v>372.03000000000071</v>
      </c>
      <c r="DP129" s="17">
        <f>DO129*VLOOKUP('Données projet'!$B$14,Paramètres!$A$1:$I$89,3,0)*VLOOKUP('Données projet'!$B$14,Paramètres!$A$1:$I$89,5,0)</f>
        <v>400.45309200000077</v>
      </c>
      <c r="DQ129" s="13">
        <f t="shared" si="97"/>
        <v>91.868516617716708</v>
      </c>
      <c r="DR129" s="20">
        <f t="shared" si="70"/>
        <v>857.46013500919116</v>
      </c>
      <c r="DS129" s="59">
        <f t="shared" si="71"/>
        <v>1150.7934683425244</v>
      </c>
      <c r="DT129" s="59">
        <f ca="1">AVERAGE(OFFSET($DS$3,0,0,'Données projet'!$E$14+1,1))-AVERAGE(OFFSET($H$3,0,0,'Données projet'!$E$14+1,1))</f>
        <v>531.65020827367698</v>
      </c>
      <c r="DU129" s="59">
        <f t="shared" si="98"/>
        <v>235.89413420278396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73.443199735058727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73.443199735058727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73.304399999999987</v>
      </c>
      <c r="D130" s="11">
        <f t="shared" si="86"/>
        <v>20.491840705192942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724.04115632078754</v>
      </c>
      <c r="H130" s="67">
        <f t="shared" si="56"/>
        <v>456.69511922821096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361.70316000000065</v>
      </c>
      <c r="P130" s="13">
        <f t="shared" si="87"/>
        <v>83.967681128671643</v>
      </c>
      <c r="Q130" s="20">
        <f t="shared" si="107"/>
        <v>776.21004829910419</v>
      </c>
      <c r="R130" s="59">
        <f t="shared" si="55"/>
        <v>1069.5433816324376</v>
      </c>
      <c r="S130" s="59">
        <f ca="1">AVERAGE(OFFSET($R$3,0,0,'Données projet'!$E$9+1,1))-AVERAGE(OFFSET($H$3,0,0,'Données projet'!$E$9+1,1))</f>
        <v>457.88065872594228</v>
      </c>
      <c r="T130" s="59">
        <f t="shared" si="88"/>
        <v>204.62439362068329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63.654846759929747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63.654846759929747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1032.1877701715105</v>
      </c>
      <c r="AN130" s="59">
        <f ca="1">AVERAGE(OFFSET($AM$3,0,0,'Données projet'!$E$10+1,1))-AVERAGE(OFFSET($H$3,0,0,'Données projet'!$E$10+1,1))</f>
        <v>430.16825592717629</v>
      </c>
      <c r="AO130" s="59">
        <f t="shared" si="90"/>
        <v>192.87542067077248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129.93</v>
      </c>
      <c r="BB130" s="12">
        <f>VLOOKUP(A130,'Données projet'!$A$87:$I$107,9,0)</f>
        <v>2.7899999999999991</v>
      </c>
      <c r="BC130" s="12">
        <f t="array" ref="BC130">INDEX(BB:BB,MIN(IF(ISNUMBER(BB130:BB326),ROW(BB130:BB326),"")))</f>
        <v>2.7899999999999991</v>
      </c>
      <c r="BD130" s="12">
        <f>IF('Données projet'!$A$88&gt;35,BD129+BC130-BL129,IF(A130&lt;'Données projet'!$A$88,$BA$205^A130,IF(A130='Données projet'!$A$88,'Données projet'!$B$88,BD129+BC130-BL129)))</f>
        <v>129.92999999999998</v>
      </c>
      <c r="BE130" s="13">
        <f>BD130*VLOOKUP('Données projet'!$B$11,Paramètres!$A$1:$I$89,3,0)*VLOOKUP('Données projet'!$B$11,Paramètres!$A$1:$I$89,5,0)</f>
        <v>109.45303200000001</v>
      </c>
      <c r="BF130" s="13">
        <f t="shared" si="91"/>
        <v>29.202077281958992</v>
      </c>
      <c r="BG130" s="20">
        <f t="shared" si="61"/>
        <v>241.4909819994119</v>
      </c>
      <c r="BH130" s="59">
        <f t="shared" si="62"/>
        <v>534.82431533274519</v>
      </c>
      <c r="BI130" s="59">
        <f ca="1">AVERAGE(OFFSET($BH$3,0,0,'Données projet'!$E$11+1,1))-AVERAGE(OFFSET($H$3,0,0,'Données projet'!$E$11+1,1))</f>
        <v>243.94505553629301</v>
      </c>
      <c r="BJ130" s="59">
        <f t="shared" si="92"/>
        <v>173.05364940250229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39.56</v>
      </c>
      <c r="BM130" s="16">
        <f>IF(ISNA(VLOOKUP(A130,'Données projet'!$A$87:$I$107,5,0)),0%,VLOOKUP(A130,'Données projet'!$A$87:$I$107,5,0)*VLOOKUP('Données projet'!$B$11,Paramètres!$A$1:$I$89,7,0))</f>
        <v>0.25800000000000001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103.15373070529095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103.15373070529095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1.7053025658242404E-13</v>
      </c>
      <c r="BZ130" s="13">
        <f>BY130*VLOOKUP('Données projet'!$B$12,Paramètres!$A$1:$I$89,3,0)*VLOOKUP('Données projet'!$B$12,Paramètres!$A$1:$I$89,5,0)</f>
        <v>1.1173142411280423E-13</v>
      </c>
      <c r="CA130" s="13">
        <f t="shared" si="93"/>
        <v>1.6569896290553793E-12</v>
      </c>
      <c r="CB130" s="20">
        <f t="shared" si="64"/>
        <v>3.0805225009345862E-12</v>
      </c>
      <c r="CC130" s="59">
        <f t="shared" si="65"/>
        <v>293.33333333333638</v>
      </c>
      <c r="CD130" s="59">
        <f ca="1">AVERAGE(OFFSET($CC$3,0,0,'Données projet'!$E$12+1,1))-AVERAGE(OFFSET($H$3,0,0,'Données projet'!$E$12+1,1))</f>
        <v>140.9558843244115</v>
      </c>
      <c r="CE130" s="59">
        <f t="shared" si="94"/>
        <v>158.88947216184619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26.564452259799353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26.564452259799353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8.0699999999999985</v>
      </c>
      <c r="CT130" s="12">
        <f>IF('Données projet'!$A$140&gt;35,CT129+CS130-DB129,IF(A130&lt;'Données projet'!$A$140,$CQ$205^A130,IF(A130='Données projet'!$A$140,'Données projet'!$B$140,CT129+CS130-DB129)))</f>
        <v>380.1000000000007</v>
      </c>
      <c r="CU130" s="17">
        <f>CT130*VLOOKUP('Données projet'!$B$13,Paramètres!$A$1:$I$89,3,0)*VLOOKUP('Données projet'!$B$13,Paramètres!$A$1:$I$89,5,0)</f>
        <v>367.63272000000069</v>
      </c>
      <c r="CV130" s="13">
        <f t="shared" si="95"/>
        <v>85.182820193593429</v>
      </c>
      <c r="CW130" s="20">
        <f t="shared" si="67"/>
        <v>788.65373250384312</v>
      </c>
      <c r="CX130" s="59">
        <f t="shared" si="68"/>
        <v>1081.9870658371765</v>
      </c>
      <c r="CY130" s="59">
        <f ca="1">AVERAGE(OFFSET($CX$3,0,0,'Données projet'!$E$13+1,1))-AVERAGE(OFFSET($H$3,0,0,'Données projet'!$E$13+1,1))</f>
        <v>467.11196088914556</v>
      </c>
      <c r="CZ130" s="59">
        <f t="shared" si="96"/>
        <v>208.53783609106262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64.698368837961382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64.698368837961382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8.0699999999999985</v>
      </c>
      <c r="DO130" s="12">
        <f>IF('Données projet'!$A$166&gt;35,DO129+DN130-DW129,IF(A130&lt;'Données projet'!$A$166,$DL$205^A130,IF(A130='Données projet'!$A$166,'Données projet'!$B$166,DO129+DN130-DW129)))</f>
        <v>380.1000000000007</v>
      </c>
      <c r="DP130" s="17">
        <f>DO130*VLOOKUP('Données projet'!$B$14,Paramètres!$A$1:$I$89,3,0)*VLOOKUP('Données projet'!$B$14,Paramètres!$A$1:$I$89,5,0)</f>
        <v>409.13964000000072</v>
      </c>
      <c r="DQ130" s="13">
        <f t="shared" si="97"/>
        <v>93.627143623372021</v>
      </c>
      <c r="DR130" s="20">
        <f t="shared" si="70"/>
        <v>875.65214814404089</v>
      </c>
      <c r="DS130" s="59">
        <f t="shared" si="71"/>
        <v>1168.9854814773742</v>
      </c>
      <c r="DT130" s="59">
        <f ca="1">AVERAGE(OFFSET($DS$3,0,0,'Données projet'!$E$14+1,1))-AVERAGE(OFFSET($H$3,0,0,'Données projet'!$E$14+1,1))</f>
        <v>531.65020827367698</v>
      </c>
      <c r="DU130" s="59">
        <f t="shared" si="98"/>
        <v>235.89413420278396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72.003023384182839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72.003023384182839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73.881599999999992</v>
      </c>
      <c r="D131" s="11">
        <f t="shared" si="86"/>
        <v>20.634347138217649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729.59678492659225</v>
      </c>
      <c r="H131" s="67">
        <f t="shared" si="56"/>
        <v>457.9486079323957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369.38257200000066</v>
      </c>
      <c r="P131" s="13">
        <f t="shared" si="87"/>
        <v>85.540978287700739</v>
      </c>
      <c r="Q131" s="20">
        <f t="shared" ref="Q131:Q153" si="108">(O131+P131)*0.475*44/12</f>
        <v>792.32518341774664</v>
      </c>
      <c r="R131" s="59">
        <f t="shared" ref="R131:R194" si="109">Q131+(I131+J131)*44/12</f>
        <v>1085.65851675108</v>
      </c>
      <c r="S131" s="59">
        <f ca="1">AVERAGE(OFFSET($R$3,0,0,'Données projet'!$E$9+1,1))-AVERAGE(OFFSET($H$3,0,0,'Données projet'!$E$9+1,1))</f>
        <v>457.88065872594228</v>
      </c>
      <c r="T131" s="59">
        <f t="shared" si="88"/>
        <v>204.62439362068329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62.406614040590334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62.406614040590334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1047.5256967150535</v>
      </c>
      <c r="AN131" s="59">
        <f ca="1">AVERAGE(OFFSET($AM$3,0,0,'Données projet'!$E$10+1,1))-AVERAGE(OFFSET($H$3,0,0,'Données projet'!$E$10+1,1))</f>
        <v>430.16825592717629</v>
      </c>
      <c r="AO131" s="59">
        <f t="shared" si="90"/>
        <v>192.87542067077248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2.0666666666666629</v>
      </c>
      <c r="BD131" s="12">
        <f>IF('Données projet'!$A$88&gt;35,BD130+BC131-BL130,IF(A131&lt;'Données projet'!$A$88,$BA$205^A131,IF(A131='Données projet'!$A$88,'Données projet'!$B$88,BD130+BC131-BL130)))</f>
        <v>92.436666666666639</v>
      </c>
      <c r="BE131" s="13">
        <f>BD131*VLOOKUP('Données projet'!$B$11,Paramètres!$A$1:$I$89,3,0)*VLOOKUP('Données projet'!$B$11,Paramètres!$A$1:$I$89,5,0)</f>
        <v>77.868647999999993</v>
      </c>
      <c r="BF131" s="13">
        <f t="shared" si="91"/>
        <v>21.615241321016015</v>
      </c>
      <c r="BG131" s="20">
        <f t="shared" si="61"/>
        <v>173.26777390076953</v>
      </c>
      <c r="BH131" s="59">
        <f t="shared" si="62"/>
        <v>466.60110723410287</v>
      </c>
      <c r="BI131" s="59">
        <f ca="1">AVERAGE(OFFSET($BH$3,0,0,'Données projet'!$E$11+1,1))-AVERAGE(OFFSET($H$3,0,0,'Données projet'!$E$11+1,1))</f>
        <v>243.94505553629301</v>
      </c>
      <c r="BJ131" s="59">
        <f t="shared" si="92"/>
        <v>173.05364940250229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101.13094896372334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101.13094896372334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1.7053025658242404E-13</v>
      </c>
      <c r="BZ131" s="13">
        <f>BY131*VLOOKUP('Données projet'!$B$12,Paramètres!$A$1:$I$89,3,0)*VLOOKUP('Données projet'!$B$12,Paramètres!$A$1:$I$89,5,0)</f>
        <v>1.1173142411280423E-13</v>
      </c>
      <c r="CA131" s="13">
        <f t="shared" si="93"/>
        <v>1.6569896290553793E-12</v>
      </c>
      <c r="CB131" s="20">
        <f t="shared" si="64"/>
        <v>3.0805225009345862E-12</v>
      </c>
      <c r="CC131" s="59">
        <f t="shared" si="65"/>
        <v>293.33333333333638</v>
      </c>
      <c r="CD131" s="59">
        <f ca="1">AVERAGE(OFFSET($CC$3,0,0,'Données projet'!$E$12+1,1))-AVERAGE(OFFSET($H$3,0,0,'Données projet'!$E$12+1,1))</f>
        <v>140.9558843244115</v>
      </c>
      <c r="CE131" s="59">
        <f t="shared" si="94"/>
        <v>158.88947216184619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26.043539553700679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26.043539553700679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8.0699999999999985</v>
      </c>
      <c r="CT131" s="12">
        <f>IF('Données projet'!$A$140&gt;35,CT130+CS131-DB130,IF(A131&lt;'Données projet'!$A$140,$CQ$205^A131,IF(A131='Données projet'!$A$140,'Données projet'!$B$140,CT130+CS131-DB130)))</f>
        <v>388.1700000000007</v>
      </c>
      <c r="CU131" s="17">
        <f>CT131*VLOOKUP('Données projet'!$B$13,Paramètres!$A$1:$I$89,3,0)*VLOOKUP('Données projet'!$B$13,Paramètres!$A$1:$I$89,5,0)</f>
        <v>375.43802400000067</v>
      </c>
      <c r="CV131" s="13">
        <f t="shared" si="95"/>
        <v>86.778885336839423</v>
      </c>
      <c r="CW131" s="20">
        <f t="shared" si="67"/>
        <v>805.02778376166316</v>
      </c>
      <c r="CX131" s="59">
        <f t="shared" si="68"/>
        <v>1098.3611170949964</v>
      </c>
      <c r="CY131" s="59">
        <f ca="1">AVERAGE(OFFSET($CX$3,0,0,'Données projet'!$E$13+1,1))-AVERAGE(OFFSET($H$3,0,0,'Données projet'!$E$13+1,1))</f>
        <v>467.11196088914556</v>
      </c>
      <c r="CZ131" s="59">
        <f t="shared" si="96"/>
        <v>208.53783609106262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63.429673287157392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63.429673287157392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8.0699999999999985</v>
      </c>
      <c r="DO131" s="12">
        <f>IF('Données projet'!$A$166&gt;35,DO130+DN131-DW130,IF(A131&lt;'Données projet'!$A$166,$DL$205^A131,IF(A131='Données projet'!$A$166,'Données projet'!$B$166,DO130+DN131-DW130)))</f>
        <v>388.1700000000007</v>
      </c>
      <c r="DP131" s="17">
        <f>DO131*VLOOKUP('Données projet'!$B$14,Paramètres!$A$1:$I$89,3,0)*VLOOKUP('Données projet'!$B$14,Paramètres!$A$1:$I$89,5,0)</f>
        <v>417.82618800000074</v>
      </c>
      <c r="DQ131" s="13">
        <f t="shared" si="97"/>
        <v>95.381429523502177</v>
      </c>
      <c r="DR131" s="20">
        <f t="shared" si="70"/>
        <v>893.83660052010089</v>
      </c>
      <c r="DS131" s="59">
        <f t="shared" si="71"/>
        <v>1187.1699338534343</v>
      </c>
      <c r="DT131" s="59">
        <f ca="1">AVERAGE(OFFSET($DS$3,0,0,'Données projet'!$E$14+1,1))-AVERAGE(OFFSET($H$3,0,0,'Données projet'!$E$14+1,1))</f>
        <v>531.65020827367698</v>
      </c>
      <c r="DU131" s="59">
        <f t="shared" si="98"/>
        <v>235.89413420278396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70.591088013126779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70.591088013126779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74.458799999999997</v>
      </c>
      <c r="D132" s="11">
        <f t="shared" si="86"/>
        <v>20.77672403696695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735.15141361869235</v>
      </c>
      <c r="H132" s="67">
        <f t="shared" ref="H132:H195" si="110">(B132+E132+F132)*44/12+(C132+D132)*0.475*44/12</f>
        <v>459.20187103105076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377.06198400000068</v>
      </c>
      <c r="P132" s="13">
        <f t="shared" si="87"/>
        <v>87.11047247585725</v>
      </c>
      <c r="Q132" s="20">
        <f t="shared" si="108"/>
        <v>808.43369502878579</v>
      </c>
      <c r="R132" s="59">
        <f t="shared" si="109"/>
        <v>1101.7670283621192</v>
      </c>
      <c r="S132" s="59">
        <f ca="1">AVERAGE(OFFSET($R$3,0,0,'Données projet'!$E$9+1,1))-AVERAGE(OFFSET($H$3,0,0,'Données projet'!$E$9+1,1))</f>
        <v>457.88065872594228</v>
      </c>
      <c r="T132" s="59">
        <f t="shared" si="88"/>
        <v>204.62439362068329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61.182858403530389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61.182858403530389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1062.8572884197381</v>
      </c>
      <c r="AN132" s="59">
        <f ca="1">AVERAGE(OFFSET($AM$3,0,0,'Données projet'!$E$10+1,1))-AVERAGE(OFFSET($H$3,0,0,'Données projet'!$E$10+1,1))</f>
        <v>430.16825592717629</v>
      </c>
      <c r="AO132" s="59">
        <f t="shared" si="90"/>
        <v>192.87542067077248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2.0666666666666629</v>
      </c>
      <c r="BD132" s="12">
        <f>IF('Données projet'!$A$88&gt;35,BD131+BC132-BL131,IF(A132&lt;'Données projet'!$A$88,$BA$205^A132,IF(A132='Données projet'!$A$88,'Données projet'!$B$88,BD131+BC132-BL131)))</f>
        <v>94.503333333333302</v>
      </c>
      <c r="BE132" s="13">
        <f>BD132*VLOOKUP('Données projet'!$B$11,Paramètres!$A$1:$I$89,3,0)*VLOOKUP('Données projet'!$B$11,Paramètres!$A$1:$I$89,5,0)</f>
        <v>79.60960799999998</v>
      </c>
      <c r="BF132" s="13">
        <f t="shared" si="91"/>
        <v>22.04170409618445</v>
      </c>
      <c r="BG132" s="20">
        <f t="shared" ref="BG132:BG153" si="115">(BE132+BF132)*0.475*44/12</f>
        <v>177.0427019008545</v>
      </c>
      <c r="BH132" s="59">
        <f t="shared" ref="BH132:BH195" si="116">BG132+(AY132+AZ132)*44/12</f>
        <v>470.37603523418784</v>
      </c>
      <c r="BI132" s="59">
        <f ca="1">AVERAGE(OFFSET($BH$3,0,0,'Données projet'!$E$11+1,1))-AVERAGE(OFFSET($H$3,0,0,'Données projet'!$E$11+1,1))</f>
        <v>243.94505553629301</v>
      </c>
      <c r="BJ132" s="59">
        <f t="shared" si="92"/>
        <v>173.05364940250229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99.147832738332824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99.147832738332824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1.7053025658242404E-13</v>
      </c>
      <c r="BZ132" s="13">
        <f>BY132*VLOOKUP('Données projet'!$B$12,Paramètres!$A$1:$I$89,3,0)*VLOOKUP('Données projet'!$B$12,Paramètres!$A$1:$I$89,5,0)</f>
        <v>1.1173142411280423E-13</v>
      </c>
      <c r="CA132" s="13">
        <f t="shared" si="93"/>
        <v>1.6569896290553793E-12</v>
      </c>
      <c r="CB132" s="20">
        <f t="shared" ref="CB132:CB153" si="118">(BZ132+CA132)*0.475*44/12</f>
        <v>3.0805225009345862E-12</v>
      </c>
      <c r="CC132" s="59">
        <f t="shared" ref="CC132:CC195" si="119">CB132+(BT132+BU132)*44/12</f>
        <v>293.33333333333638</v>
      </c>
      <c r="CD132" s="59">
        <f ca="1">AVERAGE(OFFSET($CC$3,0,0,'Données projet'!$E$12+1,1))-AVERAGE(OFFSET($H$3,0,0,'Données projet'!$E$12+1,1))</f>
        <v>140.9558843244115</v>
      </c>
      <c r="CE132" s="59">
        <f t="shared" si="94"/>
        <v>158.88947216184619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25.532841628043222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25.532841628043222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8.0699999999999985</v>
      </c>
      <c r="CT132" s="12">
        <f>IF('Données projet'!$A$140&gt;35,CT131+CS132-DB131,IF(A132&lt;'Données projet'!$A$140,$CQ$205^A132,IF(A132='Données projet'!$A$140,'Données projet'!$B$140,CT131+CS132-DB131)))</f>
        <v>396.24000000000069</v>
      </c>
      <c r="CU132" s="17">
        <f>CT132*VLOOKUP('Données projet'!$B$13,Paramètres!$A$1:$I$89,3,0)*VLOOKUP('Données projet'!$B$13,Paramètres!$A$1:$I$89,5,0)</f>
        <v>383.2433280000007</v>
      </c>
      <c r="CV132" s="13">
        <f t="shared" si="95"/>
        <v>88.371092474485081</v>
      </c>
      <c r="CW132" s="20">
        <f t="shared" ref="CW132:CW153" si="121">(CU132+CV132)*0.475*44/12</f>
        <v>821.39511565972941</v>
      </c>
      <c r="CX132" s="59">
        <f t="shared" ref="CX132:CX195" si="122">CW132+(CO132+CP132)*44/12</f>
        <v>1114.7284489930628</v>
      </c>
      <c r="CY132" s="59">
        <f ca="1">AVERAGE(OFFSET($CX$3,0,0,'Données projet'!$E$13+1,1))-AVERAGE(OFFSET($H$3,0,0,'Données projet'!$E$13+1,1))</f>
        <v>467.11196088914556</v>
      </c>
      <c r="CZ132" s="59">
        <f t="shared" si="96"/>
        <v>208.53783609106262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62.185856082276793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62.185856082276793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8.0699999999999985</v>
      </c>
      <c r="DO132" s="12">
        <f>IF('Données projet'!$A$166&gt;35,DO131+DN132-DW131,IF(A132&lt;'Données projet'!$A$166,$DL$205^A132,IF(A132='Données projet'!$A$166,'Données projet'!$B$166,DO131+DN132-DW131)))</f>
        <v>396.24000000000069</v>
      </c>
      <c r="DP132" s="17">
        <f>DO132*VLOOKUP('Données projet'!$B$14,Paramètres!$A$1:$I$89,3,0)*VLOOKUP('Données projet'!$B$14,Paramètres!$A$1:$I$89,5,0)</f>
        <v>426.5127360000007</v>
      </c>
      <c r="DQ132" s="13">
        <f t="shared" si="97"/>
        <v>97.131474967122273</v>
      </c>
      <c r="DR132" s="20">
        <f t="shared" ref="DR132:DR153" si="124">(DP132+DQ132)*0.475*44/12</f>
        <v>912.01366743440576</v>
      </c>
      <c r="DS132" s="59">
        <f t="shared" ref="DS132:DS195" si="125">DR132+(DJ132+DK132)*44/12</f>
        <v>1205.347000767739</v>
      </c>
      <c r="DT132" s="59">
        <f ca="1">AVERAGE(OFFSET($DS$3,0,0,'Données projet'!$E$14+1,1))-AVERAGE(OFFSET($H$3,0,0,'Données projet'!$E$14+1,1))</f>
        <v>531.65020827367698</v>
      </c>
      <c r="DU132" s="59">
        <f t="shared" si="98"/>
        <v>235.89413420278396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69.20683983350159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69.20683983350159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75.036000000000001</v>
      </c>
      <c r="D133" s="11">
        <f t="shared" ref="D133:D196" si="140">IFERROR(EXP(-1.0587+0.8836*LN(C133)+0.284),0)</f>
        <v>20.918972521981534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740.70505104687516</v>
      </c>
      <c r="H133" s="67">
        <f t="shared" si="110"/>
        <v>460.45491047578446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384.74139600000069</v>
      </c>
      <c r="P133" s="13">
        <f t="shared" ref="P133:P196" si="141">EXP(-1.0587+0.8836*LN(O133)+0.284)</f>
        <v>88.676250071306981</v>
      </c>
      <c r="Q133" s="20">
        <f t="shared" si="108"/>
        <v>824.53573357419418</v>
      </c>
      <c r="R133" s="59">
        <f t="shared" si="109"/>
        <v>1117.8690669075274</v>
      </c>
      <c r="S133" s="59">
        <f ca="1">AVERAGE(OFFSET($R$3,0,0,'Données projet'!$E$9+1,1))-AVERAGE(OFFSET($H$3,0,0,'Données projet'!$E$9+1,1))</f>
        <v>457.88065872594228</v>
      </c>
      <c r="T133" s="59">
        <f t="shared" ref="T133:T196" si="142">$T$3</f>
        <v>204.62439362068329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59.983099868095955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59.983099868095955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1078.182689170905</v>
      </c>
      <c r="AN133" s="59">
        <f ca="1">AVERAGE(OFFSET($AM$3,0,0,'Données projet'!$E$10+1,1))-AVERAGE(OFFSET($H$3,0,0,'Données projet'!$E$10+1,1))</f>
        <v>430.16825592717629</v>
      </c>
      <c r="AO133" s="59">
        <f t="shared" ref="AO133:AO196" si="144">$AO$3</f>
        <v>192.87542067077248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96.57</v>
      </c>
      <c r="BB133" s="12">
        <f>VLOOKUP(A133,'Données projet'!$A$87:$I$107,9,0)</f>
        <v>2.0666666666666629</v>
      </c>
      <c r="BC133" s="12">
        <f t="array" ref="BC133">INDEX(BB:BB,MIN(IF(ISNUMBER(BB133:BB329),ROW(BB133:BB329),"")))</f>
        <v>2.0666666666666629</v>
      </c>
      <c r="BD133" s="12">
        <f>IF('Données projet'!$A$88&gt;35,BD132+BC133-BL132,IF(A133&lt;'Données projet'!$A$88,$BA$205^A133,IF(A133='Données projet'!$A$88,'Données projet'!$B$88,BD132+BC133-BL132)))</f>
        <v>96.569999999999965</v>
      </c>
      <c r="BE133" s="13">
        <f>BD133*VLOOKUP('Données projet'!$B$11,Paramètres!$A$1:$I$89,3,0)*VLOOKUP('Données projet'!$B$11,Paramètres!$A$1:$I$89,5,0)</f>
        <v>81.350567999999981</v>
      </c>
      <c r="BF133" s="13">
        <f t="shared" ref="BF133:BF153" si="145">EXP(-1.0587+0.8836*LN(BE133)+0.284)</f>
        <v>22.467082591541637</v>
      </c>
      <c r="BG133" s="20">
        <f t="shared" si="115"/>
        <v>180.81574144693499</v>
      </c>
      <c r="BH133" s="59">
        <f t="shared" si="116"/>
        <v>474.14907478026828</v>
      </c>
      <c r="BI133" s="59">
        <f ca="1">AVERAGE(OFFSET($BH$3,0,0,'Données projet'!$E$11+1,1))-AVERAGE(OFFSET($H$3,0,0,'Données projet'!$E$11+1,1))</f>
        <v>243.94505553629301</v>
      </c>
      <c r="BJ133" s="59">
        <f t="shared" ref="BJ133:BJ196" si="146">$BJ$3</f>
        <v>173.05364940250229</v>
      </c>
      <c r="BK133" s="15">
        <f>IF(ISNA(VLOOKUP(A133,'Données projet'!$A$87:$I$107,3,0)),0,VLOOKUP(A133,'Données projet'!$A$87:$I$107,3,0))</f>
        <v>14</v>
      </c>
      <c r="BL133" s="15">
        <f>IF(ISNA(VLOOKUP(A133,'Données projet'!$A$87:$I$107,4,0)),0,VLOOKUP(A133,'Données projet'!$A$87:$I$107,4,0))</f>
        <v>96.57</v>
      </c>
      <c r="BM133" s="16">
        <f>IF(ISNA(VLOOKUP(A133,'Données projet'!$A$87:$I$107,5,0)),0%,VLOOKUP(A133,'Données projet'!$A$87:$I$107,5,0)*VLOOKUP('Données projet'!$B$11,Paramètres!$A$1:$I$89,7,0))</f>
        <v>0.25800000000000001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120.40571017934347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120.40571017934347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1.7053025658242404E-13</v>
      </c>
      <c r="BZ133" s="13">
        <f>BY133*VLOOKUP('Données projet'!$B$12,Paramètres!$A$1:$I$89,3,0)*VLOOKUP('Données projet'!$B$12,Paramètres!$A$1:$I$89,5,0)</f>
        <v>1.1173142411280423E-13</v>
      </c>
      <c r="CA133" s="13">
        <f t="shared" ref="CA133:CA153" si="147">EXP(-1.0587+0.8836*LN(BZ133)+0.284)</f>
        <v>1.6569896290553793E-12</v>
      </c>
      <c r="CB133" s="20">
        <f t="shared" si="118"/>
        <v>3.0805225009345862E-12</v>
      </c>
      <c r="CC133" s="59">
        <f t="shared" si="119"/>
        <v>293.33333333333638</v>
      </c>
      <c r="CD133" s="59">
        <f ca="1">AVERAGE(OFFSET($CC$3,0,0,'Données projet'!$E$12+1,1))-AVERAGE(OFFSET($H$3,0,0,'Données projet'!$E$12+1,1))</f>
        <v>140.9558843244115</v>
      </c>
      <c r="CE133" s="59">
        <f t="shared" ref="CE133:CE196" si="148">$CE$3</f>
        <v>158.88947216184619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25.032158177212931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25.032158177212931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8.0699999999999985</v>
      </c>
      <c r="CT133" s="12">
        <f>IF('Données projet'!$A$140&gt;35,CT132+CS133-DB132,IF(A133&lt;'Données projet'!$A$140,$CQ$205^A133,IF(A133='Données projet'!$A$140,'Données projet'!$B$140,CT132+CS133-DB132)))</f>
        <v>404.31000000000068</v>
      </c>
      <c r="CU133" s="17">
        <f>CT133*VLOOKUP('Données projet'!$B$13,Paramètres!$A$1:$I$89,3,0)*VLOOKUP('Données projet'!$B$13,Paramètres!$A$1:$I$89,5,0)</f>
        <v>391.04863200000068</v>
      </c>
      <c r="CV133" s="13">
        <f t="shared" ref="CV133:CV153" si="149">EXP(-1.0587+0.8836*LN(CU133)+0.284)</f>
        <v>89.959529234718644</v>
      </c>
      <c r="CW133" s="20">
        <f t="shared" si="121"/>
        <v>837.75588081713613</v>
      </c>
      <c r="CX133" s="59">
        <f t="shared" si="122"/>
        <v>1131.0892141504694</v>
      </c>
      <c r="CY133" s="59">
        <f ca="1">AVERAGE(OFFSET($CX$3,0,0,'Données projet'!$E$13+1,1))-AVERAGE(OFFSET($H$3,0,0,'Données projet'!$E$13+1,1))</f>
        <v>467.11196088914556</v>
      </c>
      <c r="CZ133" s="59">
        <f t="shared" ref="CZ133:CZ196" si="150">$CZ$3</f>
        <v>208.53783609106262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60.966429374130314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60.966429374130314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8.0699999999999985</v>
      </c>
      <c r="DO133" s="12">
        <f>IF('Données projet'!$A$166&gt;35,DO132+DN133-DW132,IF(A133&lt;'Données projet'!$A$166,$DL$205^A133,IF(A133='Données projet'!$A$166,'Données projet'!$B$166,DO132+DN133-DW132)))</f>
        <v>404.31000000000068</v>
      </c>
      <c r="DP133" s="17">
        <f>DO133*VLOOKUP('Données projet'!$B$14,Paramètres!$A$1:$I$89,3,0)*VLOOKUP('Données projet'!$B$14,Paramètres!$A$1:$I$89,5,0)</f>
        <v>435.19928400000077</v>
      </c>
      <c r="DQ133" s="13">
        <f t="shared" ref="DQ133:DQ153" si="151">EXP(-1.0587+0.8836*LN(DP133)+0.284)</f>
        <v>98.877376269157637</v>
      </c>
      <c r="DR133" s="20">
        <f t="shared" si="124"/>
        <v>930.18351663545093</v>
      </c>
      <c r="DS133" s="59">
        <f t="shared" si="125"/>
        <v>1223.5168499687843</v>
      </c>
      <c r="DT133" s="59">
        <f ca="1">AVERAGE(OFFSET($DS$3,0,0,'Données projet'!$E$14+1,1))-AVERAGE(OFFSET($H$3,0,0,'Données projet'!$E$14+1,1))</f>
        <v>531.65020827367698</v>
      </c>
      <c r="DU133" s="59">
        <f t="shared" ref="DU133:DU196" si="152">$DU$3</f>
        <v>235.89413420278396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67.849735916370832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67.849735916370832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75.613200000000006</v>
      </c>
      <c r="D134" s="11">
        <f t="shared" si="140"/>
        <v>21.061093695567294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746.2577057201687</v>
      </c>
      <c r="H134" s="67">
        <f t="shared" si="110"/>
        <v>461.70772818644639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392.42080800000065</v>
      </c>
      <c r="P134" s="13">
        <f t="shared" si="141"/>
        <v>90.238393806835077</v>
      </c>
      <c r="Q134" s="20">
        <f t="shared" si="108"/>
        <v>840.63144314690555</v>
      </c>
      <c r="R134" s="59">
        <f t="shared" si="109"/>
        <v>1133.9647764802389</v>
      </c>
      <c r="S134" s="59">
        <f ca="1">AVERAGE(OFFSET($R$3,0,0,'Données projet'!$E$9+1,1))-AVERAGE(OFFSET($H$3,0,0,'Données projet'!$E$9+1,1))</f>
        <v>457.88065872594228</v>
      </c>
      <c r="T134" s="59">
        <f t="shared" si="142"/>
        <v>204.62439362068329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58.806867865760935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58.806867865760935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1093.5020367815644</v>
      </c>
      <c r="AN134" s="59">
        <f ca="1">AVERAGE(OFFSET($AM$3,0,0,'Données projet'!$E$10+1,1))-AVERAGE(OFFSET($H$3,0,0,'Données projet'!$E$10+1,1))</f>
        <v>430.16825592717629</v>
      </c>
      <c r="AO134" s="59">
        <f t="shared" si="144"/>
        <v>192.87542067077248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-2.3942448024172337E-14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243.94505553629301</v>
      </c>
      <c r="BJ134" s="59">
        <f t="shared" si="146"/>
        <v>173.05364940250229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118.04462764295813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118.04462764295813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1.7053025658242404E-13</v>
      </c>
      <c r="BZ134" s="13">
        <f>BY134*VLOOKUP('Données projet'!$B$12,Paramètres!$A$1:$I$89,3,0)*VLOOKUP('Données projet'!$B$12,Paramètres!$A$1:$I$89,5,0)</f>
        <v>1.1173142411280423E-13</v>
      </c>
      <c r="CA134" s="13">
        <f t="shared" si="147"/>
        <v>1.6569896290553793E-12</v>
      </c>
      <c r="CB134" s="20">
        <f t="shared" si="118"/>
        <v>3.0805225009345862E-12</v>
      </c>
      <c r="CC134" s="59">
        <f t="shared" si="119"/>
        <v>293.33333333333638</v>
      </c>
      <c r="CD134" s="59">
        <f ca="1">AVERAGE(OFFSET($CC$3,0,0,'Données projet'!$E$12+1,1))-AVERAGE(OFFSET($H$3,0,0,'Données projet'!$E$12+1,1))</f>
        <v>140.9558843244115</v>
      </c>
      <c r="CE134" s="59">
        <f t="shared" si="148"/>
        <v>158.88947216184619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24.541292823466673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24.541292823466673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8.0699999999999985</v>
      </c>
      <c r="CT134" s="12">
        <f>IF('Données projet'!$A$140&gt;35,CT133+CS134-DB133,IF(A134&lt;'Données projet'!$A$140,$CQ$205^A134,IF(A134='Données projet'!$A$140,'Données projet'!$B$140,CT133+CS134-DB133)))</f>
        <v>412.38000000000068</v>
      </c>
      <c r="CU134" s="17">
        <f>CT134*VLOOKUP('Données projet'!$B$13,Paramètres!$A$1:$I$89,3,0)*VLOOKUP('Données projet'!$B$13,Paramètres!$A$1:$I$89,5,0)</f>
        <v>398.85393600000066</v>
      </c>
      <c r="CV134" s="13">
        <f t="shared" si="149"/>
        <v>91.54427954759349</v>
      </c>
      <c r="CW134" s="20">
        <f t="shared" si="121"/>
        <v>854.11022541205978</v>
      </c>
      <c r="CX134" s="59">
        <f t="shared" si="122"/>
        <v>1147.4435587453931</v>
      </c>
      <c r="CY134" s="59">
        <f ca="1">AVERAGE(OFFSET($CX$3,0,0,'Données projet'!$E$13+1,1))-AVERAGE(OFFSET($H$3,0,0,'Données projet'!$E$13+1,1))</f>
        <v>467.11196088914556</v>
      </c>
      <c r="CZ134" s="59">
        <f t="shared" si="150"/>
        <v>208.53783609106262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59.770914879953736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59.770914879953736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8.0699999999999985</v>
      </c>
      <c r="DO134" s="12">
        <f>IF('Données projet'!$A$166&gt;35,DO133+DN134-DW133,IF(A134&lt;'Données projet'!$A$166,$DL$205^A134,IF(A134='Données projet'!$A$166,'Données projet'!$B$166,DO133+DN134-DW133)))</f>
        <v>412.38000000000068</v>
      </c>
      <c r="DP134" s="17">
        <f>DO134*VLOOKUP('Données projet'!$B$14,Paramètres!$A$1:$I$89,3,0)*VLOOKUP('Données projet'!$B$14,Paramètres!$A$1:$I$89,5,0)</f>
        <v>443.88583200000068</v>
      </c>
      <c r="DQ134" s="13">
        <f t="shared" si="151"/>
        <v>100.61922567979573</v>
      </c>
      <c r="DR134" s="20">
        <f t="shared" si="124"/>
        <v>948.34630879231224</v>
      </c>
      <c r="DS134" s="59">
        <f t="shared" si="125"/>
        <v>1241.6796421256456</v>
      </c>
      <c r="DT134" s="59">
        <f ca="1">AVERAGE(OFFSET($DS$3,0,0,'Données projet'!$E$14+1,1))-AVERAGE(OFFSET($H$3,0,0,'Données projet'!$E$14+1,1))</f>
        <v>531.65020827367698</v>
      </c>
      <c r="DU134" s="59">
        <f t="shared" si="152"/>
        <v>235.89413420278396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66.519243979303354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66.519243979303354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76.190400000000011</v>
      </c>
      <c r="D135" s="11">
        <f t="shared" si="140"/>
        <v>21.203088642228987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751.80938601018886</v>
      </c>
      <c r="H135" s="67">
        <f t="shared" si="110"/>
        <v>462.96032605188213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400.1002200000006</v>
      </c>
      <c r="P135" s="13">
        <f t="shared" si="141"/>
        <v>91.796982991966303</v>
      </c>
      <c r="Q135" s="20">
        <f t="shared" si="108"/>
        <v>856.72096187767556</v>
      </c>
      <c r="R135" s="59">
        <f t="shared" si="109"/>
        <v>1150.0542952110088</v>
      </c>
      <c r="S135" s="59">
        <f ca="1">AVERAGE(OFFSET($R$3,0,0,'Données projet'!$E$9+1,1))-AVERAGE(OFFSET($H$3,0,0,'Données projet'!$E$9+1,1))</f>
        <v>457.88065872594228</v>
      </c>
      <c r="T135" s="59">
        <f t="shared" si="142"/>
        <v>204.62439362068329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57.653701055561029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57.653701055561029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1108.8154633623935</v>
      </c>
      <c r="AN135" s="59">
        <f ca="1">AVERAGE(OFFSET($AM$3,0,0,'Données projet'!$E$10+1,1))-AVERAGE(OFFSET($H$3,0,0,'Données projet'!$E$10+1,1))</f>
        <v>430.16825592717629</v>
      </c>
      <c r="AO135" s="59">
        <f t="shared" si="144"/>
        <v>192.87542067077248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-2.3942448024172337E-14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243.94505553629301</v>
      </c>
      <c r="BJ135" s="59">
        <f t="shared" si="146"/>
        <v>173.05364940250229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115.72984449499316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115.72984449499316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1.1173142411280423E-13</v>
      </c>
      <c r="CA135" s="13">
        <f t="shared" si="147"/>
        <v>1.6569896290553793E-12</v>
      </c>
      <c r="CB135" s="20">
        <f t="shared" si="118"/>
        <v>3.0805225009345862E-12</v>
      </c>
      <c r="CC135" s="59">
        <f t="shared" si="119"/>
        <v>293.33333333333638</v>
      </c>
      <c r="CD135" s="59">
        <f ca="1">AVERAGE(OFFSET($CC$3,0,0,'Données projet'!$E$12+1,1))-AVERAGE(OFFSET($H$3,0,0,'Données projet'!$E$12+1,1))</f>
        <v>140.9558843244115</v>
      </c>
      <c r="CE135" s="59">
        <f t="shared" si="148"/>
        <v>158.88947216184619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24.060053039909075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24.060053039909075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8.0699999999999985</v>
      </c>
      <c r="CT135" s="12">
        <f>IF('Données projet'!$A$140&gt;35,CT134+CS135-DB134,IF(A135&lt;'Données projet'!$A$140,$CQ$205^A135,IF(A135='Données projet'!$A$140,'Données projet'!$B$140,CT134+CS135-DB134)))</f>
        <v>420.45000000000067</v>
      </c>
      <c r="CU135" s="17">
        <f>CT135*VLOOKUP('Données projet'!$B$13,Paramètres!$A$1:$I$89,3,0)*VLOOKUP('Données projet'!$B$13,Paramètres!$A$1:$I$89,5,0)</f>
        <v>406.65924000000069</v>
      </c>
      <c r="CV135" s="13">
        <f t="shared" si="149"/>
        <v>93.125423870362923</v>
      </c>
      <c r="CW135" s="20">
        <f t="shared" si="121"/>
        <v>870.45828957421656</v>
      </c>
      <c r="CX135" s="59">
        <f t="shared" si="122"/>
        <v>1163.7916229075499</v>
      </c>
      <c r="CY135" s="59">
        <f ca="1">AVERAGE(OFFSET($CX$3,0,0,'Données projet'!$E$13+1,1))-AVERAGE(OFFSET($H$3,0,0,'Données projet'!$E$13+1,1))</f>
        <v>467.11196088914556</v>
      </c>
      <c r="CZ135" s="59">
        <f t="shared" si="150"/>
        <v>208.53783609106262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58.598843695816122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58.598843695816122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8.0699999999999985</v>
      </c>
      <c r="DO135" s="12">
        <f>IF('Données projet'!$A$166&gt;35,DO134+DN135-DW134,IF(A135&lt;'Données projet'!$A$166,$DL$205^A135,IF(A135='Données projet'!$A$166,'Données projet'!$B$166,DO134+DN135-DW134)))</f>
        <v>420.45000000000067</v>
      </c>
      <c r="DP135" s="17">
        <f>DO135*VLOOKUP('Données projet'!$B$14,Paramètres!$A$1:$I$89,3,0)*VLOOKUP('Données projet'!$B$14,Paramètres!$A$1:$I$89,5,0)</f>
        <v>452.57238000000075</v>
      </c>
      <c r="DQ135" s="13">
        <f t="shared" si="151"/>
        <v>102.35711163216003</v>
      </c>
      <c r="DR135" s="20">
        <f t="shared" si="124"/>
        <v>966.50219792601331</v>
      </c>
      <c r="DS135" s="59">
        <f t="shared" si="125"/>
        <v>1259.8355312593467</v>
      </c>
      <c r="DT135" s="59">
        <f ca="1">AVERAGE(OFFSET($DS$3,0,0,'Données projet'!$E$14+1,1))-AVERAGE(OFFSET($H$3,0,0,'Données projet'!$E$14+1,1))</f>
        <v>531.65020827367698</v>
      </c>
      <c r="DU135" s="59">
        <f t="shared" si="152"/>
        <v>235.89413420278396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65.214842177601824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65.214842177601824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76.767600000000016</v>
      </c>
      <c r="D136" s="11">
        <f t="shared" si="140"/>
        <v>21.344958429090301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757.36010015438126</v>
      </c>
      <c r="H136" s="67">
        <f t="shared" si="110"/>
        <v>464.21270593066561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407.77963200000062</v>
      </c>
      <c r="P136" s="13">
        <f t="shared" si="141"/>
        <v>93.352093717550304</v>
      </c>
      <c r="Q136" s="20">
        <f t="shared" si="108"/>
        <v>872.80442229140101</v>
      </c>
      <c r="R136" s="59">
        <f t="shared" si="109"/>
        <v>1166.1377556247344</v>
      </c>
      <c r="S136" s="59">
        <f ca="1">AVERAGE(OFFSET($R$3,0,0,'Données projet'!$E$9+1,1))-AVERAGE(OFFSET($H$3,0,0,'Données projet'!$E$9+1,1))</f>
        <v>457.88065872594228</v>
      </c>
      <c r="T136" s="59">
        <f t="shared" si="142"/>
        <v>204.62439362068329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56.523147143146836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56.523147143146836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1124.1230956625288</v>
      </c>
      <c r="AN136" s="59">
        <f ca="1">AVERAGE(OFFSET($AM$3,0,0,'Données projet'!$E$10+1,1))-AVERAGE(OFFSET($H$3,0,0,'Données projet'!$E$10+1,1))</f>
        <v>430.16825592717629</v>
      </c>
      <c r="AO136" s="59">
        <f t="shared" si="144"/>
        <v>192.87542067077248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-2.3942448024172337E-14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243.94505553629301</v>
      </c>
      <c r="BJ136" s="59">
        <f t="shared" si="146"/>
        <v>173.05364940250229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113.46045283268148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113.46045283268148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1.1173142411280423E-13</v>
      </c>
      <c r="CA136" s="13">
        <f t="shared" si="147"/>
        <v>1.6569896290553793E-12</v>
      </c>
      <c r="CB136" s="20">
        <f t="shared" si="118"/>
        <v>3.0805225009345862E-12</v>
      </c>
      <c r="CC136" s="59">
        <f t="shared" si="119"/>
        <v>293.33333333333638</v>
      </c>
      <c r="CD136" s="59">
        <f ca="1">AVERAGE(OFFSET($CC$3,0,0,'Données projet'!$E$12+1,1))-AVERAGE(OFFSET($H$3,0,0,'Données projet'!$E$12+1,1))</f>
        <v>140.9558843244115</v>
      </c>
      <c r="CE136" s="59">
        <f t="shared" si="148"/>
        <v>158.88947216184619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23.588250074979758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23.588250074979758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8.0699999999999985</v>
      </c>
      <c r="CT136" s="12">
        <f>IF('Données projet'!$A$140&gt;35,CT135+CS136-DB135,IF(A136&lt;'Données projet'!$A$140,$CQ$205^A136,IF(A136='Données projet'!$A$140,'Données projet'!$B$140,CT135+CS136-DB135)))</f>
        <v>428.52000000000066</v>
      </c>
      <c r="CU136" s="17">
        <f>CT136*VLOOKUP('Données projet'!$B$13,Paramètres!$A$1:$I$89,3,0)*VLOOKUP('Données projet'!$B$13,Paramètres!$A$1:$I$89,5,0)</f>
        <v>414.46454400000067</v>
      </c>
      <c r="CV136" s="13">
        <f t="shared" si="149"/>
        <v>94.703039395025982</v>
      </c>
      <c r="CW136" s="20">
        <f t="shared" si="121"/>
        <v>886.80020774633806</v>
      </c>
      <c r="CX136" s="59">
        <f t="shared" si="122"/>
        <v>1180.1335410796714</v>
      </c>
      <c r="CY136" s="59">
        <f ca="1">AVERAGE(OFFSET($CX$3,0,0,'Données projet'!$E$13+1,1))-AVERAGE(OFFSET($H$3,0,0,'Données projet'!$E$13+1,1))</f>
        <v>467.11196088914556</v>
      </c>
      <c r="CZ136" s="59">
        <f t="shared" si="150"/>
        <v>208.53783609106262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57.449756112706616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57.449756112706616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8.0699999999999985</v>
      </c>
      <c r="DO136" s="12">
        <f>IF('Données projet'!$A$166&gt;35,DO135+DN136-DW135,IF(A136&lt;'Données projet'!$A$166,$DL$205^A136,IF(A136='Données projet'!$A$166,'Données projet'!$B$166,DO135+DN136-DW135)))</f>
        <v>428.52000000000066</v>
      </c>
      <c r="DP136" s="17">
        <f>DO136*VLOOKUP('Données projet'!$B$14,Paramètres!$A$1:$I$89,3,0)*VLOOKUP('Données projet'!$B$14,Paramètres!$A$1:$I$89,5,0)</f>
        <v>461.25892800000065</v>
      </c>
      <c r="DQ136" s="13">
        <f t="shared" si="151"/>
        <v>104.09111897042844</v>
      </c>
      <c r="DR136" s="20">
        <f t="shared" si="124"/>
        <v>984.65133180683051</v>
      </c>
      <c r="DS136" s="59">
        <f t="shared" si="125"/>
        <v>1277.9846651401638</v>
      </c>
      <c r="DT136" s="59">
        <f ca="1">AVERAGE(OFFSET($DS$3,0,0,'Données projet'!$E$14+1,1))-AVERAGE(OFFSET($H$3,0,0,'Données projet'!$E$14+1,1))</f>
        <v>531.65020827367698</v>
      </c>
      <c r="DU136" s="59">
        <f t="shared" si="152"/>
        <v>235.89413420278396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63.936018899625118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63.936018899625118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77.344800000000021</v>
      </c>
      <c r="D137" s="11">
        <f t="shared" si="140"/>
        <v>21.486704106300962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762.90985625916539</v>
      </c>
      <c r="H137" s="67">
        <f t="shared" si="110"/>
        <v>465.46486965180753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415.45904400000069</v>
      </c>
      <c r="P137" s="13">
        <f t="shared" si="141"/>
        <v>94.903799044499678</v>
      </c>
      <c r="Q137" s="20">
        <f t="shared" si="108"/>
        <v>888.88195163583805</v>
      </c>
      <c r="R137" s="59">
        <f t="shared" si="109"/>
        <v>1182.2152849691713</v>
      </c>
      <c r="S137" s="59">
        <f ca="1">AVERAGE(OFFSET($R$3,0,0,'Données projet'!$E$9+1,1))-AVERAGE(OFFSET($H$3,0,0,'Données projet'!$E$9+1,1))</f>
        <v>457.88065872594228</v>
      </c>
      <c r="T137" s="59">
        <f t="shared" si="142"/>
        <v>204.62439362068329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70.328584397766335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70.328584397766335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1139.4250553839554</v>
      </c>
      <c r="AN137" s="59">
        <f ca="1">AVERAGE(OFFSET($AM$3,0,0,'Données projet'!$E$10+1,1))-AVERAGE(OFFSET($H$3,0,0,'Données projet'!$E$10+1,1))</f>
        <v>430.16825592717629</v>
      </c>
      <c r="AO137" s="59">
        <f t="shared" si="144"/>
        <v>192.87542067077248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-2.3942448024172337E-14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243.94505553629301</v>
      </c>
      <c r="BJ137" s="59">
        <f t="shared" si="146"/>
        <v>173.05364940250229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111.23556255667549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111.23556255667549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1.1173142411280423E-13</v>
      </c>
      <c r="CA137" s="13">
        <f t="shared" si="147"/>
        <v>1.6569896290553793E-12</v>
      </c>
      <c r="CB137" s="20">
        <f t="shared" si="118"/>
        <v>3.0805225009345862E-12</v>
      </c>
      <c r="CC137" s="59">
        <f t="shared" si="119"/>
        <v>293.33333333333638</v>
      </c>
      <c r="CD137" s="59">
        <f ca="1">AVERAGE(OFFSET($CC$3,0,0,'Données projet'!$E$12+1,1))-AVERAGE(OFFSET($H$3,0,0,'Données projet'!$E$12+1,1))</f>
        <v>140.9558843244115</v>
      </c>
      <c r="CE137" s="59">
        <f t="shared" si="148"/>
        <v>158.88947216184619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23.125698878421311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23.125698878421311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436.59</v>
      </c>
      <c r="CR137" s="12">
        <f>VLOOKUP(A137,'Données projet'!$A$139:$I$159,9,0)</f>
        <v>8.0699999999999985</v>
      </c>
      <c r="CS137" s="12">
        <f t="array" ref="CS137">INDEX(CR:CR,MIN(IF(ISNUMBER(CR137:CR333),ROW(CR137:CR333),"")))</f>
        <v>8.0699999999999985</v>
      </c>
      <c r="CT137" s="12">
        <f>IF('Données projet'!$A$140&gt;35,CT136+CS137-DB136,IF(A137&lt;'Données projet'!$A$140,$CQ$205^A137,IF(A137='Données projet'!$A$140,'Données projet'!$B$140,CT136+CS137-DB136)))</f>
        <v>436.59000000000066</v>
      </c>
      <c r="CU137" s="17">
        <f>CT137*VLOOKUP('Données projet'!$B$13,Paramètres!$A$1:$I$89,3,0)*VLOOKUP('Données projet'!$B$13,Paramètres!$A$1:$I$89,5,0)</f>
        <v>422.26984800000071</v>
      </c>
      <c r="CV137" s="13">
        <f t="shared" si="149"/>
        <v>96.277200239796969</v>
      </c>
      <c r="CW137" s="20">
        <f t="shared" si="121"/>
        <v>903.13610901764775</v>
      </c>
      <c r="CX137" s="59">
        <f t="shared" si="122"/>
        <v>1196.4694423509811</v>
      </c>
      <c r="CY137" s="59">
        <f ca="1">AVERAGE(OFFSET($CX$3,0,0,'Données projet'!$E$13+1,1))-AVERAGE(OFFSET($H$3,0,0,'Données projet'!$E$13+1,1))</f>
        <v>467.11196088914556</v>
      </c>
      <c r="CZ137" s="59">
        <f t="shared" si="150"/>
        <v>208.53783609106262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0.25800000000000001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71.481512010844469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71.481512010844469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436.59</v>
      </c>
      <c r="DM137" s="12">
        <f>VLOOKUP(A137,'Données projet'!$A$165:$I$185,9,0)</f>
        <v>8.0699999999999985</v>
      </c>
      <c r="DN137" s="12">
        <f t="array" ref="DN137">INDEX(DM:DM,MIN(IF(ISNUMBER(DM137:DM333),ROW(DM137:DM333),"")))</f>
        <v>8.0699999999999985</v>
      </c>
      <c r="DO137" s="12">
        <f>IF('Données projet'!$A$166&gt;35,DO136+DN137-DW136,IF(A137&lt;'Données projet'!$A$166,$DL$205^A137,IF(A137='Données projet'!$A$166,'Données projet'!$B$166,DO136+DN137-DW136)))</f>
        <v>436.59000000000066</v>
      </c>
      <c r="DP137" s="17">
        <f>DO137*VLOOKUP('Données projet'!$B$14,Paramètres!$A$1:$I$89,3,0)*VLOOKUP('Données projet'!$B$14,Paramètres!$A$1:$I$89,5,0)</f>
        <v>469.94547600000072</v>
      </c>
      <c r="DQ137" s="13">
        <f t="shared" si="151"/>
        <v>105.82132916028486</v>
      </c>
      <c r="DR137" s="20">
        <f t="shared" si="124"/>
        <v>1002.7938523208308</v>
      </c>
      <c r="DS137" s="59">
        <f t="shared" si="125"/>
        <v>1296.1271856541641</v>
      </c>
      <c r="DT137" s="59">
        <f ca="1">AVERAGE(OFFSET($DS$3,0,0,'Données projet'!$E$14+1,1))-AVERAGE(OFFSET($H$3,0,0,'Données projet'!$E$14+1,1))</f>
        <v>531.65020827367698</v>
      </c>
      <c r="DU137" s="59">
        <f t="shared" si="152"/>
        <v>235.89413420278396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54.95</v>
      </c>
      <c r="DX137" s="16">
        <f>IF(ISNA(VLOOKUP(A137,'Données projet'!$A$165:$I$185,5,0)),0%,VLOOKUP(A137,'Données projet'!$A$165:$I$185,5,0)*VLOOKUP('Données projet'!$B$14,Paramètres!$A$1:$I$89,7,0))</f>
        <v>0.25800000000000001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79.552005302391436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79.552005302391436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77.922000000000025</v>
      </c>
      <c r="D138" s="11">
        <f t="shared" si="140"/>
        <v>21.628326707431391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768.45866230297952</v>
      </c>
      <c r="H138" s="67">
        <f t="shared" si="110"/>
        <v>466.71681901544304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370.93272840000066</v>
      </c>
      <c r="P138" s="13">
        <f t="shared" si="141"/>
        <v>85.858097910086002</v>
      </c>
      <c r="Q138" s="20">
        <f t="shared" si="108"/>
        <v>795.57735582340092</v>
      </c>
      <c r="R138" s="59">
        <f t="shared" si="109"/>
        <v>1088.9106891567342</v>
      </c>
      <c r="S138" s="59">
        <f ca="1">AVERAGE(OFFSET($R$3,0,0,'Données projet'!$E$9+1,1))-AVERAGE(OFFSET($H$3,0,0,'Données projet'!$E$9+1,1))</f>
        <v>457.88065872594228</v>
      </c>
      <c r="T138" s="59">
        <f t="shared" si="142"/>
        <v>204.62439362068329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68.94948375392697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68.94948375392697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1050.6210180121789</v>
      </c>
      <c r="AN138" s="59">
        <f ca="1">AVERAGE(OFFSET($AM$3,0,0,'Données projet'!$E$10+1,1))-AVERAGE(OFFSET($H$3,0,0,'Données projet'!$E$10+1,1))</f>
        <v>430.16825592717629</v>
      </c>
      <c r="AO138" s="59">
        <f t="shared" si="144"/>
        <v>192.87542067077248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-2.3942448024172337E-14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243.94505553629301</v>
      </c>
      <c r="BJ138" s="59">
        <f t="shared" si="146"/>
        <v>173.05364940250229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109.05430102193291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109.05430102193291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1.1173142411280423E-13</v>
      </c>
      <c r="CA138" s="13">
        <f t="shared" si="147"/>
        <v>1.6569896290553793E-12</v>
      </c>
      <c r="CB138" s="20">
        <f t="shared" si="118"/>
        <v>3.0805225009345862E-12</v>
      </c>
      <c r="CC138" s="59">
        <f t="shared" si="119"/>
        <v>293.33333333333638</v>
      </c>
      <c r="CD138" s="59">
        <f ca="1">AVERAGE(OFFSET($CC$3,0,0,'Données projet'!$E$12+1,1))-AVERAGE(OFFSET($H$3,0,0,'Données projet'!$E$12+1,1))</f>
        <v>140.9558843244115</v>
      </c>
      <c r="CE138" s="59">
        <f t="shared" si="148"/>
        <v>158.88947216184619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22.672218028699003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22.672218028699003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8.1590000000000025</v>
      </c>
      <c r="CT138" s="12">
        <f>IF('Données projet'!$A$140&gt;35,CT137+CS138-DB137,IF(A138&lt;'Données projet'!$A$140,$CQ$205^A138,IF(A138='Données projet'!$A$140,'Données projet'!$B$140,CT137+CS138-DB137)))</f>
        <v>389.79900000000066</v>
      </c>
      <c r="CU138" s="17">
        <f>CT138*VLOOKUP('Données projet'!$B$13,Paramètres!$A$1:$I$89,3,0)*VLOOKUP('Données projet'!$B$13,Paramètres!$A$1:$I$89,5,0)</f>
        <v>377.01359280000065</v>
      </c>
      <c r="CV138" s="13">
        <f t="shared" si="149"/>
        <v>87.100594158738531</v>
      </c>
      <c r="CW138" s="20">
        <f t="shared" si="121"/>
        <v>808.33220895313741</v>
      </c>
      <c r="CX138" s="59">
        <f t="shared" si="122"/>
        <v>1101.6655422864708</v>
      </c>
      <c r="CY138" s="59">
        <f ca="1">AVERAGE(OFFSET($CX$3,0,0,'Données projet'!$E$13+1,1))-AVERAGE(OFFSET($H$3,0,0,'Données projet'!$E$13+1,1))</f>
        <v>467.11196088914556</v>
      </c>
      <c r="CZ138" s="59">
        <f t="shared" si="150"/>
        <v>208.53783609106262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70.079803159729053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70.079803159729053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8.1590000000000025</v>
      </c>
      <c r="DO138" s="12">
        <f>IF('Données projet'!$A$166&gt;35,DO137+DN138-DW137,IF(A138&lt;'Données projet'!$A$166,$DL$205^A138,IF(A138='Données projet'!$A$166,'Données projet'!$B$166,DO137+DN138-DW137)))</f>
        <v>389.79900000000066</v>
      </c>
      <c r="DP138" s="17">
        <f>DO138*VLOOKUP('Données projet'!$B$14,Paramètres!$A$1:$I$89,3,0)*VLOOKUP('Données projet'!$B$14,Paramètres!$A$1:$I$89,5,0)</f>
        <v>419.57964360000068</v>
      </c>
      <c r="DQ138" s="13">
        <f t="shared" si="151"/>
        <v>95.735029909171558</v>
      </c>
      <c r="DR138" s="20">
        <f t="shared" si="124"/>
        <v>897.50638969514159</v>
      </c>
      <c r="DS138" s="59">
        <f t="shared" si="125"/>
        <v>1190.839723028475</v>
      </c>
      <c r="DT138" s="59">
        <f ca="1">AVERAGE(OFFSET($DS$3,0,0,'Données projet'!$E$14+1,1))-AVERAGE(OFFSET($H$3,0,0,'Données projet'!$E$14+1,1))</f>
        <v>531.65020827367698</v>
      </c>
      <c r="DU138" s="59">
        <f t="shared" si="152"/>
        <v>235.89413420278396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77.992039000343638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77.992039000343638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78.49920000000003</v>
      </c>
      <c r="D139" s="11">
        <f t="shared" si="140"/>
        <v>21.769827249855176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774.00652613923319</v>
      </c>
      <c r="H139" s="67">
        <f t="shared" si="110"/>
        <v>467.96855579349779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378.69683280000061</v>
      </c>
      <c r="P139" s="13">
        <f t="shared" si="141"/>
        <v>87.444115073134299</v>
      </c>
      <c r="Q139" s="20">
        <f t="shared" si="108"/>
        <v>811.86215087904327</v>
      </c>
      <c r="R139" s="59">
        <f t="shared" si="109"/>
        <v>1105.1954842123766</v>
      </c>
      <c r="S139" s="59">
        <f ca="1">AVERAGE(OFFSET($R$3,0,0,'Données projet'!$E$9+1,1))-AVERAGE(OFFSET($H$3,0,0,'Données projet'!$E$9+1,1))</f>
        <v>457.88065872594228</v>
      </c>
      <c r="T139" s="59">
        <f t="shared" si="142"/>
        <v>204.62439362068329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67.597426432544964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67.597426432544964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1066.1203845766343</v>
      </c>
      <c r="AN139" s="59">
        <f ca="1">AVERAGE(OFFSET($AM$3,0,0,'Données projet'!$E$10+1,1))-AVERAGE(OFFSET($H$3,0,0,'Données projet'!$E$10+1,1))</f>
        <v>430.16825592717629</v>
      </c>
      <c r="AO139" s="59">
        <f t="shared" si="144"/>
        <v>192.87542067077248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-2.3942448024172337E-14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243.94505553629301</v>
      </c>
      <c r="BJ139" s="59">
        <f t="shared" si="146"/>
        <v>173.05364940250229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106.91581269544847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106.91581269544847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1.1173142411280423E-13</v>
      </c>
      <c r="CA139" s="13">
        <f t="shared" si="147"/>
        <v>1.6569896290553793E-12</v>
      </c>
      <c r="CB139" s="20">
        <f t="shared" si="118"/>
        <v>3.0805225009345862E-12</v>
      </c>
      <c r="CC139" s="59">
        <f t="shared" si="119"/>
        <v>293.33333333333638</v>
      </c>
      <c r="CD139" s="59">
        <f ca="1">AVERAGE(OFFSET($CC$3,0,0,'Données projet'!$E$12+1,1))-AVERAGE(OFFSET($H$3,0,0,'Données projet'!$E$12+1,1))</f>
        <v>140.9558843244115</v>
      </c>
      <c r="CE139" s="59">
        <f t="shared" si="148"/>
        <v>158.88947216184619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22.227629661843743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22.227629661843743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8.1590000000000025</v>
      </c>
      <c r="CT139" s="12">
        <f>IF('Données projet'!$A$140&gt;35,CT138+CS139-DB138,IF(A139&lt;'Données projet'!$A$140,$CQ$205^A139,IF(A139='Données projet'!$A$140,'Données projet'!$B$140,CT138+CS139-DB138)))</f>
        <v>397.95800000000065</v>
      </c>
      <c r="CU139" s="17">
        <f>CT139*VLOOKUP('Données projet'!$B$13,Paramètres!$A$1:$I$89,3,0)*VLOOKUP('Données projet'!$B$13,Paramètres!$A$1:$I$89,5,0)</f>
        <v>384.90497760000062</v>
      </c>
      <c r="CV139" s="13">
        <f t="shared" si="149"/>
        <v>88.709563383658136</v>
      </c>
      <c r="CW139" s="20">
        <f t="shared" si="121"/>
        <v>824.87865887987221</v>
      </c>
      <c r="CX139" s="59">
        <f t="shared" si="122"/>
        <v>1118.2119922132056</v>
      </c>
      <c r="CY139" s="59">
        <f ca="1">AVERAGE(OFFSET($CX$3,0,0,'Données projet'!$E$13+1,1))-AVERAGE(OFFSET($H$3,0,0,'Données projet'!$E$13+1,1))</f>
        <v>467.11196088914556</v>
      </c>
      <c r="CZ139" s="59">
        <f t="shared" si="150"/>
        <v>208.53783609106262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68.70558096422603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68.70558096422603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8.1590000000000025</v>
      </c>
      <c r="DO139" s="12">
        <f>IF('Données projet'!$A$166&gt;35,DO138+DN139-DW138,IF(A139&lt;'Données projet'!$A$166,$DL$205^A139,IF(A139='Données projet'!$A$166,'Données projet'!$B$166,DO138+DN139-DW138)))</f>
        <v>397.95800000000065</v>
      </c>
      <c r="DP139" s="17">
        <f>DO139*VLOOKUP('Données projet'!$B$14,Paramètres!$A$1:$I$89,3,0)*VLOOKUP('Données projet'!$B$14,Paramètres!$A$1:$I$89,5,0)</f>
        <v>428.36199120000066</v>
      </c>
      <c r="DQ139" s="13">
        <f t="shared" si="151"/>
        <v>97.503499095385038</v>
      </c>
      <c r="DR139" s="20">
        <f t="shared" si="124"/>
        <v>915.88239559779674</v>
      </c>
      <c r="DS139" s="59">
        <f t="shared" si="125"/>
        <v>1209.2157289311301</v>
      </c>
      <c r="DT139" s="59">
        <f ca="1">AVERAGE(OFFSET($DS$3,0,0,'Données projet'!$E$14+1,1))-AVERAGE(OFFSET($H$3,0,0,'Données projet'!$E$14+1,1))</f>
        <v>531.65020827367698</v>
      </c>
      <c r="DU139" s="59">
        <f t="shared" si="152"/>
        <v>235.89413420278396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76.462662685993493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76.462662685993493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79.076400000000035</v>
      </c>
      <c r="D140" s="11">
        <f t="shared" si="140"/>
        <v>21.91120673512015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779.55345549917331</v>
      </c>
      <c r="H140" s="67">
        <f t="shared" si="110"/>
        <v>469.2200817303343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386.46093720000061</v>
      </c>
      <c r="P140" s="13">
        <f t="shared" si="141"/>
        <v>89.02635151535199</v>
      </c>
      <c r="Q140" s="20">
        <f t="shared" si="108"/>
        <v>828.14036117923899</v>
      </c>
      <c r="R140" s="59">
        <f t="shared" si="109"/>
        <v>1121.4736945125724</v>
      </c>
      <c r="S140" s="59">
        <f ca="1">AVERAGE(OFFSET($R$3,0,0,'Données projet'!$E$9+1,1))-AVERAGE(OFFSET($H$3,0,0,'Données projet'!$E$9+1,1))</f>
        <v>457.88065872594228</v>
      </c>
      <c r="T140" s="59">
        <f t="shared" si="142"/>
        <v>204.62439362068329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66.271882130561721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66.271882130561721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1081.6134533654729</v>
      </c>
      <c r="AN140" s="59">
        <f ca="1">AVERAGE(OFFSET($AM$3,0,0,'Données projet'!$E$10+1,1))-AVERAGE(OFFSET($H$3,0,0,'Données projet'!$E$10+1,1))</f>
        <v>430.16825592717629</v>
      </c>
      <c r="AO140" s="59">
        <f t="shared" si="144"/>
        <v>192.87542067077248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-2.3942448024172337E-14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243.94505553629301</v>
      </c>
      <c r="BJ140" s="59">
        <f t="shared" si="146"/>
        <v>173.05364940250229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104.8192588206973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104.8192588206973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1.1173142411280423E-13</v>
      </c>
      <c r="CA140" s="13">
        <f t="shared" si="147"/>
        <v>1.6569896290553793E-12</v>
      </c>
      <c r="CB140" s="20">
        <f t="shared" si="118"/>
        <v>3.0805225009345862E-12</v>
      </c>
      <c r="CC140" s="59">
        <f t="shared" si="119"/>
        <v>293.33333333333638</v>
      </c>
      <c r="CD140" s="59">
        <f ca="1">AVERAGE(OFFSET($CC$3,0,0,'Données projet'!$E$12+1,1))-AVERAGE(OFFSET($H$3,0,0,'Données projet'!$E$12+1,1))</f>
        <v>140.9558843244115</v>
      </c>
      <c r="CE140" s="59">
        <f t="shared" si="148"/>
        <v>158.88947216184619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21.791759401690388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21.791759401690388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8.1590000000000025</v>
      </c>
      <c r="CT140" s="12">
        <f>IF('Données projet'!$A$140&gt;35,CT139+CS140-DB139,IF(A140&lt;'Données projet'!$A$140,$CQ$205^A140,IF(A140='Données projet'!$A$140,'Données projet'!$B$140,CT139+CS140-DB139)))</f>
        <v>406.11700000000064</v>
      </c>
      <c r="CU140" s="17">
        <f>CT140*VLOOKUP('Données projet'!$B$13,Paramètres!$A$1:$I$89,3,0)*VLOOKUP('Données projet'!$B$13,Paramètres!$A$1:$I$89,5,0)</f>
        <v>392.79636240000065</v>
      </c>
      <c r="CV140" s="13">
        <f t="shared" si="149"/>
        <v>90.314697175011091</v>
      </c>
      <c r="CW140" s="20">
        <f t="shared" si="121"/>
        <v>841.41842875981195</v>
      </c>
      <c r="CX140" s="59">
        <f t="shared" si="122"/>
        <v>1134.7517620931453</v>
      </c>
      <c r="CY140" s="59">
        <f ca="1">AVERAGE(OFFSET($CX$3,0,0,'Données projet'!$E$13+1,1))-AVERAGE(OFFSET($H$3,0,0,'Données projet'!$E$13+1,1))</f>
        <v>467.11196088914556</v>
      </c>
      <c r="CZ140" s="59">
        <f t="shared" si="150"/>
        <v>208.53783609106262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67.358306427784044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67.358306427784044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8.1590000000000025</v>
      </c>
      <c r="DO140" s="12">
        <f>IF('Données projet'!$A$166&gt;35,DO139+DN140-DW139,IF(A140&lt;'Données projet'!$A$166,$DL$205^A140,IF(A140='Données projet'!$A$166,'Données projet'!$B$166,DO139+DN140-DW139)))</f>
        <v>406.11700000000064</v>
      </c>
      <c r="DP140" s="17">
        <f>DO140*VLOOKUP('Données projet'!$B$14,Paramètres!$A$1:$I$89,3,0)*VLOOKUP('Données projet'!$B$14,Paramètres!$A$1:$I$89,5,0)</f>
        <v>437.14433880000064</v>
      </c>
      <c r="DQ140" s="13">
        <f t="shared" si="151"/>
        <v>99.267752634727543</v>
      </c>
      <c r="DR140" s="20">
        <f t="shared" si="124"/>
        <v>934.25105924881802</v>
      </c>
      <c r="DS140" s="59">
        <f t="shared" si="125"/>
        <v>1227.5843925821514</v>
      </c>
      <c r="DT140" s="59">
        <f ca="1">AVERAGE(OFFSET($DS$3,0,0,'Données projet'!$E$14+1,1))-AVERAGE(OFFSET($H$3,0,0,'Données projet'!$E$14+1,1))</f>
        <v>531.65020827367698</v>
      </c>
      <c r="DU140" s="59">
        <f t="shared" si="152"/>
        <v>235.89413420278396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74.963276508340314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74.963276508340314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79.65360000000004</v>
      </c>
      <c r="D141" s="11">
        <f t="shared" si="140"/>
        <v>22.052466149308245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785.0994579946605</v>
      </c>
      <c r="H141" s="67">
        <f t="shared" si="110"/>
        <v>470.47139854337854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394.22504160000057</v>
      </c>
      <c r="P141" s="13">
        <f t="shared" si="141"/>
        <v>90.604891946112389</v>
      </c>
      <c r="Q141" s="20">
        <f t="shared" si="108"/>
        <v>844.41213425948001</v>
      </c>
      <c r="R141" s="59">
        <f t="shared" si="109"/>
        <v>1137.7454675928134</v>
      </c>
      <c r="S141" s="59">
        <f ca="1">AVERAGE(OFFSET($R$3,0,0,'Données projet'!$E$9+1,1))-AVERAGE(OFFSET($H$3,0,0,'Données projet'!$E$9+1,1))</f>
        <v>457.88065872594228</v>
      </c>
      <c r="T141" s="59">
        <f t="shared" si="142"/>
        <v>204.62439362068329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64.972330943838173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64.972330943838173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1097.1003654842277</v>
      </c>
      <c r="AN141" s="59">
        <f ca="1">AVERAGE(OFFSET($AM$3,0,0,'Données projet'!$E$10+1,1))-AVERAGE(OFFSET($H$3,0,0,'Données projet'!$E$10+1,1))</f>
        <v>430.16825592717629</v>
      </c>
      <c r="AO141" s="59">
        <f t="shared" si="144"/>
        <v>192.87542067077248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-2.3942448024172337E-14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243.94505553629301</v>
      </c>
      <c r="BJ141" s="59">
        <f t="shared" si="146"/>
        <v>173.05364940250229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102.7638170886584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102.7638170886584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1.1173142411280423E-13</v>
      </c>
      <c r="CA141" s="13">
        <f t="shared" si="147"/>
        <v>1.6569896290553793E-12</v>
      </c>
      <c r="CB141" s="20">
        <f t="shared" si="118"/>
        <v>3.0805225009345862E-12</v>
      </c>
      <c r="CC141" s="59">
        <f t="shared" si="119"/>
        <v>293.33333333333638</v>
      </c>
      <c r="CD141" s="59">
        <f ca="1">AVERAGE(OFFSET($CC$3,0,0,'Données projet'!$E$12+1,1))-AVERAGE(OFFSET($H$3,0,0,'Données projet'!$E$12+1,1))</f>
        <v>140.9558843244115</v>
      </c>
      <c r="CE141" s="59">
        <f t="shared" si="148"/>
        <v>158.88947216184619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21.364436291484033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21.364436291484033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8.1590000000000025</v>
      </c>
      <c r="CT141" s="12">
        <f>IF('Données projet'!$A$140&gt;35,CT140+CS141-DB140,IF(A141&lt;'Données projet'!$A$140,$CQ$205^A141,IF(A141='Données projet'!$A$140,'Données projet'!$B$140,CT140+CS141-DB140)))</f>
        <v>414.27600000000064</v>
      </c>
      <c r="CU141" s="17">
        <f>CT141*VLOOKUP('Données projet'!$B$13,Paramètres!$A$1:$I$89,3,0)*VLOOKUP('Données projet'!$B$13,Paramètres!$A$1:$I$89,5,0)</f>
        <v>400.68774720000062</v>
      </c>
      <c r="CV141" s="13">
        <f t="shared" si="149"/>
        <v>91.916081468043174</v>
      </c>
      <c r="CW141" s="20">
        <f t="shared" si="121"/>
        <v>857.95166826350953</v>
      </c>
      <c r="CX141" s="59">
        <f t="shared" si="122"/>
        <v>1151.2850015968429</v>
      </c>
      <c r="CY141" s="59">
        <f ca="1">AVERAGE(OFFSET($CX$3,0,0,'Données projet'!$E$13+1,1))-AVERAGE(OFFSET($H$3,0,0,'Données projet'!$E$13+1,1))</f>
        <v>467.11196088914556</v>
      </c>
      <c r="CZ141" s="59">
        <f t="shared" si="150"/>
        <v>208.53783609106262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66.037451123245361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66.037451123245361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8.1590000000000025</v>
      </c>
      <c r="DO141" s="12">
        <f>IF('Données projet'!$A$166&gt;35,DO140+DN141-DW140,IF(A141&lt;'Données projet'!$A$166,$DL$205^A141,IF(A141='Données projet'!$A$166,'Données projet'!$B$166,DO140+DN141-DW140)))</f>
        <v>414.27600000000064</v>
      </c>
      <c r="DP141" s="17">
        <f>DO141*VLOOKUP('Données projet'!$B$14,Paramètres!$A$1:$I$89,3,0)*VLOOKUP('Données projet'!$B$14,Paramètres!$A$1:$I$89,5,0)</f>
        <v>445.92668640000062</v>
      </c>
      <c r="DQ141" s="13">
        <f t="shared" si="151"/>
        <v>101.02788498135783</v>
      </c>
      <c r="DR141" s="20">
        <f t="shared" si="124"/>
        <v>952.61254515586586</v>
      </c>
      <c r="DS141" s="59">
        <f t="shared" si="125"/>
        <v>1245.9458784891992</v>
      </c>
      <c r="DT141" s="59">
        <f ca="1">AVERAGE(OFFSET($DS$3,0,0,'Données projet'!$E$14+1,1))-AVERAGE(OFFSET($H$3,0,0,'Données projet'!$E$14+1,1))</f>
        <v>531.65020827367698</v>
      </c>
      <c r="DU141" s="59">
        <f t="shared" si="152"/>
        <v>235.89413420278396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73.493292379095649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73.493292379095649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80.230800000000045</v>
      </c>
      <c r="D142" s="11">
        <f t="shared" si="140"/>
        <v>22.193606463384558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790.64454112086366</v>
      </c>
      <c r="H142" s="67">
        <f t="shared" si="110"/>
        <v>471.72250792372813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401.98914600000057</v>
      </c>
      <c r="P142" s="13">
        <f t="shared" si="141"/>
        <v>92.17981754732287</v>
      </c>
      <c r="Q142" s="20">
        <f t="shared" si="108"/>
        <v>860.67761151158822</v>
      </c>
      <c r="R142" s="59">
        <f t="shared" si="109"/>
        <v>1154.0109448449216</v>
      </c>
      <c r="S142" s="59">
        <f ca="1">AVERAGE(OFFSET($R$3,0,0,'Données projet'!$E$9+1,1))-AVERAGE(OFFSET($H$3,0,0,'Données projet'!$E$9+1,1))</f>
        <v>457.88065872594228</v>
      </c>
      <c r="T142" s="59">
        <f t="shared" si="142"/>
        <v>204.62439362068329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63.698263163238323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63.698263163238323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1112.5812561625173</v>
      </c>
      <c r="AN142" s="59">
        <f ca="1">AVERAGE(OFFSET($AM$3,0,0,'Données projet'!$E$10+1,1))-AVERAGE(OFFSET($H$3,0,0,'Données projet'!$E$10+1,1))</f>
        <v>430.16825592717629</v>
      </c>
      <c r="AO142" s="59">
        <f t="shared" si="144"/>
        <v>192.87542067077248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-2.3942448024172337E-14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243.94505553629301</v>
      </c>
      <c r="BJ142" s="59">
        <f t="shared" si="146"/>
        <v>173.05364940250229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100.74868131528912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100.74868131528912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1.1173142411280423E-13</v>
      </c>
      <c r="CA142" s="13">
        <f t="shared" si="147"/>
        <v>1.6569896290553793E-12</v>
      </c>
      <c r="CB142" s="20">
        <f t="shared" si="118"/>
        <v>3.0805225009345862E-12</v>
      </c>
      <c r="CC142" s="59">
        <f t="shared" si="119"/>
        <v>293.33333333333638</v>
      </c>
      <c r="CD142" s="59">
        <f ca="1">AVERAGE(OFFSET($CC$3,0,0,'Données projet'!$E$12+1,1))-AVERAGE(OFFSET($H$3,0,0,'Données projet'!$E$12+1,1))</f>
        <v>140.9558843244115</v>
      </c>
      <c r="CE142" s="59">
        <f t="shared" si="148"/>
        <v>158.88947216184619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20.945492726827464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20.945492726827464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8.1590000000000025</v>
      </c>
      <c r="CT142" s="12">
        <f>IF('Données projet'!$A$140&gt;35,CT141+CS142-DB141,IF(A142&lt;'Données projet'!$A$140,$CQ$205^A142,IF(A142='Données projet'!$A$140,'Données projet'!$B$140,CT141+CS142-DB141)))</f>
        <v>422.43500000000063</v>
      </c>
      <c r="CU142" s="17">
        <f>CT142*VLOOKUP('Données projet'!$B$13,Paramètres!$A$1:$I$89,3,0)*VLOOKUP('Données projet'!$B$13,Paramètres!$A$1:$I$89,5,0)</f>
        <v>408.57913200000064</v>
      </c>
      <c r="CV142" s="13">
        <f t="shared" si="149"/>
        <v>93.513798619486451</v>
      </c>
      <c r="CW142" s="20">
        <f t="shared" si="121"/>
        <v>874.47852082893996</v>
      </c>
      <c r="CX142" s="59">
        <f t="shared" si="122"/>
        <v>1167.8118541622732</v>
      </c>
      <c r="CY142" s="59">
        <f ca="1">AVERAGE(OFFSET($CX$3,0,0,'Données projet'!$E$13+1,1))-AVERAGE(OFFSET($H$3,0,0,'Données projet'!$E$13+1,1))</f>
        <v>467.11196088914556</v>
      </c>
      <c r="CZ142" s="59">
        <f t="shared" si="150"/>
        <v>208.53783609106262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64.742496985586499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64.742496985586499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8.1590000000000025</v>
      </c>
      <c r="DO142" s="12">
        <f>IF('Données projet'!$A$166&gt;35,DO141+DN142-DW141,IF(A142&lt;'Données projet'!$A$166,$DL$205^A142,IF(A142='Données projet'!$A$166,'Données projet'!$B$166,DO141+DN142-DW141)))</f>
        <v>422.43500000000063</v>
      </c>
      <c r="DP142" s="17">
        <f>DO142*VLOOKUP('Données projet'!$B$14,Paramètres!$A$1:$I$89,3,0)*VLOOKUP('Données projet'!$B$14,Paramètres!$A$1:$I$89,5,0)</f>
        <v>454.70903400000071</v>
      </c>
      <c r="DQ142" s="13">
        <f t="shared" si="151"/>
        <v>102.78398665617591</v>
      </c>
      <c r="DR142" s="20">
        <f t="shared" si="124"/>
        <v>970.96701097617427</v>
      </c>
      <c r="DS142" s="59">
        <f t="shared" si="125"/>
        <v>1264.3003443095076</v>
      </c>
      <c r="DT142" s="59">
        <f ca="1">AVERAGE(OFFSET($DS$3,0,0,'Données projet'!$E$14+1,1))-AVERAGE(OFFSET($H$3,0,0,'Données projet'!$E$14+1,1))</f>
        <v>531.65020827367698</v>
      </c>
      <c r="DU142" s="59">
        <f t="shared" si="152"/>
        <v>235.89413420278396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72.052133742023685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72.052133742023685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80.80800000000005</v>
      </c>
      <c r="D143" s="11">
        <f t="shared" si="140"/>
        <v>22.334628633536216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796.18871225887642</v>
      </c>
      <c r="H143" s="67">
        <f t="shared" si="110"/>
        <v>472.97341153674233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409.75325040000058</v>
      </c>
      <c r="P143" s="13">
        <f t="shared" si="141"/>
        <v>93.751206185559496</v>
      </c>
      <c r="Q143" s="20">
        <f t="shared" si="108"/>
        <v>876.93692855318386</v>
      </c>
      <c r="R143" s="59">
        <f t="shared" si="109"/>
        <v>1170.2702618865171</v>
      </c>
      <c r="S143" s="59">
        <f ca="1">AVERAGE(OFFSET($R$3,0,0,'Données projet'!$E$9+1,1))-AVERAGE(OFFSET($H$3,0,0,'Données projet'!$E$9+1,1))</f>
        <v>457.88065872594228</v>
      </c>
      <c r="T143" s="59">
        <f t="shared" si="142"/>
        <v>204.62439362068329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62.449179074711424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62.449179074711424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1128.0562551074127</v>
      </c>
      <c r="AN143" s="59">
        <f ca="1">AVERAGE(OFFSET($AM$3,0,0,'Données projet'!$E$10+1,1))-AVERAGE(OFFSET($H$3,0,0,'Données projet'!$E$10+1,1))</f>
        <v>430.16825592717629</v>
      </c>
      <c r="AO143" s="59">
        <f t="shared" si="144"/>
        <v>192.87542067077248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-2.3942448024172337E-14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243.94505553629301</v>
      </c>
      <c r="BJ143" s="59">
        <f t="shared" si="146"/>
        <v>173.05364940250229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98.773061125324162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98.773061125324162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1.1173142411280423E-13</v>
      </c>
      <c r="CA143" s="13">
        <f t="shared" si="147"/>
        <v>1.6569896290553793E-12</v>
      </c>
      <c r="CB143" s="20">
        <f t="shared" si="118"/>
        <v>3.0805225009345862E-12</v>
      </c>
      <c r="CC143" s="59">
        <f t="shared" si="119"/>
        <v>293.33333333333638</v>
      </c>
      <c r="CD143" s="59">
        <f ca="1">AVERAGE(OFFSET($CC$3,0,0,'Données projet'!$E$12+1,1))-AVERAGE(OFFSET($H$3,0,0,'Données projet'!$E$12+1,1))</f>
        <v>140.9558843244115</v>
      </c>
      <c r="CE143" s="59">
        <f t="shared" si="148"/>
        <v>158.88947216184619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20.534764389943465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20.534764389943465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8.1590000000000025</v>
      </c>
      <c r="CT143" s="12">
        <f>IF('Données projet'!$A$140&gt;35,CT142+CS143-DB142,IF(A143&lt;'Données projet'!$A$140,$CQ$205^A143,IF(A143='Données projet'!$A$140,'Données projet'!$B$140,CT142+CS143-DB142)))</f>
        <v>430.59400000000062</v>
      </c>
      <c r="CU143" s="17">
        <f>CT143*VLOOKUP('Données projet'!$B$13,Paramètres!$A$1:$I$89,3,0)*VLOOKUP('Données projet'!$B$13,Paramètres!$A$1:$I$89,5,0)</f>
        <v>416.47051680000061</v>
      </c>
      <c r="CV143" s="13">
        <f t="shared" si="149"/>
        <v>95.107927622763967</v>
      </c>
      <c r="CW143" s="20">
        <f t="shared" si="121"/>
        <v>890.99912403631481</v>
      </c>
      <c r="CX143" s="59">
        <f t="shared" si="122"/>
        <v>1184.3324573696482</v>
      </c>
      <c r="CY143" s="59">
        <f ca="1">AVERAGE(OFFSET($CX$3,0,0,'Données projet'!$E$13+1,1))-AVERAGE(OFFSET($H$3,0,0,'Données projet'!$E$13+1,1))</f>
        <v>467.11196088914556</v>
      </c>
      <c r="CZ143" s="59">
        <f t="shared" si="150"/>
        <v>208.53783609106262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63.47293610872309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63.47293610872309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8.1590000000000025</v>
      </c>
      <c r="DO143" s="12">
        <f>IF('Données projet'!$A$166&gt;35,DO142+DN143-DW142,IF(A143&lt;'Données projet'!$A$166,$DL$205^A143,IF(A143='Données projet'!$A$166,'Données projet'!$B$166,DO142+DN143-DW142)))</f>
        <v>430.59400000000062</v>
      </c>
      <c r="DP143" s="17">
        <f>DO143*VLOOKUP('Données projet'!$B$14,Paramètres!$A$1:$I$89,3,0)*VLOOKUP('Données projet'!$B$14,Paramètres!$A$1:$I$89,5,0)</f>
        <v>463.49138160000069</v>
      </c>
      <c r="DQ143" s="13">
        <f t="shared" si="151"/>
        <v>104.53614448336266</v>
      </c>
      <c r="DR143" s="20">
        <f t="shared" si="124"/>
        <v>989.31460792852465</v>
      </c>
      <c r="DS143" s="59">
        <f t="shared" si="125"/>
        <v>1282.647941261858</v>
      </c>
      <c r="DT143" s="59">
        <f ca="1">AVERAGE(OFFSET($DS$3,0,0,'Données projet'!$E$14+1,1))-AVERAGE(OFFSET($H$3,0,0,'Données projet'!$E$14+1,1))</f>
        <v>531.65020827367698</v>
      </c>
      <c r="DU143" s="59">
        <f t="shared" si="152"/>
        <v>235.89413420278396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70.639235346804725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70.639235346804725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81.385200000000054</v>
      </c>
      <c r="D144" s="11">
        <f t="shared" si="140"/>
        <v>22.475533601501144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801.7319786782549</v>
      </c>
      <c r="H144" s="67">
        <f t="shared" si="110"/>
        <v>474.22411102261458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417.51735480000059</v>
      </c>
      <c r="P144" s="13">
        <f t="shared" si="141"/>
        <v>95.319132607670056</v>
      </c>
      <c r="Q144" s="20">
        <f t="shared" si="108"/>
        <v>893.19021556835969</v>
      </c>
      <c r="R144" s="59">
        <f t="shared" si="109"/>
        <v>1186.5235489016929</v>
      </c>
      <c r="S144" s="59">
        <f ca="1">AVERAGE(OFFSET($R$3,0,0,'Données projet'!$E$9+1,1))-AVERAGE(OFFSET($H$3,0,0,'Données projet'!$E$9+1,1))</f>
        <v>457.88065872594228</v>
      </c>
      <c r="T144" s="59">
        <f t="shared" si="142"/>
        <v>204.62439362068329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61.22458876329447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61.22458876329447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1143.5254868292636</v>
      </c>
      <c r="AN144" s="59">
        <f ca="1">AVERAGE(OFFSET($AM$3,0,0,'Données projet'!$E$10+1,1))-AVERAGE(OFFSET($H$3,0,0,'Données projet'!$E$10+1,1))</f>
        <v>430.16825592717629</v>
      </c>
      <c r="AO144" s="59">
        <f t="shared" si="144"/>
        <v>192.87542067077248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-2.3942448024172337E-14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243.94505553629301</v>
      </c>
      <c r="BJ144" s="59">
        <f t="shared" si="146"/>
        <v>173.05364940250229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96.836181642275079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96.836181642275079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1.1173142411280423E-13</v>
      </c>
      <c r="CA144" s="13">
        <f t="shared" si="147"/>
        <v>1.6569896290553793E-12</v>
      </c>
      <c r="CB144" s="20">
        <f t="shared" si="118"/>
        <v>3.0805225009345862E-12</v>
      </c>
      <c r="CC144" s="59">
        <f t="shared" si="119"/>
        <v>293.33333333333638</v>
      </c>
      <c r="CD144" s="59">
        <f ca="1">AVERAGE(OFFSET($CC$3,0,0,'Données projet'!$E$12+1,1))-AVERAGE(OFFSET($H$3,0,0,'Données projet'!$E$12+1,1))</f>
        <v>140.9558843244115</v>
      </c>
      <c r="CE144" s="59">
        <f t="shared" si="148"/>
        <v>158.88947216184619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20.132090185226215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20.132090185226215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8.1590000000000025</v>
      </c>
      <c r="CT144" s="12">
        <f>IF('Données projet'!$A$140&gt;35,CT143+CS144-DB143,IF(A144&lt;'Données projet'!$A$140,$CQ$205^A144,IF(A144='Données projet'!$A$140,'Données projet'!$B$140,CT143+CS144-DB143)))</f>
        <v>438.75300000000061</v>
      </c>
      <c r="CU144" s="17">
        <f>CT144*VLOOKUP('Données projet'!$B$13,Paramètres!$A$1:$I$89,3,0)*VLOOKUP('Données projet'!$B$13,Paramètres!$A$1:$I$89,5,0)</f>
        <v>424.36190160000064</v>
      </c>
      <c r="CV144" s="13">
        <f t="shared" si="149"/>
        <v>96.698544306422932</v>
      </c>
      <c r="CW144" s="20">
        <f t="shared" si="121"/>
        <v>907.51360995368759</v>
      </c>
      <c r="CX144" s="59">
        <f t="shared" si="122"/>
        <v>1200.8469432870208</v>
      </c>
      <c r="CY144" s="59">
        <f ca="1">AVERAGE(OFFSET($CX$3,0,0,'Données projet'!$E$13+1,1))-AVERAGE(OFFSET($H$3,0,0,'Données projet'!$E$13+1,1))</f>
        <v>467.11196088914556</v>
      </c>
      <c r="CZ144" s="59">
        <f t="shared" si="150"/>
        <v>208.53783609106262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62.228270546299299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62.228270546299299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8.1590000000000025</v>
      </c>
      <c r="DO144" s="12">
        <f>IF('Données projet'!$A$166&gt;35,DO143+DN144-DW143,IF(A144&lt;'Données projet'!$A$166,$DL$205^A144,IF(A144='Données projet'!$A$166,'Données projet'!$B$166,DO143+DN144-DW143)))</f>
        <v>438.75300000000061</v>
      </c>
      <c r="DP144" s="17">
        <f>DO144*VLOOKUP('Données projet'!$B$14,Paramètres!$A$1:$I$89,3,0)*VLOOKUP('Données projet'!$B$14,Paramètres!$A$1:$I$89,5,0)</f>
        <v>472.27372920000067</v>
      </c>
      <c r="DQ144" s="13">
        <f t="shared" si="151"/>
        <v>106.28444180848312</v>
      </c>
      <c r="DR144" s="20">
        <f t="shared" si="124"/>
        <v>1007.655481173109</v>
      </c>
      <c r="DS144" s="59">
        <f t="shared" si="125"/>
        <v>1300.9888145064424</v>
      </c>
      <c r="DT144" s="59">
        <f ca="1">AVERAGE(OFFSET($DS$3,0,0,'Données projet'!$E$14+1,1))-AVERAGE(OFFSET($H$3,0,0,'Données projet'!$E$14+1,1))</f>
        <v>531.65020827367698</v>
      </c>
      <c r="DU144" s="59">
        <f t="shared" si="152"/>
        <v>235.89413420278396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69.254043027333083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69.254043027333083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81.962400000000059</v>
      </c>
      <c r="D145" s="11">
        <f t="shared" si="140"/>
        <v>22.616322294887336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807.27434753948171</v>
      </c>
      <c r="H145" s="67">
        <f t="shared" si="110"/>
        <v>475.47460799692885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425.2814592000006</v>
      </c>
      <c r="P145" s="13">
        <f t="shared" si="141"/>
        <v>96.8836686214146</v>
      </c>
      <c r="Q145" s="20">
        <f t="shared" si="108"/>
        <v>909.4375976222982</v>
      </c>
      <c r="R145" s="59">
        <f t="shared" si="109"/>
        <v>1202.7709309556315</v>
      </c>
      <c r="S145" s="59">
        <f ca="1">AVERAGE(OFFSET($R$3,0,0,'Données projet'!$E$9+1,1))-AVERAGE(OFFSET($H$3,0,0,'Données projet'!$E$9+1,1))</f>
        <v>457.88065872594228</v>
      </c>
      <c r="T145" s="59">
        <f t="shared" si="142"/>
        <v>204.62439362068329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60.024011920958067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60.024011920958067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1158.9890709426043</v>
      </c>
      <c r="AN145" s="59">
        <f ca="1">AVERAGE(OFFSET($AM$3,0,0,'Données projet'!$E$10+1,1))-AVERAGE(OFFSET($H$3,0,0,'Données projet'!$E$10+1,1))</f>
        <v>430.16825592717629</v>
      </c>
      <c r="AO145" s="59">
        <f t="shared" si="144"/>
        <v>192.87542067077248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-2.3942448024172337E-14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243.94505553629301</v>
      </c>
      <c r="BJ145" s="59">
        <f t="shared" si="146"/>
        <v>173.05364940250229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94.937283184508757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94.937283184508757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1.1173142411280423E-13</v>
      </c>
      <c r="CA145" s="13">
        <f t="shared" si="147"/>
        <v>1.6569896290553793E-12</v>
      </c>
      <c r="CB145" s="20">
        <f t="shared" si="118"/>
        <v>3.0805225009345862E-12</v>
      </c>
      <c r="CC145" s="59">
        <f t="shared" si="119"/>
        <v>293.33333333333638</v>
      </c>
      <c r="CD145" s="59">
        <f ca="1">AVERAGE(OFFSET($CC$3,0,0,'Données projet'!$E$12+1,1))-AVERAGE(OFFSET($H$3,0,0,'Données projet'!$E$12+1,1))</f>
        <v>140.9558843244115</v>
      </c>
      <c r="CE145" s="59">
        <f t="shared" si="148"/>
        <v>158.88947216184619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19.737312176056456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19.737312176056456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8.1590000000000025</v>
      </c>
      <c r="CT145" s="12">
        <f>IF('Données projet'!$A$140&gt;35,CT144+CS145-DB144,IF(A145&lt;'Données projet'!$A$140,$CQ$205^A145,IF(A145='Données projet'!$A$140,'Données projet'!$B$140,CT144+CS145-DB144)))</f>
        <v>446.9120000000006</v>
      </c>
      <c r="CU145" s="17">
        <f>CT145*VLOOKUP('Données projet'!$B$13,Paramètres!$A$1:$I$89,3,0)*VLOOKUP('Données projet'!$B$13,Paramètres!$A$1:$I$89,5,0)</f>
        <v>432.25328640000055</v>
      </c>
      <c r="CV145" s="13">
        <f t="shared" si="149"/>
        <v>98.2857215173903</v>
      </c>
      <c r="CW145" s="20">
        <f t="shared" si="121"/>
        <v>924.02210545612218</v>
      </c>
      <c r="CX145" s="59">
        <f t="shared" si="122"/>
        <v>1217.3554387894555</v>
      </c>
      <c r="CY145" s="59">
        <f ca="1">AVERAGE(OFFSET($CX$3,0,0,'Données projet'!$E$13+1,1))-AVERAGE(OFFSET($H$3,0,0,'Données projet'!$E$13+1,1))</f>
        <v>467.11196088914556</v>
      </c>
      <c r="CZ145" s="59">
        <f t="shared" si="150"/>
        <v>208.53783609106262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61.008012116383611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61.008012116383611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8.1590000000000025</v>
      </c>
      <c r="DO145" s="12">
        <f>IF('Données projet'!$A$166&gt;35,DO144+DN145-DW144,IF(A145&lt;'Données projet'!$A$166,$DL$205^A145,IF(A145='Données projet'!$A$166,'Données projet'!$B$166,DO144+DN145-DW144)))</f>
        <v>446.9120000000006</v>
      </c>
      <c r="DP145" s="17">
        <f>DO145*VLOOKUP('Données projet'!$B$14,Paramètres!$A$1:$I$89,3,0)*VLOOKUP('Données projet'!$B$14,Paramètres!$A$1:$I$89,5,0)</f>
        <v>481.05607680000065</v>
      </c>
      <c r="DQ145" s="13">
        <f t="shared" si="151"/>
        <v>108.02895869990863</v>
      </c>
      <c r="DR145" s="20">
        <f t="shared" si="124"/>
        <v>1025.989770162342</v>
      </c>
      <c r="DS145" s="59">
        <f t="shared" si="125"/>
        <v>1319.3231034956752</v>
      </c>
      <c r="DT145" s="59">
        <f ca="1">AVERAGE(OFFSET($DS$3,0,0,'Données projet'!$E$14+1,1))-AVERAGE(OFFSET($H$3,0,0,'Données projet'!$E$14+1,1))</f>
        <v>531.65020827367698</v>
      </c>
      <c r="DU145" s="59">
        <f t="shared" si="152"/>
        <v>235.89413420278396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67.896013484362399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67.896013484362399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82.539600000000064</v>
      </c>
      <c r="D146" s="11">
        <f t="shared" si="140"/>
        <v>22.756995627482869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812.81582589635946</v>
      </c>
      <c r="H146" s="67">
        <f t="shared" si="110"/>
        <v>476.72490405119942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433.04556360000061</v>
      </c>
      <c r="P146" s="13">
        <f t="shared" si="141"/>
        <v>98.444883262542476</v>
      </c>
      <c r="Q146" s="20">
        <f t="shared" si="108"/>
        <v>925.67919495226249</v>
      </c>
      <c r="R146" s="59">
        <f t="shared" si="109"/>
        <v>1219.0125282855959</v>
      </c>
      <c r="S146" s="59">
        <f ca="1">AVERAGE(OFFSET($R$3,0,0,'Données projet'!$E$9+1,1))-AVERAGE(OFFSET($H$3,0,0,'Données projet'!$E$9+1,1))</f>
        <v>457.88065872594228</v>
      </c>
      <c r="T146" s="59">
        <f t="shared" si="142"/>
        <v>204.62439362068329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58.846977658220311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58.846977658220311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1174.447122444463</v>
      </c>
      <c r="AN146" s="59">
        <f ca="1">AVERAGE(OFFSET($AM$3,0,0,'Données projet'!$E$10+1,1))-AVERAGE(OFFSET($H$3,0,0,'Données projet'!$E$10+1,1))</f>
        <v>430.16825592717629</v>
      </c>
      <c r="AO146" s="59">
        <f t="shared" si="144"/>
        <v>192.87542067077248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-2.3942448024172337E-14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243.94505553629301</v>
      </c>
      <c r="BJ146" s="59">
        <f t="shared" si="146"/>
        <v>173.05364940250229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93.075620967285545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93.075620967285545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1.1173142411280423E-13</v>
      </c>
      <c r="CA146" s="13">
        <f t="shared" si="147"/>
        <v>1.6569896290553793E-12</v>
      </c>
      <c r="CB146" s="20">
        <f t="shared" si="118"/>
        <v>3.0805225009345862E-12</v>
      </c>
      <c r="CC146" s="59">
        <f t="shared" si="119"/>
        <v>293.33333333333638</v>
      </c>
      <c r="CD146" s="59">
        <f ca="1">AVERAGE(OFFSET($CC$3,0,0,'Données projet'!$E$12+1,1))-AVERAGE(OFFSET($H$3,0,0,'Données projet'!$E$12+1,1))</f>
        <v>140.9558843244115</v>
      </c>
      <c r="CE146" s="59">
        <f t="shared" si="148"/>
        <v>158.88947216184619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19.350275522855707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19.350275522855707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8.1590000000000025</v>
      </c>
      <c r="CT146" s="12">
        <f>IF('Données projet'!$A$140&gt;35,CT145+CS146-DB145,IF(A146&lt;'Données projet'!$A$140,$CQ$205^A146,IF(A146='Données projet'!$A$140,'Données projet'!$B$140,CT145+CS146-DB145)))</f>
        <v>455.07100000000059</v>
      </c>
      <c r="CU146" s="17">
        <f>CT146*VLOOKUP('Données projet'!$B$13,Paramètres!$A$1:$I$89,3,0)*VLOOKUP('Données projet'!$B$13,Paramètres!$A$1:$I$89,5,0)</f>
        <v>440.14467120000057</v>
      </c>
      <c r="CV146" s="13">
        <f t="shared" si="149"/>
        <v>99.869529290466829</v>
      </c>
      <c r="CW146" s="20">
        <f t="shared" si="121"/>
        <v>940.52473252089715</v>
      </c>
      <c r="CX146" s="59">
        <f t="shared" si="122"/>
        <v>1233.8580658542305</v>
      </c>
      <c r="CY146" s="59">
        <f ca="1">AVERAGE(OFFSET($CX$3,0,0,'Données projet'!$E$13+1,1))-AVERAGE(OFFSET($H$3,0,0,'Données projet'!$E$13+1,1))</f>
        <v>467.11196088914556</v>
      </c>
      <c r="CZ146" s="59">
        <f t="shared" si="150"/>
        <v>208.53783609106262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59.811682209994416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59.811682209994416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8.1590000000000025</v>
      </c>
      <c r="DO146" s="12">
        <f>IF('Données projet'!$A$166&gt;35,DO145+DN146-DW145,IF(A146&lt;'Données projet'!$A$166,$DL$205^A146,IF(A146='Données projet'!$A$166,'Données projet'!$B$166,DO145+DN146-DW145)))</f>
        <v>455.07100000000059</v>
      </c>
      <c r="DP146" s="17">
        <f>DO146*VLOOKUP('Données projet'!$B$14,Paramètres!$A$1:$I$89,3,0)*VLOOKUP('Données projet'!$B$14,Paramètres!$A$1:$I$89,5,0)</f>
        <v>489.83842440000063</v>
      </c>
      <c r="DQ146" s="13">
        <f t="shared" si="151"/>
        <v>109.76977213511341</v>
      </c>
      <c r="DR146" s="20">
        <f t="shared" si="124"/>
        <v>1044.3176089653236</v>
      </c>
      <c r="DS146" s="59">
        <f t="shared" si="125"/>
        <v>1337.6509422986569</v>
      </c>
      <c r="DT146" s="59">
        <f ca="1">AVERAGE(OFFSET($DS$3,0,0,'Données projet'!$E$14+1,1))-AVERAGE(OFFSET($H$3,0,0,'Données projet'!$E$14+1,1))</f>
        <v>531.65020827367698</v>
      </c>
      <c r="DU146" s="59">
        <f t="shared" si="152"/>
        <v>235.89413420278396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66.564614072413136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66.564614072413136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83.116800000000069</v>
      </c>
      <c r="D147" s="11">
        <f t="shared" si="140"/>
        <v>22.897554499556854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818.3564206983342</v>
      </c>
      <c r="H147" s="67">
        <f t="shared" si="110"/>
        <v>477.97500075339497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440.80966800000061</v>
      </c>
      <c r="P147" s="13">
        <f t="shared" si="141"/>
        <v>100.00284294954746</v>
      </c>
      <c r="Q147" s="20">
        <f t="shared" si="108"/>
        <v>941.91512323712925</v>
      </c>
      <c r="R147" s="59">
        <f t="shared" si="109"/>
        <v>1235.2484565704626</v>
      </c>
      <c r="S147" s="59">
        <f ca="1">AVERAGE(OFFSET($R$3,0,0,'Données projet'!$E$9+1,1))-AVERAGE(OFFSET($H$3,0,0,'Données projet'!$E$9+1,1))</f>
        <v>457.88065872594228</v>
      </c>
      <c r="T147" s="59">
        <f t="shared" si="142"/>
        <v>204.62439362068329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72.894537569723838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72.894537569723838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1189.8997519721463</v>
      </c>
      <c r="AN147" s="59">
        <f ca="1">AVERAGE(OFFSET($AM$3,0,0,'Données projet'!$E$10+1,1))-AVERAGE(OFFSET($H$3,0,0,'Données projet'!$E$10+1,1))</f>
        <v>430.16825592717629</v>
      </c>
      <c r="AO147" s="59">
        <f t="shared" si="144"/>
        <v>192.87542067077248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-2.3942448024172337E-14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243.94505553629301</v>
      </c>
      <c r="BJ147" s="59">
        <f t="shared" si="146"/>
        <v>173.05364940250229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91.250464810640239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91.250464810640239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1.1173142411280423E-13</v>
      </c>
      <c r="CA147" s="13">
        <f t="shared" si="147"/>
        <v>1.6569896290553793E-12</v>
      </c>
      <c r="CB147" s="20">
        <f t="shared" si="118"/>
        <v>3.0805225009345862E-12</v>
      </c>
      <c r="CC147" s="59">
        <f t="shared" si="119"/>
        <v>293.33333333333638</v>
      </c>
      <c r="CD147" s="59">
        <f ca="1">AVERAGE(OFFSET($CC$3,0,0,'Données projet'!$E$12+1,1))-AVERAGE(OFFSET($H$3,0,0,'Données projet'!$E$12+1,1))</f>
        <v>140.9558843244115</v>
      </c>
      <c r="CE147" s="59">
        <f t="shared" si="148"/>
        <v>158.88947216184619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18.970828422355176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18.970828422355176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463.23</v>
      </c>
      <c r="CR147" s="12">
        <f>VLOOKUP(A147,'Données projet'!$A$139:$I$159,9,0)</f>
        <v>8.1590000000000025</v>
      </c>
      <c r="CS147" s="12">
        <f t="array" ref="CS147">INDEX(CR:CR,MIN(IF(ISNUMBER(CR147:CR343),ROW(CR147:CR343),"")))</f>
        <v>8.1590000000000025</v>
      </c>
      <c r="CT147" s="12">
        <f>IF('Données projet'!$A$140&gt;35,CT146+CS147-DB146,IF(A147&lt;'Données projet'!$A$140,$CQ$205^A147,IF(A147='Données projet'!$A$140,'Données projet'!$B$140,CT146+CS147-DB146)))</f>
        <v>463.23000000000059</v>
      </c>
      <c r="CU147" s="17">
        <f>CT147*VLOOKUP('Données projet'!$B$13,Paramètres!$A$1:$I$89,3,0)*VLOOKUP('Données projet'!$B$13,Paramètres!$A$1:$I$89,5,0)</f>
        <v>448.0360560000006</v>
      </c>
      <c r="CV147" s="13">
        <f t="shared" si="149"/>
        <v>101.45003500532212</v>
      </c>
      <c r="CW147" s="20">
        <f t="shared" si="121"/>
        <v>957.02160850093696</v>
      </c>
      <c r="CX147" s="59">
        <f t="shared" si="122"/>
        <v>1250.3549418342702</v>
      </c>
      <c r="CY147" s="59">
        <f ca="1">AVERAGE(OFFSET($CX$3,0,0,'Données projet'!$E$13+1,1))-AVERAGE(OFFSET($H$3,0,0,'Données projet'!$E$13+1,1))</f>
        <v>467.11196088914556</v>
      </c>
      <c r="CZ147" s="59">
        <f t="shared" si="150"/>
        <v>208.53783609106262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0.25800000000000001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74.089529988899642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74.089529988899642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463.23</v>
      </c>
      <c r="DM147" s="12">
        <f>VLOOKUP(A147,'Données projet'!$A$165:$I$185,9,0)</f>
        <v>8.1590000000000025</v>
      </c>
      <c r="DN147" s="12">
        <f t="array" ref="DN147">INDEX(DM:DM,MIN(IF(ISNUMBER(DM147:DM343),ROW(DM147:DM343),"")))</f>
        <v>8.1590000000000025</v>
      </c>
      <c r="DO147" s="12">
        <f>IF('Données projet'!$A$166&gt;35,DO146+DN147-DW146,IF(A147&lt;'Données projet'!$A$166,$DL$205^A147,IF(A147='Données projet'!$A$166,'Données projet'!$B$166,DO146+DN147-DW146)))</f>
        <v>463.23000000000059</v>
      </c>
      <c r="DP147" s="17">
        <f>DO147*VLOOKUP('Données projet'!$B$14,Paramètres!$A$1:$I$89,3,0)*VLOOKUP('Données projet'!$B$14,Paramètres!$A$1:$I$89,5,0)</f>
        <v>498.62077200000061</v>
      </c>
      <c r="DQ147" s="13">
        <f t="shared" si="151"/>
        <v>111.50695617323285</v>
      </c>
      <c r="DR147" s="20">
        <f t="shared" si="124"/>
        <v>1062.6391265683815</v>
      </c>
      <c r="DS147" s="59">
        <f t="shared" si="125"/>
        <v>1355.9724599017147</v>
      </c>
      <c r="DT147" s="59">
        <f ca="1">AVERAGE(OFFSET($DS$3,0,0,'Données projet'!$E$14+1,1))-AVERAGE(OFFSET($H$3,0,0,'Données projet'!$E$14+1,1))</f>
        <v>531.65020827367698</v>
      </c>
      <c r="DU147" s="59">
        <f t="shared" si="152"/>
        <v>235.89413420278396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56.01</v>
      </c>
      <c r="DX147" s="16">
        <f>IF(ISNA(VLOOKUP(A147,'Données projet'!$A$165:$I$185,5,0)),0%,VLOOKUP(A147,'Données projet'!$A$165:$I$185,5,0)*VLOOKUP('Données projet'!$B$14,Paramètres!$A$1:$I$89,7,0))</f>
        <v>0.25800000000000001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82.454476923130244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82.454476923130244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83.694000000000074</v>
      </c>
      <c r="D148" s="11">
        <f t="shared" si="140"/>
        <v>23.037999798152072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823.89613879275339</v>
      </c>
      <c r="H148" s="67">
        <f t="shared" si="110"/>
        <v>479.22489964844829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395.43262200000055</v>
      </c>
      <c r="P148" s="13">
        <f t="shared" si="141"/>
        <v>90.850081440660546</v>
      </c>
      <c r="Q148" s="20">
        <f t="shared" si="108"/>
        <v>846.94237515915131</v>
      </c>
      <c r="R148" s="59">
        <f t="shared" si="109"/>
        <v>1140.2757084924847</v>
      </c>
      <c r="S148" s="59">
        <f ca="1">AVERAGE(OFFSET($R$3,0,0,'Données projet'!$E$9+1,1))-AVERAGE(OFFSET($H$3,0,0,'Données projet'!$E$9+1,1))</f>
        <v>457.88065872594228</v>
      </c>
      <c r="T148" s="59">
        <f t="shared" si="142"/>
        <v>204.62439362068329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71.465120149259278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71.465120149259278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1099.5085588119266</v>
      </c>
      <c r="AN148" s="59">
        <f ca="1">AVERAGE(OFFSET($AM$3,0,0,'Données projet'!$E$10+1,1))-AVERAGE(OFFSET($H$3,0,0,'Données projet'!$E$10+1,1))</f>
        <v>430.16825592717629</v>
      </c>
      <c r="AO148" s="59">
        <f t="shared" si="144"/>
        <v>192.87542067077248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-2.3942448024172337E-14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243.94505553629301</v>
      </c>
      <c r="BJ148" s="59">
        <f t="shared" si="146"/>
        <v>173.05364940250229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89.461098852991412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89.461098852991412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1.1173142411280423E-13</v>
      </c>
      <c r="CA148" s="13">
        <f t="shared" si="147"/>
        <v>1.6569896290553793E-12</v>
      </c>
      <c r="CB148" s="20">
        <f t="shared" si="118"/>
        <v>3.0805225009345862E-12</v>
      </c>
      <c r="CC148" s="59">
        <f t="shared" si="119"/>
        <v>293.33333333333638</v>
      </c>
      <c r="CD148" s="59">
        <f ca="1">AVERAGE(OFFSET($CC$3,0,0,'Données projet'!$E$12+1,1))-AVERAGE(OFFSET($H$3,0,0,'Données projet'!$E$12+1,1))</f>
        <v>140.9558843244115</v>
      </c>
      <c r="CE148" s="59">
        <f t="shared" si="148"/>
        <v>158.88947216184619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18.598822048055581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18.598822048055581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8.3249999999999993</v>
      </c>
      <c r="CT148" s="12">
        <f>IF('Données projet'!$A$140&gt;35,CT147+CS148-DB147,IF(A148&lt;'Données projet'!$A$140,$CQ$205^A148,IF(A148='Données projet'!$A$140,'Données projet'!$B$140,CT147+CS148-DB147)))</f>
        <v>415.54500000000058</v>
      </c>
      <c r="CU148" s="17">
        <f>CT148*VLOOKUP('Données projet'!$B$13,Paramètres!$A$1:$I$89,3,0)*VLOOKUP('Données projet'!$B$13,Paramètres!$A$1:$I$89,5,0)</f>
        <v>401.91512400000056</v>
      </c>
      <c r="CV148" s="13">
        <f t="shared" si="149"/>
        <v>92.164819224602709</v>
      </c>
      <c r="CW148" s="20">
        <f t="shared" si="121"/>
        <v>860.52256778285062</v>
      </c>
      <c r="CX148" s="59">
        <f t="shared" si="122"/>
        <v>1153.855901116184</v>
      </c>
      <c r="CY148" s="59">
        <f ca="1">AVERAGE(OFFSET($CX$3,0,0,'Données projet'!$E$13+1,1))-AVERAGE(OFFSET($H$3,0,0,'Données projet'!$E$13+1,1))</f>
        <v>467.11196088914556</v>
      </c>
      <c r="CZ148" s="59">
        <f t="shared" si="150"/>
        <v>208.53783609106262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72.636679495968451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72.636679495968451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8.3249999999999993</v>
      </c>
      <c r="DO148" s="12">
        <f>IF('Données projet'!$A$166&gt;35,DO147+DN148-DW147,IF(A148&lt;'Données projet'!$A$166,$DL$205^A148,IF(A148='Données projet'!$A$166,'Données projet'!$B$166,DO147+DN148-DW147)))</f>
        <v>415.54500000000058</v>
      </c>
      <c r="DP148" s="17">
        <f>DO148*VLOOKUP('Données projet'!$B$14,Paramètres!$A$1:$I$89,3,0)*VLOOKUP('Données projet'!$B$14,Paramètres!$A$1:$I$89,5,0)</f>
        <v>447.29263800000064</v>
      </c>
      <c r="DQ148" s="13">
        <f t="shared" si="151"/>
        <v>101.30128055108679</v>
      </c>
      <c r="DR148" s="20">
        <f t="shared" si="124"/>
        <v>955.46774147647739</v>
      </c>
      <c r="DS148" s="59">
        <f t="shared" si="125"/>
        <v>1248.8010748098106</v>
      </c>
      <c r="DT148" s="59">
        <f ca="1">AVERAGE(OFFSET($DS$3,0,0,'Données projet'!$E$14+1,1))-AVERAGE(OFFSET($H$3,0,0,'Données projet'!$E$14+1,1))</f>
        <v>531.65020827367698</v>
      </c>
      <c r="DU148" s="59">
        <f t="shared" si="152"/>
        <v>235.89413420278396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80.837594922932638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80.837594922932638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84.271200000000078</v>
      </c>
      <c r="D149" s="11">
        <f t="shared" si="140"/>
        <v>23.178332397368969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829.43498692705941</v>
      </c>
      <c r="H149" s="67">
        <f t="shared" si="110"/>
        <v>480.47460225875108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403.35469200000057</v>
      </c>
      <c r="P149" s="13">
        <f t="shared" si="141"/>
        <v>92.456446604818723</v>
      </c>
      <c r="Q149" s="20">
        <f t="shared" si="108"/>
        <v>863.5377330700602</v>
      </c>
      <c r="R149" s="59">
        <f t="shared" si="109"/>
        <v>1156.8710664033936</v>
      </c>
      <c r="S149" s="59">
        <f ca="1">AVERAGE(OFFSET($R$3,0,0,'Données projet'!$E$9+1,1))-AVERAGE(OFFSET($H$3,0,0,'Données projet'!$E$9+1,1))</f>
        <v>457.88065872594228</v>
      </c>
      <c r="T149" s="59">
        <f t="shared" si="142"/>
        <v>204.62439362068329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70.0637327325515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70.0637327325515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1115.3034130339358</v>
      </c>
      <c r="AN149" s="59">
        <f ca="1">AVERAGE(OFFSET($AM$3,0,0,'Données projet'!$E$10+1,1))-AVERAGE(OFFSET($H$3,0,0,'Données projet'!$E$10+1,1))</f>
        <v>430.16825592717629</v>
      </c>
      <c r="AO149" s="59">
        <f t="shared" si="144"/>
        <v>192.87542067077248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-2.3942448024172337E-14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243.94505553629301</v>
      </c>
      <c r="BJ149" s="59">
        <f t="shared" si="146"/>
        <v>173.05364940250229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87.706821270366618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87.706821270366618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1.1173142411280423E-13</v>
      </c>
      <c r="CA149" s="13">
        <f t="shared" si="147"/>
        <v>1.6569896290553793E-12</v>
      </c>
      <c r="CB149" s="20">
        <f t="shared" si="118"/>
        <v>3.0805225009345862E-12</v>
      </c>
      <c r="CC149" s="59">
        <f t="shared" si="119"/>
        <v>293.33333333333638</v>
      </c>
      <c r="CD149" s="59">
        <f ca="1">AVERAGE(OFFSET($CC$3,0,0,'Données projet'!$E$12+1,1))-AVERAGE(OFFSET($H$3,0,0,'Données projet'!$E$12+1,1))</f>
        <v>140.9558843244115</v>
      </c>
      <c r="CE149" s="59">
        <f t="shared" si="148"/>
        <v>158.88947216184619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18.234110491854519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18.234110491854519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8.3249999999999993</v>
      </c>
      <c r="CT149" s="12">
        <f>IF('Données projet'!$A$140&gt;35,CT148+CS149-DB148,IF(A149&lt;'Données projet'!$A$140,$CQ$205^A149,IF(A149='Données projet'!$A$140,'Données projet'!$B$140,CT148+CS149-DB148)))</f>
        <v>423.87000000000057</v>
      </c>
      <c r="CU149" s="17">
        <f>CT149*VLOOKUP('Données projet'!$B$13,Paramètres!$A$1:$I$89,3,0)*VLOOKUP('Données projet'!$B$13,Paramètres!$A$1:$I$89,5,0)</f>
        <v>409.96706400000051</v>
      </c>
      <c r="CV149" s="13">
        <f t="shared" si="149"/>
        <v>93.79443091691617</v>
      </c>
      <c r="CW149" s="20">
        <f t="shared" si="121"/>
        <v>877.38460364696311</v>
      </c>
      <c r="CX149" s="59">
        <f t="shared" si="122"/>
        <v>1170.7179369802964</v>
      </c>
      <c r="CY149" s="59">
        <f ca="1">AVERAGE(OFFSET($CX$3,0,0,'Données projet'!$E$13+1,1))-AVERAGE(OFFSET($H$3,0,0,'Données projet'!$E$13+1,1))</f>
        <v>467.11196088914556</v>
      </c>
      <c r="CZ149" s="59">
        <f t="shared" si="150"/>
        <v>208.53783609106262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71.212318515052345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71.212318515052345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8.3249999999999993</v>
      </c>
      <c r="DO149" s="12">
        <f>IF('Données projet'!$A$166&gt;35,DO148+DN149-DW148,IF(A149&lt;'Données projet'!$A$166,$DL$205^A149,IF(A149='Données projet'!$A$166,'Données projet'!$B$166,DO148+DN149-DW148)))</f>
        <v>423.87000000000057</v>
      </c>
      <c r="DP149" s="17">
        <f>DO149*VLOOKUP('Données projet'!$B$14,Paramètres!$A$1:$I$89,3,0)*VLOOKUP('Données projet'!$B$14,Paramètres!$A$1:$I$89,5,0)</f>
        <v>456.25366800000057</v>
      </c>
      <c r="DQ149" s="13">
        <f t="shared" si="151"/>
        <v>103.09243852894912</v>
      </c>
      <c r="DR149" s="20">
        <f t="shared" si="124"/>
        <v>974.19446887125389</v>
      </c>
      <c r="DS149" s="59">
        <f t="shared" si="125"/>
        <v>1267.5278022045873</v>
      </c>
      <c r="DT149" s="59">
        <f ca="1">AVERAGE(OFFSET($DS$3,0,0,'Données projet'!$E$14+1,1))-AVERAGE(OFFSET($H$3,0,0,'Données projet'!$E$14+1,1))</f>
        <v>531.65020827367698</v>
      </c>
      <c r="DU149" s="59">
        <f t="shared" si="152"/>
        <v>235.89413420278396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79.252418992558262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79.252418992558262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84.848400000000083</v>
      </c>
      <c r="D150" s="11">
        <f t="shared" si="140"/>
        <v>23.318553158641912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834.97297175092081</v>
      </c>
      <c r="H150" s="67">
        <f t="shared" si="110"/>
        <v>481.72411008463479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411.27676200000059</v>
      </c>
      <c r="P150" s="13">
        <f t="shared" si="141"/>
        <v>94.05914332407977</v>
      </c>
      <c r="Q150" s="20">
        <f t="shared" si="108"/>
        <v>880.12670177277323</v>
      </c>
      <c r="R150" s="59">
        <f t="shared" si="109"/>
        <v>1173.4600351061065</v>
      </c>
      <c r="S150" s="59">
        <f ca="1">AVERAGE(OFFSET($R$3,0,0,'Données projet'!$E$9+1,1))-AVERAGE(OFFSET($H$3,0,0,'Données projet'!$E$9+1,1))</f>
        <v>457.88065872594228</v>
      </c>
      <c r="T150" s="59">
        <f t="shared" si="142"/>
        <v>204.62439362068329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68.689825668323437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68.689825668323437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1131.0921565051492</v>
      </c>
      <c r="AN150" s="59">
        <f ca="1">AVERAGE(OFFSET($AM$3,0,0,'Données projet'!$E$10+1,1))-AVERAGE(OFFSET($H$3,0,0,'Données projet'!$E$10+1,1))</f>
        <v>430.16825592717629</v>
      </c>
      <c r="AO150" s="59">
        <f t="shared" si="144"/>
        <v>192.87542067077248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-2.3942448024172337E-14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243.94505553629301</v>
      </c>
      <c r="BJ150" s="59">
        <f t="shared" si="146"/>
        <v>173.05364940250229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85.986944001133423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85.986944001133423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1.1173142411280423E-13</v>
      </c>
      <c r="CA150" s="13">
        <f t="shared" si="147"/>
        <v>1.6569896290553793E-12</v>
      </c>
      <c r="CB150" s="20">
        <f t="shared" si="118"/>
        <v>3.0805225009345862E-12</v>
      </c>
      <c r="CC150" s="59">
        <f t="shared" si="119"/>
        <v>293.33333333333638</v>
      </c>
      <c r="CD150" s="59">
        <f ca="1">AVERAGE(OFFSET($CC$3,0,0,'Données projet'!$E$12+1,1))-AVERAGE(OFFSET($H$3,0,0,'Données projet'!$E$12+1,1))</f>
        <v>140.9558843244115</v>
      </c>
      <c r="CE150" s="59">
        <f t="shared" si="148"/>
        <v>158.88947216184619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17.876550706818474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17.876550706818474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8.3249999999999993</v>
      </c>
      <c r="CT150" s="12">
        <f>IF('Données projet'!$A$140&gt;35,CT149+CS150-DB149,IF(A150&lt;'Données projet'!$A$140,$CQ$205^A150,IF(A150='Données projet'!$A$140,'Données projet'!$B$140,CT149+CS150-DB149)))</f>
        <v>432.19500000000056</v>
      </c>
      <c r="CU150" s="17">
        <f>CT150*VLOOKUP('Données projet'!$B$13,Paramètres!$A$1:$I$89,3,0)*VLOOKUP('Données projet'!$B$13,Paramètres!$A$1:$I$89,5,0)</f>
        <v>418.01900400000051</v>
      </c>
      <c r="CV150" s="13">
        <f t="shared" si="149"/>
        <v>95.420321076398807</v>
      </c>
      <c r="CW150" s="20">
        <f t="shared" si="121"/>
        <v>894.24015784139544</v>
      </c>
      <c r="CX150" s="59">
        <f t="shared" si="122"/>
        <v>1187.5734911747288</v>
      </c>
      <c r="CY150" s="59">
        <f ca="1">AVERAGE(OFFSET($CX$3,0,0,'Données projet'!$E$13+1,1))-AVERAGE(OFFSET($H$3,0,0,'Données projet'!$E$13+1,1))</f>
        <v>467.11196088914556</v>
      </c>
      <c r="CZ150" s="59">
        <f t="shared" si="150"/>
        <v>208.53783609106262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69.815888384197592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69.815888384197592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8.3249999999999993</v>
      </c>
      <c r="DO150" s="12">
        <f>IF('Données projet'!$A$166&gt;35,DO149+DN150-DW149,IF(A150&lt;'Données projet'!$A$166,$DL$205^A150,IF(A150='Données projet'!$A$166,'Données projet'!$B$166,DO149+DN150-DW149)))</f>
        <v>432.19500000000056</v>
      </c>
      <c r="DP150" s="17">
        <f>DO150*VLOOKUP('Données projet'!$B$14,Paramètres!$A$1:$I$89,3,0)*VLOOKUP('Données projet'!$B$14,Paramètres!$A$1:$I$89,5,0)</f>
        <v>465.21469800000062</v>
      </c>
      <c r="DQ150" s="13">
        <f t="shared" si="151"/>
        <v>104.8795060518574</v>
      </c>
      <c r="DR150" s="20">
        <f t="shared" si="124"/>
        <v>992.9140720569859</v>
      </c>
      <c r="DS150" s="59">
        <f t="shared" si="125"/>
        <v>1286.2474053903193</v>
      </c>
      <c r="DT150" s="59">
        <f ca="1">AVERAGE(OFFSET($DS$3,0,0,'Données projet'!$E$14+1,1))-AVERAGE(OFFSET($H$3,0,0,'Données projet'!$E$14+1,1))</f>
        <v>531.65020827367698</v>
      </c>
      <c r="DU150" s="59">
        <f t="shared" si="152"/>
        <v>235.89413420278396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77.698327395316682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77.698327395316682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85.425600000000088</v>
      </c>
      <c r="D151" s="11">
        <f t="shared" si="140"/>
        <v>23.458662931007584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840.51009981830487</v>
      </c>
      <c r="H151" s="67">
        <f t="shared" si="110"/>
        <v>482.97342460483833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419.19883200000055</v>
      </c>
      <c r="P151" s="13">
        <f t="shared" si="141"/>
        <v>95.658250407067044</v>
      </c>
      <c r="Q151" s="20">
        <f t="shared" si="108"/>
        <v>896.70941852564249</v>
      </c>
      <c r="R151" s="59">
        <f t="shared" si="109"/>
        <v>1190.0427518589759</v>
      </c>
      <c r="S151" s="59">
        <f ca="1">AVERAGE(OFFSET($R$3,0,0,'Données projet'!$E$9+1,1))-AVERAGE(OFFSET($H$3,0,0,'Données projet'!$E$9+1,1))</f>
        <v>457.88065872594228</v>
      </c>
      <c r="T151" s="59">
        <f t="shared" si="142"/>
        <v>204.62439362068329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67.342860083624316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67.342860083624316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1146.8749205018632</v>
      </c>
      <c r="AN151" s="59">
        <f ca="1">AVERAGE(OFFSET($AM$3,0,0,'Données projet'!$E$10+1,1))-AVERAGE(OFFSET($H$3,0,0,'Données projet'!$E$10+1,1))</f>
        <v>430.16825592717629</v>
      </c>
      <c r="AO151" s="59">
        <f t="shared" si="144"/>
        <v>192.87542067077248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-2.3942448024172337E-14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243.94505553629301</v>
      </c>
      <c r="BJ151" s="59">
        <f t="shared" si="146"/>
        <v>173.05364940250229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84.300792476128336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84.300792476128336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1.1173142411280423E-13</v>
      </c>
      <c r="CA151" s="13">
        <f t="shared" si="147"/>
        <v>1.6569896290553793E-12</v>
      </c>
      <c r="CB151" s="20">
        <f t="shared" si="118"/>
        <v>3.0805225009345862E-12</v>
      </c>
      <c r="CC151" s="59">
        <f t="shared" si="119"/>
        <v>293.33333333333638</v>
      </c>
      <c r="CD151" s="59">
        <f ca="1">AVERAGE(OFFSET($CC$3,0,0,'Données projet'!$E$12+1,1))-AVERAGE(OFFSET($H$3,0,0,'Données projet'!$E$12+1,1))</f>
        <v>140.9558843244115</v>
      </c>
      <c r="CE151" s="59">
        <f t="shared" si="148"/>
        <v>158.88947216184619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17.526002451077051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17.526002451077051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8.3249999999999993</v>
      </c>
      <c r="CT151" s="12">
        <f>IF('Données projet'!$A$140&gt;35,CT150+CS151-DB150,IF(A151&lt;'Données projet'!$A$140,$CQ$205^A151,IF(A151='Données projet'!$A$140,'Données projet'!$B$140,CT150+CS151-DB150)))</f>
        <v>440.52000000000055</v>
      </c>
      <c r="CU151" s="17">
        <f>CT151*VLOOKUP('Données projet'!$B$13,Paramètres!$A$1:$I$89,3,0)*VLOOKUP('Données projet'!$B$13,Paramètres!$A$1:$I$89,5,0)</f>
        <v>426.07094400000051</v>
      </c>
      <c r="CV151" s="13">
        <f t="shared" si="149"/>
        <v>97.042569652153361</v>
      </c>
      <c r="CW151" s="20">
        <f t="shared" si="121"/>
        <v>911.08936961083464</v>
      </c>
      <c r="CX151" s="59">
        <f t="shared" si="122"/>
        <v>1204.4227029441679</v>
      </c>
      <c r="CY151" s="59">
        <f ca="1">AVERAGE(OFFSET($CX$3,0,0,'Données projet'!$E$13+1,1))-AVERAGE(OFFSET($H$3,0,0,'Données projet'!$E$13+1,1))</f>
        <v>467.11196088914556</v>
      </c>
      <c r="CZ151" s="59">
        <f t="shared" si="150"/>
        <v>208.53783609106262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68.446841396470617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68.446841396470617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8.3249999999999993</v>
      </c>
      <c r="DO151" s="12">
        <f>IF('Données projet'!$A$166&gt;35,DO150+DN151-DW150,IF(A151&lt;'Données projet'!$A$166,$DL$205^A151,IF(A151='Données projet'!$A$166,'Données projet'!$B$166,DO150+DN151-DW150)))</f>
        <v>440.52000000000055</v>
      </c>
      <c r="DP151" s="17">
        <f>DO151*VLOOKUP('Données projet'!$B$14,Paramètres!$A$1:$I$89,3,0)*VLOOKUP('Données projet'!$B$14,Paramètres!$A$1:$I$89,5,0)</f>
        <v>474.17572800000056</v>
      </c>
      <c r="DQ151" s="13">
        <f t="shared" si="151"/>
        <v>106.66257099441019</v>
      </c>
      <c r="DR151" s="20">
        <f t="shared" si="124"/>
        <v>1011.626704081932</v>
      </c>
      <c r="DS151" s="59">
        <f t="shared" si="125"/>
        <v>1304.9600374152653</v>
      </c>
      <c r="DT151" s="59">
        <f ca="1">AVERAGE(OFFSET($DS$3,0,0,'Données projet'!$E$14+1,1))-AVERAGE(OFFSET($H$3,0,0,'Données projet'!$E$14+1,1))</f>
        <v>531.65020827367698</v>
      </c>
      <c r="DU151" s="59">
        <f t="shared" si="152"/>
        <v>235.89413420278396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76.174710586394724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76.174710586394724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86.002800000000093</v>
      </c>
      <c r="D152" s="11">
        <f t="shared" si="140"/>
        <v>23.598662551365958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846.04637758949241</v>
      </c>
      <c r="H152" s="67">
        <f t="shared" si="110"/>
        <v>484.22254727696253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427.12090200000046</v>
      </c>
      <c r="P152" s="13">
        <f t="shared" si="141"/>
        <v>97.253843513278113</v>
      </c>
      <c r="Q152" s="20">
        <f t="shared" si="108"/>
        <v>913.28601510229339</v>
      </c>
      <c r="R152" s="59">
        <f t="shared" si="109"/>
        <v>1206.6193484356268</v>
      </c>
      <c r="S152" s="59">
        <f ca="1">AVERAGE(OFFSET($R$3,0,0,'Données projet'!$E$9+1,1))-AVERAGE(OFFSET($H$3,0,0,'Données projet'!$E$9+1,1))</f>
        <v>457.88065872594228</v>
      </c>
      <c r="T152" s="59">
        <f t="shared" si="142"/>
        <v>204.62439362068329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66.022307672473261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66.022307672473261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1162.651831054684</v>
      </c>
      <c r="AN152" s="59">
        <f ca="1">AVERAGE(OFFSET($AM$3,0,0,'Données projet'!$E$10+1,1))-AVERAGE(OFFSET($H$3,0,0,'Données projet'!$E$10+1,1))</f>
        <v>430.16825592717629</v>
      </c>
      <c r="AO152" s="59">
        <f t="shared" si="144"/>
        <v>192.87542067077248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-2.3942448024172337E-14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243.94505553629301</v>
      </c>
      <c r="BJ152" s="59">
        <f t="shared" si="146"/>
        <v>173.05364940250229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82.647705354077729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82.647705354077729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1.1173142411280423E-13</v>
      </c>
      <c r="CA152" s="13">
        <f t="shared" si="147"/>
        <v>1.6569896290553793E-12</v>
      </c>
      <c r="CB152" s="20">
        <f t="shared" si="118"/>
        <v>3.0805225009345862E-12</v>
      </c>
      <c r="CC152" s="59">
        <f t="shared" si="119"/>
        <v>293.33333333333638</v>
      </c>
      <c r="CD152" s="59">
        <f ca="1">AVERAGE(OFFSET($CC$3,0,0,'Données projet'!$E$12+1,1))-AVERAGE(OFFSET($H$3,0,0,'Données projet'!$E$12+1,1))</f>
        <v>140.9558843244115</v>
      </c>
      <c r="CE152" s="59">
        <f t="shared" si="148"/>
        <v>158.88947216184619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17.182328232817394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17.182328232817394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8.3249999999999993</v>
      </c>
      <c r="CT152" s="12">
        <f>IF('Données projet'!$A$140&gt;35,CT151+CS152-DB151,IF(A152&lt;'Données projet'!$A$140,$CQ$205^A152,IF(A152='Données projet'!$A$140,'Données projet'!$B$140,CT151+CS152-DB151)))</f>
        <v>448.84500000000054</v>
      </c>
      <c r="CU152" s="17">
        <f>CT152*VLOOKUP('Données projet'!$B$13,Paramètres!$A$1:$I$89,3,0)*VLOOKUP('Données projet'!$B$13,Paramètres!$A$1:$I$89,5,0)</f>
        <v>434.12288400000057</v>
      </c>
      <c r="CV152" s="13">
        <f t="shared" si="149"/>
        <v>98.661253398584833</v>
      </c>
      <c r="CW152" s="20">
        <f t="shared" si="121"/>
        <v>927.93237263586946</v>
      </c>
      <c r="CX152" s="59">
        <f t="shared" si="122"/>
        <v>1221.2657059692028</v>
      </c>
      <c r="CY152" s="59">
        <f ca="1">AVERAGE(OFFSET($CX$3,0,0,'Données projet'!$E$13+1,1))-AVERAGE(OFFSET($H$3,0,0,'Données projet'!$E$13+1,1))</f>
        <v>467.11196088914556</v>
      </c>
      <c r="CZ152" s="59">
        <f t="shared" si="150"/>
        <v>208.53783609106262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67.104640585136764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67.104640585136764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8.3249999999999993</v>
      </c>
      <c r="DO152" s="12">
        <f>IF('Données projet'!$A$166&gt;35,DO151+DN152-DW151,IF(A152&lt;'Données projet'!$A$166,$DL$205^A152,IF(A152='Données projet'!$A$166,'Données projet'!$B$166,DO151+DN152-DW151)))</f>
        <v>448.84500000000054</v>
      </c>
      <c r="DP152" s="17">
        <f>DO152*VLOOKUP('Données projet'!$B$14,Paramètres!$A$1:$I$89,3,0)*VLOOKUP('Données projet'!$B$14,Paramètres!$A$1:$I$89,5,0)</f>
        <v>483.13675800000055</v>
      </c>
      <c r="DQ152" s="13">
        <f t="shared" si="151"/>
        <v>108.4417177198124</v>
      </c>
      <c r="DR152" s="20">
        <f t="shared" si="124"/>
        <v>1030.3325118786743</v>
      </c>
      <c r="DS152" s="59">
        <f t="shared" si="125"/>
        <v>1323.6658452120075</v>
      </c>
      <c r="DT152" s="59">
        <f ca="1">AVERAGE(OFFSET($DS$3,0,0,'Données projet'!$E$14+1,1))-AVERAGE(OFFSET($H$3,0,0,'Données projet'!$E$14+1,1))</f>
        <v>531.65020827367698</v>
      </c>
      <c r="DU152" s="59">
        <f t="shared" si="152"/>
        <v>235.89413420278396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74.680970973781243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74.680970973781243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86.580000000000098</v>
      </c>
      <c r="D153" s="11">
        <f t="shared" si="140"/>
        <v>23.738552844733999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851.58181143303511</v>
      </c>
      <c r="H153" s="67">
        <f t="shared" si="110"/>
        <v>485.47147953791188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435.04297200000053</v>
      </c>
      <c r="P153" s="13">
        <f t="shared" si="141"/>
        <v>98.84599533495539</v>
      </c>
      <c r="Q153" s="20">
        <f t="shared" si="108"/>
        <v>929.85661810838155</v>
      </c>
      <c r="R153" s="59">
        <f t="shared" si="109"/>
        <v>1223.1899514417148</v>
      </c>
      <c r="S153" s="59">
        <f ca="1">AVERAGE(OFFSET($R$3,0,0,'Données projet'!$E$9+1,1))-AVERAGE(OFFSET($H$3,0,0,'Données projet'!$E$9+1,1))</f>
        <v>457.88065872594228</v>
      </c>
      <c r="T153" s="59">
        <f t="shared" si="142"/>
        <v>204.62439362068329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64.727650488647441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64.727650488647441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1178.4230092514811</v>
      </c>
      <c r="AN153" s="59">
        <f ca="1">AVERAGE(OFFSET($AM$3,0,0,'Données projet'!$E$10+1,1))-AVERAGE(OFFSET($H$3,0,0,'Données projet'!$E$10+1,1))</f>
        <v>430.16825592717629</v>
      </c>
      <c r="AO153" s="59">
        <f t="shared" si="144"/>
        <v>192.87542067077248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-2.3942448024172337E-14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243.94505553629301</v>
      </c>
      <c r="BJ153" s="59">
        <f t="shared" si="146"/>
        <v>173.05364940250229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81.027034262206939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81.027034262206939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1.1173142411280423E-13</v>
      </c>
      <c r="CA153" s="13">
        <f t="shared" si="147"/>
        <v>1.6569896290553793E-12</v>
      </c>
      <c r="CB153" s="20">
        <f t="shared" si="118"/>
        <v>3.0805225009345862E-12</v>
      </c>
      <c r="CC153" s="59">
        <f t="shared" si="119"/>
        <v>293.33333333333638</v>
      </c>
      <c r="CD153" s="59">
        <f ca="1">AVERAGE(OFFSET($CC$3,0,0,'Données projet'!$E$12+1,1))-AVERAGE(OFFSET($H$3,0,0,'Données projet'!$E$12+1,1))</f>
        <v>140.9558843244115</v>
      </c>
      <c r="CE153" s="59">
        <f t="shared" si="148"/>
        <v>158.88947216184619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16.845393256357234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16.845393256357234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8.3249999999999993</v>
      </c>
      <c r="CT153" s="12">
        <f>IF('Données projet'!$A$140&gt;35,CT152+CS153-DB152,IF(A153&lt;'Données projet'!$A$140,$CQ$205^A153,IF(A153='Données projet'!$A$140,'Données projet'!$B$140,CT152+CS153-DB152)))</f>
        <v>457.17000000000053</v>
      </c>
      <c r="CU153" s="17">
        <f>CT153*VLOOKUP('Données projet'!$B$13,Paramètres!$A$1:$I$89,3,0)*VLOOKUP('Données projet'!$B$13,Paramètres!$A$1:$I$89,5,0)</f>
        <v>442.17482400000057</v>
      </c>
      <c r="CV153" s="13">
        <f t="shared" si="149"/>
        <v>100.27644605990184</v>
      </c>
      <c r="CW153" s="20">
        <f t="shared" si="121"/>
        <v>944.76929535432998</v>
      </c>
      <c r="CX153" s="59">
        <f t="shared" si="122"/>
        <v>1238.1026286876634</v>
      </c>
      <c r="CY153" s="59">
        <f ca="1">AVERAGE(OFFSET($CX$3,0,0,'Données projet'!$E$13+1,1))-AVERAGE(OFFSET($H$3,0,0,'Données projet'!$E$13+1,1))</f>
        <v>467.11196088914556</v>
      </c>
      <c r="CZ153" s="59">
        <f t="shared" si="150"/>
        <v>208.53783609106262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65.788759513051502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65.788759513051502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8.3249999999999993</v>
      </c>
      <c r="DO153" s="12">
        <f>IF('Données projet'!$A$166&gt;35,DO152+DN153-DW152,IF(A153&lt;'Données projet'!$A$166,$DL$205^A153,IF(A153='Données projet'!$A$166,'Données projet'!$B$166,DO152+DN153-DW152)))</f>
        <v>457.17000000000053</v>
      </c>
      <c r="DP153" s="17">
        <f>DO153*VLOOKUP('Données projet'!$B$14,Paramètres!$A$1:$I$89,3,0)*VLOOKUP('Données projet'!$B$14,Paramètres!$A$1:$I$89,5,0)</f>
        <v>492.09778800000055</v>
      </c>
      <c r="DQ153" s="13">
        <f t="shared" si="151"/>
        <v>110.21702728266624</v>
      </c>
      <c r="DR153" s="20">
        <f t="shared" si="124"/>
        <v>1049.0316366173113</v>
      </c>
      <c r="DS153" s="59">
        <f t="shared" si="125"/>
        <v>1342.3649699506445</v>
      </c>
      <c r="DT153" s="59">
        <f ca="1">AVERAGE(OFFSET($DS$3,0,0,'Données projet'!$E$14+1,1))-AVERAGE(OFFSET($H$3,0,0,'Données projet'!$E$14+1,1))</f>
        <v>531.65020827367698</v>
      </c>
      <c r="DU153" s="59">
        <f t="shared" si="152"/>
        <v>235.89413420278396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73.216522683879916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73.216522683879916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87.157200000000103</v>
      </c>
      <c r="D154" s="11">
        <f t="shared" si="140"/>
        <v>23.878334624492524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857.1164076276624</v>
      </c>
      <c r="H154" s="67">
        <f t="shared" si="110"/>
        <v>486.72022280432464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442.96504200000049</v>
      </c>
      <c r="P154" s="13">
        <f t="shared" si="141"/>
        <v>100.43477576533398</v>
      </c>
      <c r="Q154" s="20">
        <f t="shared" ref="Q154:Q203" si="162">(O154+P154)*0.475*44/12</f>
        <v>946.42134927462405</v>
      </c>
      <c r="R154" s="59">
        <f t="shared" si="109"/>
        <v>1239.7546826079574</v>
      </c>
      <c r="S154" s="59">
        <f ca="1">AVERAGE(OFFSET($R$3,0,0,'Données projet'!$E$9+1,1))-AVERAGE(OFFSET($H$3,0,0,'Données projet'!$E$9+1,1))</f>
        <v>457.88065872594228</v>
      </c>
      <c r="T154" s="59">
        <f t="shared" si="142"/>
        <v>204.62439362068329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63.458380742533542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63.458380742533542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1194.1885715176488</v>
      </c>
      <c r="AN154" s="59">
        <f ca="1">AVERAGE(OFFSET($AM$3,0,0,'Données projet'!$E$10+1,1))-AVERAGE(OFFSET($H$3,0,0,'Données projet'!$E$10+1,1))</f>
        <v>430.16825592717629</v>
      </c>
      <c r="AO154" s="59">
        <f t="shared" si="144"/>
        <v>192.87542067077248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-2.3942448024172337E-14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243.94505553629301</v>
      </c>
      <c r="BJ154" s="59">
        <f t="shared" si="146"/>
        <v>173.05364940250229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79.438143541935986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79.438143541935986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1.1173142411280423E-13</v>
      </c>
      <c r="CA154" s="13">
        <f t="shared" ref="CA154:CA203" si="170">EXP(-1.0587+0.8836*LN(BZ154)+0.284)</f>
        <v>1.6569896290553793E-12</v>
      </c>
      <c r="CB154" s="20">
        <f t="shared" ref="CB154:CB203" si="171">(BZ154+CA154)*0.475*44/12</f>
        <v>3.0805225009345862E-12</v>
      </c>
      <c r="CC154" s="59">
        <f t="shared" si="119"/>
        <v>293.33333333333638</v>
      </c>
      <c r="CD154" s="59">
        <f ca="1">AVERAGE(OFFSET($CC$3,0,0,'Données projet'!$E$12+1,1))-AVERAGE(OFFSET($H$3,0,0,'Données projet'!$E$12+1,1))</f>
        <v>140.9558843244115</v>
      </c>
      <c r="CE154" s="59">
        <f t="shared" si="148"/>
        <v>158.88947216184619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16.515065369275415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16.515065369275415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8.3249999999999993</v>
      </c>
      <c r="CT154" s="12">
        <f>IF('Données projet'!$A$140&gt;35,CT153+CS154-DB153,IF(A154&lt;'Données projet'!$A$140,$CQ$205^A154,IF(A154='Données projet'!$A$140,'Données projet'!$B$140,CT153+CS154-DB153)))</f>
        <v>465.49500000000052</v>
      </c>
      <c r="CU154" s="17">
        <f>CT154*VLOOKUP('Données projet'!$B$13,Paramètres!$A$1:$I$89,3,0)*VLOOKUP('Données projet'!$B$13,Paramètres!$A$1:$I$89,5,0)</f>
        <v>450.22676400000051</v>
      </c>
      <c r="CV154" s="13">
        <f t="shared" ref="CV154:CV203" si="173">EXP(-1.0587+0.8836*LN(CU154)+0.284)</f>
        <v>101.88821854080018</v>
      </c>
      <c r="CW154" s="20">
        <f t="shared" ref="CW154:CW203" si="174">(CU154+CV154)*0.475*44/12</f>
        <v>961.6002612585612</v>
      </c>
      <c r="CX154" s="59">
        <f t="shared" si="122"/>
        <v>1254.9335945918945</v>
      </c>
      <c r="CY154" s="59">
        <f ca="1">AVERAGE(OFFSET($CX$3,0,0,'Données projet'!$E$13+1,1))-AVERAGE(OFFSET($H$3,0,0,'Données projet'!$E$13+1,1))</f>
        <v>467.11196088914556</v>
      </c>
      <c r="CZ154" s="59">
        <f t="shared" si="150"/>
        <v>208.53783609106262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64.49868206618163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64.49868206618163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8.3249999999999993</v>
      </c>
      <c r="DO154" s="12">
        <f>IF('Données projet'!$A$166&gt;35,DO153+DN154-DW153,IF(A154&lt;'Données projet'!$A$166,$DL$205^A154,IF(A154='Données projet'!$A$166,'Données projet'!$B$166,DO153+DN154-DW153)))</f>
        <v>465.49500000000052</v>
      </c>
      <c r="DP154" s="17">
        <f>DO154*VLOOKUP('Données projet'!$B$14,Paramètres!$A$1:$I$89,3,0)*VLOOKUP('Données projet'!$B$14,Paramètres!$A$1:$I$89,5,0)</f>
        <v>501.05881800000054</v>
      </c>
      <c r="DQ154" s="13">
        <f t="shared" ref="DQ154:DQ203" si="176">EXP(-1.0587+0.8836*LN(DP154)+0.284)</f>
        <v>111.9885776165752</v>
      </c>
      <c r="DR154" s="20">
        <f t="shared" ref="DR154:DR203" si="177">(DP154+DQ154)*0.475*44/12</f>
        <v>1067.7242140322026</v>
      </c>
      <c r="DS154" s="59">
        <f t="shared" si="125"/>
        <v>1361.0575473655358</v>
      </c>
      <c r="DT154" s="59">
        <f ca="1">AVERAGE(OFFSET($DS$3,0,0,'Données projet'!$E$14+1,1))-AVERAGE(OFFSET($H$3,0,0,'Données projet'!$E$14+1,1))</f>
        <v>531.65020827367698</v>
      </c>
      <c r="DU154" s="59">
        <f t="shared" si="152"/>
        <v>235.89413420278396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71.780791331718291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71.780791331718291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87.734400000000107</v>
      </c>
      <c r="D155" s="11">
        <f t="shared" si="140"/>
        <v>24.0180086926262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862.6501723641328</v>
      </c>
      <c r="H155" s="67">
        <f t="shared" si="110"/>
        <v>487.96877847299078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450.88711200000051</v>
      </c>
      <c r="P155" s="13">
        <f t="shared" si="141"/>
        <v>102.02025205451328</v>
      </c>
      <c r="Q155" s="20">
        <f t="shared" si="162"/>
        <v>962.98032572827799</v>
      </c>
      <c r="R155" s="59">
        <f t="shared" si="109"/>
        <v>1256.3136590616114</v>
      </c>
      <c r="S155" s="59">
        <f ca="1">AVERAGE(OFFSET($R$3,0,0,'Données projet'!$E$9+1,1))-AVERAGE(OFFSET($H$3,0,0,'Données projet'!$E$9+1,1))</f>
        <v>457.88065872594228</v>
      </c>
      <c r="T155" s="59">
        <f t="shared" si="142"/>
        <v>204.62439362068329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62.21400060196283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62.21400060196283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1209.9486298757504</v>
      </c>
      <c r="AN155" s="59">
        <f ca="1">AVERAGE(OFFSET($AM$3,0,0,'Données projet'!$E$10+1,1))-AVERAGE(OFFSET($H$3,0,0,'Données projet'!$E$10+1,1))</f>
        <v>430.16825592717629</v>
      </c>
      <c r="AO155" s="59">
        <f t="shared" si="144"/>
        <v>192.87542067077248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-2.3942448024172337E-14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243.94505553629301</v>
      </c>
      <c r="BJ155" s="59">
        <f t="shared" si="146"/>
        <v>173.05364940250229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77.880409999561891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77.880409999561891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1.1173142411280423E-13</v>
      </c>
      <c r="CA155" s="13">
        <f t="shared" si="170"/>
        <v>1.6569896290553793E-12</v>
      </c>
      <c r="CB155" s="20">
        <f t="shared" si="171"/>
        <v>3.0805225009345862E-12</v>
      </c>
      <c r="CC155" s="59">
        <f t="shared" si="119"/>
        <v>293.33333333333638</v>
      </c>
      <c r="CD155" s="59">
        <f ca="1">AVERAGE(OFFSET($CC$3,0,0,'Données projet'!$E$12+1,1))-AVERAGE(OFFSET($H$3,0,0,'Données projet'!$E$12+1,1))</f>
        <v>140.9558843244115</v>
      </c>
      <c r="CE155" s="59">
        <f t="shared" si="148"/>
        <v>158.88947216184619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16.191215010579153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16.191215010579153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8.3249999999999993</v>
      </c>
      <c r="CT155" s="12">
        <f>IF('Données projet'!$A$140&gt;35,CT154+CS155-DB154,IF(A155&lt;'Données projet'!$A$140,$CQ$205^A155,IF(A155='Données projet'!$A$140,'Données projet'!$B$140,CT154+CS155-DB154)))</f>
        <v>473.8200000000005</v>
      </c>
      <c r="CU155" s="17">
        <f>CT155*VLOOKUP('Données projet'!$B$13,Paramètres!$A$1:$I$89,3,0)*VLOOKUP('Données projet'!$B$13,Paramètres!$A$1:$I$89,5,0)</f>
        <v>458.27870400000052</v>
      </c>
      <c r="CV155" s="13">
        <f t="shared" si="173"/>
        <v>103.49663906458966</v>
      </c>
      <c r="CW155" s="20">
        <f t="shared" si="174"/>
        <v>978.42538917082777</v>
      </c>
      <c r="CX155" s="59">
        <f t="shared" si="122"/>
        <v>1271.7587225041611</v>
      </c>
      <c r="CY155" s="59">
        <f ca="1">AVERAGE(OFFSET($CX$3,0,0,'Données projet'!$E$13+1,1))-AVERAGE(OFFSET($H$3,0,0,'Données projet'!$E$13+1,1))</f>
        <v>467.11196088914556</v>
      </c>
      <c r="CZ155" s="59">
        <f t="shared" si="150"/>
        <v>208.53783609106262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63.233902251175337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63.233902251175337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8.3249999999999993</v>
      </c>
      <c r="DO155" s="12">
        <f>IF('Données projet'!$A$166&gt;35,DO154+DN155-DW154,IF(A155&lt;'Données projet'!$A$166,$DL$205^A155,IF(A155='Données projet'!$A$166,'Données projet'!$B$166,DO154+DN155-DW154)))</f>
        <v>473.8200000000005</v>
      </c>
      <c r="DP155" s="17">
        <f>DO155*VLOOKUP('Données projet'!$B$14,Paramètres!$A$1:$I$89,3,0)*VLOOKUP('Données projet'!$B$14,Paramètres!$A$1:$I$89,5,0)</f>
        <v>510.01984800000048</v>
      </c>
      <c r="DQ155" s="13">
        <f t="shared" si="176"/>
        <v>113.7564437079464</v>
      </c>
      <c r="DR155" s="20">
        <f t="shared" si="177"/>
        <v>1086.4103747246743</v>
      </c>
      <c r="DS155" s="59">
        <f t="shared" si="125"/>
        <v>1379.7437080580075</v>
      </c>
      <c r="DT155" s="59">
        <f ca="1">AVERAGE(OFFSET($DS$3,0,0,'Données projet'!$E$14+1,1))-AVERAGE(OFFSET($H$3,0,0,'Données projet'!$E$14+1,1))</f>
        <v>531.65020827367698</v>
      </c>
      <c r="DU155" s="59">
        <f t="shared" si="152"/>
        <v>235.89413420278396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70.373213795662892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70.373213795662892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88.311600000000112</v>
      </c>
      <c r="D156" s="11">
        <f t="shared" si="140"/>
        <v>24.157575839957207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868.18311174703911</v>
      </c>
      <c r="H156" s="67">
        <f t="shared" si="110"/>
        <v>489.21714792125897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458.80918200000048</v>
      </c>
      <c r="P156" s="13">
        <f t="shared" si="141"/>
        <v>103.60248895406399</v>
      </c>
      <c r="Q156" s="20">
        <f t="shared" si="162"/>
        <v>979.53366024499553</v>
      </c>
      <c r="R156" s="59">
        <f t="shared" si="109"/>
        <v>1272.8669935783289</v>
      </c>
      <c r="S156" s="59">
        <f ca="1">AVERAGE(OFFSET($R$3,0,0,'Données projet'!$E$9+1,1))-AVERAGE(OFFSET($H$3,0,0,'Données projet'!$E$9+1,1))</f>
        <v>457.88065872594228</v>
      </c>
      <c r="T156" s="59">
        <f t="shared" si="142"/>
        <v>204.62439362068329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60.994021996951773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60.994021996951773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1225.7032921863961</v>
      </c>
      <c r="AN156" s="59">
        <f ca="1">AVERAGE(OFFSET($AM$3,0,0,'Données projet'!$E$10+1,1))-AVERAGE(OFFSET($H$3,0,0,'Données projet'!$E$10+1,1))</f>
        <v>430.16825592717629</v>
      </c>
      <c r="AO156" s="59">
        <f t="shared" si="144"/>
        <v>192.87542067077248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-2.3942448024172337E-14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243.94505553629301</v>
      </c>
      <c r="BJ156" s="59">
        <f t="shared" si="146"/>
        <v>173.05364940250229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76.353222661830117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76.353222661830117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1.1173142411280423E-13</v>
      </c>
      <c r="CA156" s="13">
        <f t="shared" si="170"/>
        <v>1.6569896290553793E-12</v>
      </c>
      <c r="CB156" s="20">
        <f t="shared" si="171"/>
        <v>3.0805225009345862E-12</v>
      </c>
      <c r="CC156" s="59">
        <f t="shared" si="119"/>
        <v>293.33333333333638</v>
      </c>
      <c r="CD156" s="59">
        <f ca="1">AVERAGE(OFFSET($CC$3,0,0,'Données projet'!$E$12+1,1))-AVERAGE(OFFSET($H$3,0,0,'Données projet'!$E$12+1,1))</f>
        <v>140.9558843244115</v>
      </c>
      <c r="CE156" s="59">
        <f t="shared" si="148"/>
        <v>158.88947216184619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15.873715159887711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15.873715159887711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8.3249999999999993</v>
      </c>
      <c r="CT156" s="12">
        <f>IF('Données projet'!$A$140&gt;35,CT155+CS156-DB155,IF(A156&lt;'Données projet'!$A$140,$CQ$205^A156,IF(A156='Données projet'!$A$140,'Données projet'!$B$140,CT155+CS156-DB155)))</f>
        <v>482.14500000000049</v>
      </c>
      <c r="CU156" s="17">
        <f>CT156*VLOOKUP('Données projet'!$B$13,Paramètres!$A$1:$I$89,3,0)*VLOOKUP('Données projet'!$B$13,Paramètres!$A$1:$I$89,5,0)</f>
        <v>466.33064400000052</v>
      </c>
      <c r="CV156" s="13">
        <f t="shared" si="173"/>
        <v>105.10177331989394</v>
      </c>
      <c r="CW156" s="20">
        <f t="shared" si="174"/>
        <v>995.24479349881619</v>
      </c>
      <c r="CX156" s="59">
        <f t="shared" si="122"/>
        <v>1288.5781268321496</v>
      </c>
      <c r="CY156" s="59">
        <f ca="1">AVERAGE(OFFSET($CX$3,0,0,'Données projet'!$E$13+1,1))-AVERAGE(OFFSET($H$3,0,0,'Données projet'!$E$13+1,1))</f>
        <v>467.11196088914556</v>
      </c>
      <c r="CZ156" s="59">
        <f t="shared" si="150"/>
        <v>208.53783609106262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61.993923996901799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61.993923996901799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8.3249999999999993</v>
      </c>
      <c r="DO156" s="12">
        <f>IF('Données projet'!$A$166&gt;35,DO155+DN156-DW155,IF(A156&lt;'Données projet'!$A$166,$DL$205^A156,IF(A156='Données projet'!$A$166,'Données projet'!$B$166,DO155+DN156-DW155)))</f>
        <v>482.14500000000049</v>
      </c>
      <c r="DP156" s="17">
        <f>DO156*VLOOKUP('Données projet'!$B$14,Paramètres!$A$1:$I$89,3,0)*VLOOKUP('Données projet'!$B$14,Paramètres!$A$1:$I$89,5,0)</f>
        <v>518.98087800000053</v>
      </c>
      <c r="DQ156" s="13">
        <f t="shared" si="176"/>
        <v>115.52069775723253</v>
      </c>
      <c r="DR156" s="20">
        <f t="shared" si="177"/>
        <v>1105.0902444438475</v>
      </c>
      <c r="DS156" s="59">
        <f t="shared" si="125"/>
        <v>1398.4235777771808</v>
      </c>
      <c r="DT156" s="59">
        <f ca="1">AVERAGE(OFFSET($DS$3,0,0,'Données projet'!$E$14+1,1))-AVERAGE(OFFSET($H$3,0,0,'Données projet'!$E$14+1,1))</f>
        <v>531.65020827367698</v>
      </c>
      <c r="DU156" s="59">
        <f t="shared" si="152"/>
        <v>235.89413420278396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68.993237996552025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68.993237996552025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88.888800000000117</v>
      </c>
      <c r="D157" s="11">
        <f t="shared" si="140"/>
        <v>24.297036846372414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873.71523179655981</v>
      </c>
      <c r="H157" s="67">
        <f t="shared" si="110"/>
        <v>490.46533250743209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466.7312520000005</v>
      </c>
      <c r="P157" s="13">
        <f t="shared" si="141"/>
        <v>105.18154885136397</v>
      </c>
      <c r="Q157" s="20">
        <f t="shared" si="162"/>
        <v>996.08146148279309</v>
      </c>
      <c r="R157" s="59">
        <f t="shared" si="109"/>
        <v>1289.4147948161265</v>
      </c>
      <c r="S157" s="59">
        <f ca="1">AVERAGE(OFFSET($R$3,0,0,'Données projet'!$E$9+1,1))-AVERAGE(OFFSET($H$3,0,0,'Données projet'!$E$9+1,1))</f>
        <v>457.88065872594228</v>
      </c>
      <c r="T157" s="59">
        <f t="shared" si="142"/>
        <v>204.62439362068329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74.760641405727867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74.760641405727867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1241.4526623720205</v>
      </c>
      <c r="AN157" s="59">
        <f ca="1">AVERAGE(OFFSET($AM$3,0,0,'Données projet'!$E$10+1,1))-AVERAGE(OFFSET($H$3,0,0,'Données projet'!$E$10+1,1))</f>
        <v>430.16825592717629</v>
      </c>
      <c r="AO157" s="59">
        <f t="shared" si="144"/>
        <v>192.87542067077248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-2.3942448024172337E-14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243.94505553629301</v>
      </c>
      <c r="BJ157" s="59">
        <f t="shared" si="146"/>
        <v>173.05364940250229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74.855982536298967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74.855982536298967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1.1173142411280423E-13</v>
      </c>
      <c r="CA157" s="13">
        <f t="shared" si="170"/>
        <v>1.6569896290553793E-12</v>
      </c>
      <c r="CB157" s="20">
        <f t="shared" si="171"/>
        <v>3.0805225009345862E-12</v>
      </c>
      <c r="CC157" s="59">
        <f t="shared" si="119"/>
        <v>293.33333333333638</v>
      </c>
      <c r="CD157" s="59">
        <f ca="1">AVERAGE(OFFSET($CC$3,0,0,'Données projet'!$E$12+1,1))-AVERAGE(OFFSET($H$3,0,0,'Données projet'!$E$12+1,1))</f>
        <v>140.9558843244115</v>
      </c>
      <c r="CE157" s="59">
        <f t="shared" si="148"/>
        <v>158.88947216184619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15.562441287612542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15.562441287612542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490.47</v>
      </c>
      <c r="CR157" s="12">
        <f>VLOOKUP(A157,'Données projet'!$A$139:$I$159,9,0)</f>
        <v>8.3249999999999993</v>
      </c>
      <c r="CS157" s="12">
        <f t="array" ref="CS157">INDEX(CR:CR,MIN(IF(ISNUMBER(CR157:CR353),ROW(CR157:CR353),"")))</f>
        <v>8.3249999999999993</v>
      </c>
      <c r="CT157" s="12">
        <f>IF('Données projet'!$A$140&gt;35,CT156+CS157-DB156,IF(A157&lt;'Données projet'!$A$140,$CQ$205^A157,IF(A157='Données projet'!$A$140,'Données projet'!$B$140,CT156+CS157-DB156)))</f>
        <v>490.47000000000048</v>
      </c>
      <c r="CU157" s="17">
        <f>CT157*VLOOKUP('Données projet'!$B$13,Paramètres!$A$1:$I$89,3,0)*VLOOKUP('Données projet'!$B$13,Paramètres!$A$1:$I$89,5,0)</f>
        <v>474.38258400000052</v>
      </c>
      <c r="CV157" s="13">
        <f t="shared" si="173"/>
        <v>106.70368459693037</v>
      </c>
      <c r="CW157" s="20">
        <f t="shared" si="174"/>
        <v>1012.0585844729879</v>
      </c>
      <c r="CX157" s="59">
        <f t="shared" si="122"/>
        <v>1305.3919178063213</v>
      </c>
      <c r="CY157" s="59">
        <f ca="1">AVERAGE(OFFSET($CX$3,0,0,'Données projet'!$E$13+1,1))-AVERAGE(OFFSET($H$3,0,0,'Données projet'!$E$13+1,1))</f>
        <v>467.11196088914556</v>
      </c>
      <c r="CZ157" s="59">
        <f t="shared" si="150"/>
        <v>208.53783609106262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0.25800000000000001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75.986225691067673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75.986225691067673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490.47</v>
      </c>
      <c r="DM157" s="12">
        <f>VLOOKUP(A157,'Données projet'!$A$165:$I$185,9,0)</f>
        <v>8.3249999999999993</v>
      </c>
      <c r="DN157" s="12">
        <f t="array" ref="DN157">INDEX(DM:DM,MIN(IF(ISNUMBER(DM157:DM353),ROW(DM157:DM353),"")))</f>
        <v>8.3249999999999993</v>
      </c>
      <c r="DO157" s="12">
        <f>IF('Données projet'!$A$166&gt;35,DO156+DN157-DW156,IF(A157&lt;'Données projet'!$A$166,$DL$205^A157,IF(A157='Données projet'!$A$166,'Données projet'!$B$166,DO156+DN157-DW156)))</f>
        <v>490.47000000000048</v>
      </c>
      <c r="DP157" s="17">
        <f>DO157*VLOOKUP('Données projet'!$B$14,Paramètres!$A$1:$I$89,3,0)*VLOOKUP('Données projet'!$B$14,Paramètres!$A$1:$I$89,5,0)</f>
        <v>527.94190800000047</v>
      </c>
      <c r="DQ157" s="13">
        <f t="shared" si="176"/>
        <v>117.28140932872228</v>
      </c>
      <c r="DR157" s="20">
        <f t="shared" si="177"/>
        <v>1123.7639443475252</v>
      </c>
      <c r="DS157" s="59">
        <f t="shared" si="125"/>
        <v>1417.0972776808585</v>
      </c>
      <c r="DT157" s="59">
        <f ca="1">AVERAGE(OFFSET($DS$3,0,0,'Données projet'!$E$14+1,1))-AVERAGE(OFFSET($H$3,0,0,'Données projet'!$E$14+1,1))</f>
        <v>531.65020827367698</v>
      </c>
      <c r="DU157" s="59">
        <f t="shared" si="152"/>
        <v>235.89413420278396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55.13</v>
      </c>
      <c r="DX157" s="16">
        <f>IF(ISNA(VLOOKUP(A157,'Données projet'!$A$165:$I$185,5,0)),0%,VLOOKUP(A157,'Données projet'!$A$165:$I$185,5,0)*VLOOKUP('Données projet'!$B$14,Paramètres!$A$1:$I$89,7,0))</f>
        <v>0.25800000000000001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84.56531568844629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84.56531568844629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89.466000000000122</v>
      </c>
      <c r="D158" s="11">
        <f t="shared" si="140"/>
        <v>24.43639248104466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879.24653845017031</v>
      </c>
      <c r="H158" s="67">
        <f t="shared" si="110"/>
        <v>491.71333357115299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422.30390280000046</v>
      </c>
      <c r="P158" s="13">
        <f t="shared" si="141"/>
        <v>96.284060891681165</v>
      </c>
      <c r="Q158" s="20">
        <f t="shared" si="162"/>
        <v>903.20737009634547</v>
      </c>
      <c r="R158" s="59">
        <f t="shared" si="109"/>
        <v>1196.5407034296788</v>
      </c>
      <c r="S158" s="59">
        <f ca="1">AVERAGE(OFFSET($R$3,0,0,'Données projet'!$E$9+1,1))-AVERAGE(OFFSET($H$3,0,0,'Données projet'!$E$9+1,1))</f>
        <v>457.88065872594228</v>
      </c>
      <c r="T158" s="59">
        <f t="shared" si="142"/>
        <v>204.62439362068329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73.294630827250231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73.294630827250231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1153.0594020999463</v>
      </c>
      <c r="AN158" s="59">
        <f ca="1">AVERAGE(OFFSET($AM$3,0,0,'Données projet'!$E$10+1,1))-AVERAGE(OFFSET($H$3,0,0,'Données projet'!$E$10+1,1))</f>
        <v>430.16825592717629</v>
      </c>
      <c r="AO158" s="59">
        <f t="shared" si="144"/>
        <v>192.87542067077248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-2.3942448024172337E-14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243.94505553629301</v>
      </c>
      <c r="BJ158" s="59">
        <f t="shared" si="146"/>
        <v>173.05364940250229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73.388102376403168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73.388102376403168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1.1173142411280423E-13</v>
      </c>
      <c r="CA158" s="13">
        <f t="shared" si="170"/>
        <v>1.6569896290553793E-12</v>
      </c>
      <c r="CB158" s="20">
        <f t="shared" si="171"/>
        <v>3.0805225009345862E-12</v>
      </c>
      <c r="CC158" s="59">
        <f t="shared" si="119"/>
        <v>293.33333333333638</v>
      </c>
      <c r="CD158" s="59">
        <f ca="1">AVERAGE(OFFSET($CC$3,0,0,'Données projet'!$E$12+1,1))-AVERAGE(OFFSET($H$3,0,0,'Données projet'!$E$12+1,1))</f>
        <v>140.9558843244115</v>
      </c>
      <c r="CE158" s="59">
        <f t="shared" si="148"/>
        <v>158.88947216184619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15.257271306114372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15.257271306114372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8.4429999999999943</v>
      </c>
      <c r="CT158" s="12">
        <f>IF('Données projet'!$A$140&gt;35,CT157+CS158-DB157,IF(A158&lt;'Données projet'!$A$140,$CQ$205^A158,IF(A158='Données projet'!$A$140,'Données projet'!$B$140,CT157+CS158-DB157)))</f>
        <v>443.78300000000047</v>
      </c>
      <c r="CU158" s="17">
        <f>CT158*VLOOKUP('Données projet'!$B$13,Paramètres!$A$1:$I$89,3,0)*VLOOKUP('Données projet'!$B$13,Paramètres!$A$1:$I$89,5,0)</f>
        <v>429.22691760000049</v>
      </c>
      <c r="CV158" s="13">
        <f t="shared" si="173"/>
        <v>97.677436558915673</v>
      </c>
      <c r="CW158" s="20">
        <f t="shared" si="174"/>
        <v>917.69175016011229</v>
      </c>
      <c r="CX158" s="59">
        <f t="shared" si="122"/>
        <v>1211.0250834934457</v>
      </c>
      <c r="CY158" s="59">
        <f ca="1">AVERAGE(OFFSET($CX$3,0,0,'Données projet'!$E$13+1,1))-AVERAGE(OFFSET($H$3,0,0,'Données projet'!$E$13+1,1))</f>
        <v>467.11196088914556</v>
      </c>
      <c r="CZ158" s="59">
        <f t="shared" si="150"/>
        <v>208.53783609106262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74.496182152287119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74.496182152287119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8.4429999999999943</v>
      </c>
      <c r="DO158" s="12">
        <f>IF('Données projet'!$A$166&gt;35,DO157+DN158-DW157,IF(A158&lt;'Données projet'!$A$166,$DL$205^A158,IF(A158='Données projet'!$A$166,'Données projet'!$B$166,DO157+DN158-DW157)))</f>
        <v>443.78300000000047</v>
      </c>
      <c r="DP158" s="17">
        <f>DO158*VLOOKUP('Données projet'!$B$14,Paramètres!$A$1:$I$89,3,0)*VLOOKUP('Données projet'!$B$14,Paramètres!$A$1:$I$89,5,0)</f>
        <v>477.68802120000049</v>
      </c>
      <c r="DQ158" s="13">
        <f t="shared" si="176"/>
        <v>107.36037337904681</v>
      </c>
      <c r="DR158" s="20">
        <f t="shared" si="177"/>
        <v>1018.9592872251741</v>
      </c>
      <c r="DS158" s="59">
        <f t="shared" si="125"/>
        <v>1312.2926205585075</v>
      </c>
      <c r="DT158" s="59">
        <f ca="1">AVERAGE(OFFSET($DS$3,0,0,'Données projet'!$E$14+1,1))-AVERAGE(OFFSET($H$3,0,0,'Données projet'!$E$14+1,1))</f>
        <v>531.65020827367698</v>
      </c>
      <c r="DU158" s="59">
        <f t="shared" si="152"/>
        <v>235.89413420278396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82.907041427545352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82.907041427545352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90.043200000000127</v>
      </c>
      <c r="D159" s="11">
        <f t="shared" si="140"/>
        <v>24.575643502648077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884.77703756430185</v>
      </c>
      <c r="H159" s="67">
        <f t="shared" si="110"/>
        <v>492.96115243377892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430.33826160000041</v>
      </c>
      <c r="P159" s="13">
        <f t="shared" si="141"/>
        <v>97.900868950665071</v>
      </c>
      <c r="Q159" s="20">
        <f t="shared" si="162"/>
        <v>920.01648570907571</v>
      </c>
      <c r="R159" s="59">
        <f t="shared" si="109"/>
        <v>1213.3498190424091</v>
      </c>
      <c r="S159" s="59">
        <f ca="1">AVERAGE(OFFSET($R$3,0,0,'Données projet'!$E$9+1,1))-AVERAGE(OFFSET($H$3,0,0,'Données projet'!$E$9+1,1))</f>
        <v>457.88065872594228</v>
      </c>
      <c r="T159" s="59">
        <f t="shared" si="142"/>
        <v>204.62439362068329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71.85736782203837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71.85736782203837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1169.0576031642013</v>
      </c>
      <c r="AN159" s="59">
        <f ca="1">AVERAGE(OFFSET($AM$3,0,0,'Données projet'!$E$10+1,1))-AVERAGE(OFFSET($H$3,0,0,'Données projet'!$E$10+1,1))</f>
        <v>430.16825592717629</v>
      </c>
      <c r="AO159" s="59">
        <f t="shared" si="144"/>
        <v>192.87542067077248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-2.3942448024172337E-14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243.94505553629301</v>
      </c>
      <c r="BJ159" s="59">
        <f t="shared" si="146"/>
        <v>173.05364940250229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71.949006451124433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71.949006451124433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1.1173142411280423E-13</v>
      </c>
      <c r="CA159" s="13">
        <f t="shared" si="170"/>
        <v>1.6569896290553793E-12</v>
      </c>
      <c r="CB159" s="20">
        <f t="shared" si="171"/>
        <v>3.0805225009345862E-12</v>
      </c>
      <c r="CC159" s="59">
        <f t="shared" si="119"/>
        <v>293.33333333333638</v>
      </c>
      <c r="CD159" s="59">
        <f ca="1">AVERAGE(OFFSET($CC$3,0,0,'Données projet'!$E$12+1,1))-AVERAGE(OFFSET($H$3,0,0,'Données projet'!$E$12+1,1))</f>
        <v>140.9558843244115</v>
      </c>
      <c r="CE159" s="59">
        <f t="shared" si="148"/>
        <v>158.88947216184619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14.958085521818074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14.958085521818074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8.4429999999999943</v>
      </c>
      <c r="CT159" s="12">
        <f>IF('Données projet'!$A$140&gt;35,CT158+CS159-DB158,IF(A159&lt;'Données projet'!$A$140,$CQ$205^A159,IF(A159='Données projet'!$A$140,'Données projet'!$B$140,CT158+CS159-DB158)))</f>
        <v>452.22600000000045</v>
      </c>
      <c r="CU159" s="17">
        <f>CT159*VLOOKUP('Données projet'!$B$13,Paramètres!$A$1:$I$89,3,0)*VLOOKUP('Données projet'!$B$13,Paramètres!$A$1:$I$89,5,0)</f>
        <v>437.39298720000045</v>
      </c>
      <c r="CV159" s="13">
        <f t="shared" si="173"/>
        <v>99.317642270502773</v>
      </c>
      <c r="CW159" s="20">
        <f t="shared" si="174"/>
        <v>934.77101299445985</v>
      </c>
      <c r="CX159" s="59">
        <f t="shared" si="122"/>
        <v>1228.1043463277931</v>
      </c>
      <c r="CY159" s="59">
        <f ca="1">AVERAGE(OFFSET($CX$3,0,0,'Données projet'!$E$13+1,1))-AVERAGE(OFFSET($H$3,0,0,'Données projet'!$E$13+1,1))</f>
        <v>467.11196088914556</v>
      </c>
      <c r="CZ159" s="59">
        <f t="shared" si="150"/>
        <v>208.53783609106262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73.035357458465228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73.035357458465228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8.4429999999999943</v>
      </c>
      <c r="DO159" s="12">
        <f>IF('Données projet'!$A$166&gt;35,DO158+DN159-DW158,IF(A159&lt;'Données projet'!$A$166,$DL$205^A159,IF(A159='Données projet'!$A$166,'Données projet'!$B$166,DO158+DN159-DW158)))</f>
        <v>452.22600000000045</v>
      </c>
      <c r="DP159" s="17">
        <f>DO159*VLOOKUP('Données projet'!$B$14,Paramètres!$A$1:$I$89,3,0)*VLOOKUP('Données projet'!$B$14,Paramètres!$A$1:$I$89,5,0)</f>
        <v>486.77606640000045</v>
      </c>
      <c r="DQ159" s="13">
        <f t="shared" si="176"/>
        <v>109.16317558002628</v>
      </c>
      <c r="DR159" s="20">
        <f t="shared" si="177"/>
        <v>1037.9275131152133</v>
      </c>
      <c r="DS159" s="59">
        <f t="shared" si="125"/>
        <v>1331.2608464485465</v>
      </c>
      <c r="DT159" s="59">
        <f ca="1">AVERAGE(OFFSET($DS$3,0,0,'Données projet'!$E$14+1,1))-AVERAGE(OFFSET($H$3,0,0,'Données projet'!$E$14+1,1))</f>
        <v>531.65020827367698</v>
      </c>
      <c r="DU159" s="59">
        <f t="shared" si="152"/>
        <v>235.89413420278396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81.281284913453248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81.281284913453248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90.620400000000132</v>
      </c>
      <c r="D160" s="11">
        <f t="shared" si="140"/>
        <v>24.714790659567761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890.30673491596281</v>
      </c>
      <c r="H160" s="67">
        <f t="shared" si="110"/>
        <v>494.2087903987474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438.37262040000041</v>
      </c>
      <c r="P160" s="13">
        <f t="shared" si="141"/>
        <v>99.514167006012443</v>
      </c>
      <c r="Q160" s="20">
        <f t="shared" si="162"/>
        <v>936.81948806547246</v>
      </c>
      <c r="R160" s="59">
        <f t="shared" si="109"/>
        <v>1230.1528213988058</v>
      </c>
      <c r="S160" s="59">
        <f ca="1">AVERAGE(OFFSET($R$3,0,0,'Données projet'!$E$9+1,1))-AVERAGE(OFFSET($H$3,0,0,'Données projet'!$E$9+1,1))</f>
        <v>457.88065872594228</v>
      </c>
      <c r="T160" s="59">
        <f t="shared" si="142"/>
        <v>204.62439362068329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70.448288667714849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70.448288667714849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1185.0499574028622</v>
      </c>
      <c r="AN160" s="59">
        <f ca="1">AVERAGE(OFFSET($AM$3,0,0,'Données projet'!$E$10+1,1))-AVERAGE(OFFSET($H$3,0,0,'Données projet'!$E$10+1,1))</f>
        <v>430.16825592717629</v>
      </c>
      <c r="AO160" s="59">
        <f t="shared" si="144"/>
        <v>192.87542067077248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-2.3942448024172337E-14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243.94505553629301</v>
      </c>
      <c r="BJ160" s="59">
        <f t="shared" si="146"/>
        <v>173.05364940250229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70.538130319178578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70.538130319178578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1.1173142411280423E-13</v>
      </c>
      <c r="CA160" s="13">
        <f t="shared" si="170"/>
        <v>1.6569896290553793E-12</v>
      </c>
      <c r="CB160" s="20">
        <f t="shared" si="171"/>
        <v>3.0805225009345862E-12</v>
      </c>
      <c r="CC160" s="59">
        <f t="shared" si="119"/>
        <v>293.33333333333638</v>
      </c>
      <c r="CD160" s="59">
        <f ca="1">AVERAGE(OFFSET($CC$3,0,0,'Données projet'!$E$12+1,1))-AVERAGE(OFFSET($H$3,0,0,'Données projet'!$E$12+1,1))</f>
        <v>140.9558843244115</v>
      </c>
      <c r="CE160" s="59">
        <f t="shared" si="148"/>
        <v>158.88947216184619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14.664766588266517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14.664766588266517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8.4429999999999943</v>
      </c>
      <c r="CT160" s="12">
        <f>IF('Données projet'!$A$140&gt;35,CT159+CS160-DB159,IF(A160&lt;'Données projet'!$A$140,$CQ$205^A160,IF(A160='Données projet'!$A$140,'Données projet'!$B$140,CT159+CS160-DB159)))</f>
        <v>460.66900000000044</v>
      </c>
      <c r="CU160" s="17">
        <f>CT160*VLOOKUP('Données projet'!$B$13,Paramètres!$A$1:$I$89,3,0)*VLOOKUP('Données projet'!$B$13,Paramètres!$A$1:$I$89,5,0)</f>
        <v>445.55905680000046</v>
      </c>
      <c r="CV160" s="13">
        <f t="shared" si="173"/>
        <v>100.95428718340372</v>
      </c>
      <c r="CW160" s="20">
        <f t="shared" si="174"/>
        <v>951.84407410442907</v>
      </c>
      <c r="CX160" s="59">
        <f t="shared" si="122"/>
        <v>1245.1774074377624</v>
      </c>
      <c r="CY160" s="59">
        <f ca="1">AVERAGE(OFFSET($CX$3,0,0,'Données projet'!$E$13+1,1))-AVERAGE(OFFSET($H$3,0,0,'Données projet'!$E$13+1,1))</f>
        <v>467.11196088914556</v>
      </c>
      <c r="CZ160" s="59">
        <f t="shared" si="150"/>
        <v>208.53783609106262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71.60317864587411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71.60317864587411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8.4429999999999943</v>
      </c>
      <c r="DO160" s="12">
        <f>IF('Données projet'!$A$166&gt;35,DO159+DN160-DW159,IF(A160&lt;'Données projet'!$A$166,$DL$205^A160,IF(A160='Données projet'!$A$166,'Données projet'!$B$166,DO159+DN160-DW159)))</f>
        <v>460.66900000000044</v>
      </c>
      <c r="DP160" s="17">
        <f>DO160*VLOOKUP('Données projet'!$B$14,Paramètres!$A$1:$I$89,3,0)*VLOOKUP('Données projet'!$B$14,Paramètres!$A$1:$I$89,5,0)</f>
        <v>495.86411160000046</v>
      </c>
      <c r="DQ160" s="13">
        <f t="shared" si="176"/>
        <v>110.96206399405607</v>
      </c>
      <c r="DR160" s="20">
        <f t="shared" si="177"/>
        <v>1056.8889224929817</v>
      </c>
      <c r="DS160" s="59">
        <f t="shared" si="125"/>
        <v>1350.2222558263149</v>
      </c>
      <c r="DT160" s="59">
        <f ca="1">AVERAGE(OFFSET($DS$3,0,0,'Données projet'!$E$14+1,1))-AVERAGE(OFFSET($H$3,0,0,'Données projet'!$E$14+1,1))</f>
        <v>531.65020827367698</v>
      </c>
      <c r="DU160" s="59">
        <f t="shared" si="152"/>
        <v>235.89413420278396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79.687408492988936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79.687408492988936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91.197600000000136</v>
      </c>
      <c r="D161" s="11">
        <f t="shared" si="140"/>
        <v>24.853834690103874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895.83563620431175</v>
      </c>
      <c r="H161" s="67">
        <f t="shared" si="110"/>
        <v>495.45624875193107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446.40697920000036</v>
      </c>
      <c r="P161" s="13">
        <f t="shared" si="141"/>
        <v>101.12402680758419</v>
      </c>
      <c r="Q161" s="20">
        <f t="shared" si="162"/>
        <v>953.61650212987649</v>
      </c>
      <c r="R161" s="59">
        <f t="shared" si="109"/>
        <v>1246.9498354632099</v>
      </c>
      <c r="S161" s="59">
        <f ca="1">AVERAGE(OFFSET($R$3,0,0,'Données projet'!$E$9+1,1))-AVERAGE(OFFSET($H$3,0,0,'Données projet'!$E$9+1,1))</f>
        <v>457.88065872594228</v>
      </c>
      <c r="T161" s="59">
        <f t="shared" si="142"/>
        <v>204.62439362068329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69.066840696154188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69.066840696154188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1201.0365843340171</v>
      </c>
      <c r="AN161" s="59">
        <f ca="1">AVERAGE(OFFSET($AM$3,0,0,'Données projet'!$E$10+1,1))-AVERAGE(OFFSET($H$3,0,0,'Données projet'!$E$10+1,1))</f>
        <v>430.16825592717629</v>
      </c>
      <c r="AO161" s="59">
        <f t="shared" si="144"/>
        <v>192.87542067077248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-2.3942448024172337E-14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243.94505553629301</v>
      </c>
      <c r="BJ161" s="59">
        <f t="shared" si="146"/>
        <v>173.05364940250229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69.154920607630714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69.154920607630714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1.1173142411280423E-13</v>
      </c>
      <c r="CA161" s="13">
        <f t="shared" si="170"/>
        <v>1.6569896290553793E-12</v>
      </c>
      <c r="CB161" s="20">
        <f t="shared" si="171"/>
        <v>3.0805225009345862E-12</v>
      </c>
      <c r="CC161" s="59">
        <f t="shared" si="119"/>
        <v>293.33333333333638</v>
      </c>
      <c r="CD161" s="59">
        <f ca="1">AVERAGE(OFFSET($CC$3,0,0,'Données projet'!$E$12+1,1))-AVERAGE(OFFSET($H$3,0,0,'Données projet'!$E$12+1,1))</f>
        <v>140.9558843244115</v>
      </c>
      <c r="CE161" s="59">
        <f t="shared" si="148"/>
        <v>158.88947216184619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14.377199460095021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14.377199460095021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8.4429999999999943</v>
      </c>
      <c r="CT161" s="12">
        <f>IF('Données projet'!$A$140&gt;35,CT160+CS161-DB160,IF(A161&lt;'Données projet'!$A$140,$CQ$205^A161,IF(A161='Données projet'!$A$140,'Données projet'!$B$140,CT160+CS161-DB160)))</f>
        <v>469.11200000000042</v>
      </c>
      <c r="CU161" s="17">
        <f>CT161*VLOOKUP('Données projet'!$B$13,Paramètres!$A$1:$I$89,3,0)*VLOOKUP('Données projet'!$B$13,Paramètres!$A$1:$I$89,5,0)</f>
        <v>453.72512640000042</v>
      </c>
      <c r="CV161" s="13">
        <f t="shared" si="173"/>
        <v>102.5874440858081</v>
      </c>
      <c r="CW161" s="20">
        <f t="shared" si="174"/>
        <v>968.91106026278305</v>
      </c>
      <c r="CX161" s="59">
        <f t="shared" si="122"/>
        <v>1262.2443935961164</v>
      </c>
      <c r="CY161" s="59">
        <f ca="1">AVERAGE(OFFSET($CX$3,0,0,'Données projet'!$E$13+1,1))-AVERAGE(OFFSET($H$3,0,0,'Données projet'!$E$13+1,1))</f>
        <v>467.11196088914556</v>
      </c>
      <c r="CZ161" s="59">
        <f t="shared" si="150"/>
        <v>208.53783609106262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70.199083986255076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70.199083986255076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8.4429999999999943</v>
      </c>
      <c r="DO161" s="12">
        <f>IF('Données projet'!$A$166&gt;35,DO160+DN161-DW160,IF(A161&lt;'Données projet'!$A$166,$DL$205^A161,IF(A161='Données projet'!$A$166,'Données projet'!$B$166,DO160+DN161-DW160)))</f>
        <v>469.11200000000042</v>
      </c>
      <c r="DP161" s="17">
        <f>DO161*VLOOKUP('Données projet'!$B$14,Paramètres!$A$1:$I$89,3,0)*VLOOKUP('Données projet'!$B$14,Paramètres!$A$1:$I$89,5,0)</f>
        <v>504.95215680000047</v>
      </c>
      <c r="DQ161" s="13">
        <f t="shared" si="176"/>
        <v>112.75711862494767</v>
      </c>
      <c r="DR161" s="20">
        <f t="shared" si="177"/>
        <v>1075.8436546984512</v>
      </c>
      <c r="DS161" s="59">
        <f t="shared" si="125"/>
        <v>1369.1769880317845</v>
      </c>
      <c r="DT161" s="59">
        <f ca="1">AVERAGE(OFFSET($DS$3,0,0,'Données projet'!$E$14+1,1))-AVERAGE(OFFSET($H$3,0,0,'Données projet'!$E$14+1,1))</f>
        <v>531.65020827367698</v>
      </c>
      <c r="DU161" s="59">
        <f t="shared" si="152"/>
        <v>235.89413420278396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78.124787016961307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78.124787016961307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91.774800000000141</v>
      </c>
      <c r="D162" s="11">
        <f t="shared" si="140"/>
        <v>24.992776322670601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901.36374705219532</v>
      </c>
      <c r="H162" s="67">
        <f t="shared" si="110"/>
        <v>496.7035287619849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454.44133800000043</v>
      </c>
      <c r="P162" s="13">
        <f t="shared" si="141"/>
        <v>102.73051737466415</v>
      </c>
      <c r="Q162" s="20">
        <f t="shared" si="162"/>
        <v>970.40764811087411</v>
      </c>
      <c r="R162" s="59">
        <f t="shared" si="109"/>
        <v>1263.7409814442074</v>
      </c>
      <c r="S162" s="59">
        <f ca="1">AVERAGE(OFFSET($R$3,0,0,'Données projet'!$E$9+1,1))-AVERAGE(OFFSET($H$3,0,0,'Données projet'!$E$9+1,1))</f>
        <v>457.88065872594228</v>
      </c>
      <c r="T162" s="59">
        <f t="shared" si="142"/>
        <v>204.62439362068329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67.712482076715773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67.712482076715773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1217.0175989272666</v>
      </c>
      <c r="AN162" s="59">
        <f ca="1">AVERAGE(OFFSET($AM$3,0,0,'Données projet'!$E$10+1,1))-AVERAGE(OFFSET($H$3,0,0,'Données projet'!$E$10+1,1))</f>
        <v>430.16825592717629</v>
      </c>
      <c r="AO162" s="59">
        <f t="shared" si="144"/>
        <v>192.87542067077248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-2.3942448024172337E-14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243.94505553629301</v>
      </c>
      <c r="BJ162" s="59">
        <f t="shared" si="146"/>
        <v>173.05364940250229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67.798834794851686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67.798834794851686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1.1173142411280423E-13</v>
      </c>
      <c r="CA162" s="13">
        <f t="shared" si="170"/>
        <v>1.6569896290553793E-12</v>
      </c>
      <c r="CB162" s="20">
        <f t="shared" si="171"/>
        <v>3.0805225009345862E-12</v>
      </c>
      <c r="CC162" s="59">
        <f t="shared" si="119"/>
        <v>293.33333333333638</v>
      </c>
      <c r="CD162" s="59">
        <f ca="1">AVERAGE(OFFSET($CC$3,0,0,'Données projet'!$E$12+1,1))-AVERAGE(OFFSET($H$3,0,0,'Données projet'!$E$12+1,1))</f>
        <v>140.9558843244115</v>
      </c>
      <c r="CE162" s="59">
        <f t="shared" si="148"/>
        <v>158.88947216184619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14.095271347908339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14.095271347908339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8.4429999999999943</v>
      </c>
      <c r="CT162" s="12">
        <f>IF('Données projet'!$A$140&gt;35,CT161+CS162-DB161,IF(A162&lt;'Données projet'!$A$140,$CQ$205^A162,IF(A162='Données projet'!$A$140,'Données projet'!$B$140,CT161+CS162-DB161)))</f>
        <v>477.5550000000004</v>
      </c>
      <c r="CU162" s="17">
        <f>CT162*VLOOKUP('Données projet'!$B$13,Paramètres!$A$1:$I$89,3,0)*VLOOKUP('Données projet'!$B$13,Paramètres!$A$1:$I$89,5,0)</f>
        <v>461.89119600000043</v>
      </c>
      <c r="CV162" s="13">
        <f t="shared" si="173"/>
        <v>104.21718299581295</v>
      </c>
      <c r="CW162" s="20">
        <f t="shared" si="174"/>
        <v>985.97209341770815</v>
      </c>
      <c r="CX162" s="59">
        <f t="shared" si="122"/>
        <v>1279.3054267510415</v>
      </c>
      <c r="CY162" s="59">
        <f ca="1">AVERAGE(OFFSET($CX$3,0,0,'Données projet'!$E$13+1,1))-AVERAGE(OFFSET($H$3,0,0,'Données projet'!$E$13+1,1))</f>
        <v>467.11196088914556</v>
      </c>
      <c r="CZ162" s="59">
        <f t="shared" si="150"/>
        <v>208.53783609106262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68.822522766497997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68.822522766497997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8.4429999999999943</v>
      </c>
      <c r="DO162" s="12">
        <f>IF('Données projet'!$A$166&gt;35,DO161+DN162-DW161,IF(A162&lt;'Données projet'!$A$166,$DL$205^A162,IF(A162='Données projet'!$A$166,'Données projet'!$B$166,DO161+DN162-DW161)))</f>
        <v>477.5550000000004</v>
      </c>
      <c r="DP162" s="17">
        <f>DO162*VLOOKUP('Données projet'!$B$14,Paramètres!$A$1:$I$89,3,0)*VLOOKUP('Données projet'!$B$14,Paramètres!$A$1:$I$89,5,0)</f>
        <v>514.04020200000048</v>
      </c>
      <c r="DQ162" s="13">
        <f t="shared" si="176"/>
        <v>114.54841643181564</v>
      </c>
      <c r="DR162" s="20">
        <f t="shared" si="177"/>
        <v>1094.7918437687465</v>
      </c>
      <c r="DS162" s="59">
        <f t="shared" si="125"/>
        <v>1388.1251771020798</v>
      </c>
      <c r="DT162" s="59">
        <f ca="1">AVERAGE(OFFSET($DS$3,0,0,'Données projet'!$E$14+1,1))-AVERAGE(OFFSET($H$3,0,0,'Données projet'!$E$14+1,1))</f>
        <v>531.65020827367698</v>
      </c>
      <c r="DU162" s="59">
        <f t="shared" si="152"/>
        <v>235.89413420278396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76.592807594973593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76.592807594973593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92.352000000000146</v>
      </c>
      <c r="D163" s="11">
        <f t="shared" si="140"/>
        <v>25.131616275989785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906.89107300764169</v>
      </c>
      <c r="H163" s="67">
        <f t="shared" si="110"/>
        <v>497.95063168068248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462.47569680000038</v>
      </c>
      <c r="P163" s="13">
        <f t="shared" si="141"/>
        <v>104.33370514628203</v>
      </c>
      <c r="Q163" s="20">
        <f t="shared" si="162"/>
        <v>987.19304172310842</v>
      </c>
      <c r="R163" s="59">
        <f t="shared" si="109"/>
        <v>1280.5263750564418</v>
      </c>
      <c r="S163" s="59">
        <f ca="1">AVERAGE(OFFSET($R$3,0,0,'Données projet'!$E$9+1,1))-AVERAGE(OFFSET($H$3,0,0,'Données projet'!$E$9+1,1))</f>
        <v>457.88065872594228</v>
      </c>
      <c r="T163" s="59">
        <f t="shared" si="142"/>
        <v>204.62439362068329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66.384681603727358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66.384681603727358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1232.9931118541251</v>
      </c>
      <c r="AN163" s="59">
        <f ca="1">AVERAGE(OFFSET($AM$3,0,0,'Données projet'!$E$10+1,1))-AVERAGE(OFFSET($H$3,0,0,'Données projet'!$E$10+1,1))</f>
        <v>430.16825592717629</v>
      </c>
      <c r="AO163" s="59">
        <f t="shared" si="144"/>
        <v>192.87542067077248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-2.3942448024172337E-14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243.94505553629301</v>
      </c>
      <c r="BJ163" s="59">
        <f t="shared" si="146"/>
        <v>173.05364940250229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66.469340997730583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66.469340997730583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1.1173142411280423E-13</v>
      </c>
      <c r="CA163" s="13">
        <f t="shared" si="170"/>
        <v>1.6569896290553793E-12</v>
      </c>
      <c r="CB163" s="20">
        <f t="shared" si="171"/>
        <v>3.0805225009345862E-12</v>
      </c>
      <c r="CC163" s="59">
        <f t="shared" si="119"/>
        <v>293.33333333333638</v>
      </c>
      <c r="CD163" s="59">
        <f ca="1">AVERAGE(OFFSET($CC$3,0,0,'Données projet'!$E$12+1,1))-AVERAGE(OFFSET($H$3,0,0,'Données projet'!$E$12+1,1))</f>
        <v>140.9558843244115</v>
      </c>
      <c r="CE163" s="59">
        <f t="shared" si="148"/>
        <v>158.88947216184619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13.81887167404247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13.81887167404247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8.4429999999999943</v>
      </c>
      <c r="CT163" s="12">
        <f>IF('Données projet'!$A$140&gt;35,CT162+CS163-DB162,IF(A163&lt;'Données projet'!$A$140,$CQ$205^A163,IF(A163='Données projet'!$A$140,'Données projet'!$B$140,CT162+CS163-DB162)))</f>
        <v>485.99800000000039</v>
      </c>
      <c r="CU163" s="17">
        <f>CT163*VLOOKUP('Données projet'!$B$13,Paramètres!$A$1:$I$89,3,0)*VLOOKUP('Données projet'!$B$13,Paramètres!$A$1:$I$89,5,0)</f>
        <v>470.05726560000039</v>
      </c>
      <c r="CV163" s="13">
        <f t="shared" si="173"/>
        <v>105.843571313921</v>
      </c>
      <c r="CW163" s="20">
        <f t="shared" si="174"/>
        <v>1003.0272909584129</v>
      </c>
      <c r="CX163" s="59">
        <f t="shared" si="122"/>
        <v>1296.3606242917463</v>
      </c>
      <c r="CY163" s="59">
        <f ca="1">AVERAGE(OFFSET($CX$3,0,0,'Données projet'!$E$13+1,1))-AVERAGE(OFFSET($H$3,0,0,'Données projet'!$E$13+1,1))</f>
        <v>467.11196088914556</v>
      </c>
      <c r="CZ163" s="59">
        <f t="shared" si="150"/>
        <v>208.53783609106262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67.472955072640914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67.472955072640914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8.4429999999999943</v>
      </c>
      <c r="DO163" s="12">
        <f>IF('Données projet'!$A$166&gt;35,DO162+DN163-DW162,IF(A163&lt;'Données projet'!$A$166,$DL$205^A163,IF(A163='Données projet'!$A$166,'Données projet'!$B$166,DO162+DN163-DW162)))</f>
        <v>485.99800000000039</v>
      </c>
      <c r="DP163" s="17">
        <f>DO163*VLOOKUP('Données projet'!$B$14,Paramètres!$A$1:$I$89,3,0)*VLOOKUP('Données projet'!$B$14,Paramètres!$A$1:$I$89,5,0)</f>
        <v>523.12824720000037</v>
      </c>
      <c r="DQ163" s="13">
        <f t="shared" si="176"/>
        <v>116.33603149669382</v>
      </c>
      <c r="DR163" s="20">
        <f t="shared" si="177"/>
        <v>1113.7336187300759</v>
      </c>
      <c r="DS163" s="59">
        <f t="shared" si="125"/>
        <v>1407.0669520634092</v>
      </c>
      <c r="DT163" s="59">
        <f ca="1">AVERAGE(OFFSET($DS$3,0,0,'Données projet'!$E$14+1,1))-AVERAGE(OFFSET($H$3,0,0,'Données projet'!$E$14+1,1))</f>
        <v>531.65020827367698</v>
      </c>
      <c r="DU163" s="59">
        <f t="shared" si="152"/>
        <v>235.89413420278396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75.090869355035878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75.090869355035878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92.929200000000151</v>
      </c>
      <c r="D164" s="11">
        <f t="shared" si="140"/>
        <v>25.270355259279601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912.41761954531739</v>
      </c>
      <c r="H164" s="67">
        <f t="shared" si="110"/>
        <v>499.19755874324551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470.51005560000038</v>
      </c>
      <c r="P164" s="13">
        <f t="shared" si="141"/>
        <v>105.93365412079402</v>
      </c>
      <c r="Q164" s="20">
        <f t="shared" si="162"/>
        <v>1003.9727944303836</v>
      </c>
      <c r="R164" s="59">
        <f t="shared" si="109"/>
        <v>1297.3061277637169</v>
      </c>
      <c r="S164" s="59">
        <f ca="1">AVERAGE(OFFSET($R$3,0,0,'Données projet'!$E$9+1,1))-AVERAGE(OFFSET($H$3,0,0,'Données projet'!$E$9+1,1))</f>
        <v>457.88065872594228</v>
      </c>
      <c r="T164" s="59">
        <f t="shared" si="142"/>
        <v>204.62439362068329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65.082918488135917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65.082918488135917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1248.9632297205294</v>
      </c>
      <c r="AN164" s="59">
        <f ca="1">AVERAGE(OFFSET($AM$3,0,0,'Données projet'!$E$10+1,1))-AVERAGE(OFFSET($H$3,0,0,'Données projet'!$E$10+1,1))</f>
        <v>430.16825592717629</v>
      </c>
      <c r="AO164" s="59">
        <f t="shared" si="144"/>
        <v>192.87542067077248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-2.3942448024172337E-14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243.94505553629301</v>
      </c>
      <c r="BJ164" s="59">
        <f t="shared" si="146"/>
        <v>173.05364940250229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65.16591776305988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65.16591776305988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1.1173142411280423E-13</v>
      </c>
      <c r="CA164" s="13">
        <f t="shared" si="170"/>
        <v>1.6569896290553793E-12</v>
      </c>
      <c r="CB164" s="20">
        <f t="shared" si="171"/>
        <v>3.0805225009345862E-12</v>
      </c>
      <c r="CC164" s="59">
        <f t="shared" si="119"/>
        <v>293.33333333333638</v>
      </c>
      <c r="CD164" s="59">
        <f ca="1">AVERAGE(OFFSET($CC$3,0,0,'Données projet'!$E$12+1,1))-AVERAGE(OFFSET($H$3,0,0,'Données projet'!$E$12+1,1))</f>
        <v>140.9558843244115</v>
      </c>
      <c r="CE164" s="59">
        <f t="shared" si="148"/>
        <v>158.88947216184619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13.547892029193955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13.547892029193955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8.4429999999999943</v>
      </c>
      <c r="CT164" s="12">
        <f>IF('Données projet'!$A$140&gt;35,CT163+CS164-DB163,IF(A164&lt;'Données projet'!$A$140,$CQ$205^A164,IF(A164='Données projet'!$A$140,'Données projet'!$B$140,CT163+CS164-DB163)))</f>
        <v>494.44100000000037</v>
      </c>
      <c r="CU164" s="17">
        <f>CT164*VLOOKUP('Données projet'!$B$13,Paramètres!$A$1:$I$89,3,0)*VLOOKUP('Données projet'!$B$13,Paramètres!$A$1:$I$89,5,0)</f>
        <v>478.22333520000041</v>
      </c>
      <c r="CV164" s="13">
        <f t="shared" si="173"/>
        <v>107.46667396464125</v>
      </c>
      <c r="CW164" s="20">
        <f t="shared" si="174"/>
        <v>1020.0767659617509</v>
      </c>
      <c r="CX164" s="59">
        <f t="shared" si="122"/>
        <v>1313.4100992950841</v>
      </c>
      <c r="CY164" s="59">
        <f ca="1">AVERAGE(OFFSET($CX$3,0,0,'Données projet'!$E$13+1,1))-AVERAGE(OFFSET($H$3,0,0,'Données projet'!$E$13+1,1))</f>
        <v>467.11196088914556</v>
      </c>
      <c r="CZ164" s="59">
        <f t="shared" si="150"/>
        <v>208.53783609106262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66.149851578105356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66.149851578105356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8.4429999999999943</v>
      </c>
      <c r="DO164" s="12">
        <f>IF('Données projet'!$A$166&gt;35,DO163+DN164-DW163,IF(A164&lt;'Données projet'!$A$166,$DL$205^A164,IF(A164='Données projet'!$A$166,'Données projet'!$B$166,DO163+DN164-DW163)))</f>
        <v>494.44100000000037</v>
      </c>
      <c r="DP164" s="17">
        <f>DO164*VLOOKUP('Données projet'!$B$14,Paramètres!$A$1:$I$89,3,0)*VLOOKUP('Données projet'!$B$14,Paramètres!$A$1:$I$89,5,0)</f>
        <v>532.21629240000038</v>
      </c>
      <c r="DQ164" s="13">
        <f t="shared" si="176"/>
        <v>118.12003518017247</v>
      </c>
      <c r="DR164" s="20">
        <f t="shared" si="177"/>
        <v>1132.6691038688009</v>
      </c>
      <c r="DS164" s="59">
        <f t="shared" si="125"/>
        <v>1426.0024372021342</v>
      </c>
      <c r="DT164" s="59">
        <f ca="1">AVERAGE(OFFSET($DS$3,0,0,'Données projet'!$E$14+1,1))-AVERAGE(OFFSET($H$3,0,0,'Données projet'!$E$14+1,1))</f>
        <v>531.65020827367698</v>
      </c>
      <c r="DU164" s="59">
        <f t="shared" si="152"/>
        <v>235.89413420278396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73.618383207891469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73.618383207891469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93.506400000000156</v>
      </c>
      <c r="D165" s="11">
        <f t="shared" si="140"/>
        <v>25.408993972438534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917.94339206794791</v>
      </c>
      <c r="H165" s="67">
        <f t="shared" si="110"/>
        <v>500.444311168664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478.54441440000033</v>
      </c>
      <c r="P165" s="13">
        <f t="shared" si="141"/>
        <v>107.53042598566002</v>
      </c>
      <c r="Q165" s="20">
        <f t="shared" si="162"/>
        <v>1020.7470136716917</v>
      </c>
      <c r="R165" s="59">
        <f t="shared" si="109"/>
        <v>1314.080347005025</v>
      </c>
      <c r="S165" s="59">
        <f ca="1">AVERAGE(OFFSET($R$3,0,0,'Données projet'!$E$9+1,1))-AVERAGE(OFFSET($H$3,0,0,'Données projet'!$E$9+1,1))</f>
        <v>457.88065872594228</v>
      </c>
      <c r="T165" s="59">
        <f t="shared" si="142"/>
        <v>204.62439362068329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63.806682153244132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63.806682153244132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1264.9280552830173</v>
      </c>
      <c r="AN165" s="59">
        <f ca="1">AVERAGE(OFFSET($AM$3,0,0,'Données projet'!$E$10+1,1))-AVERAGE(OFFSET($H$3,0,0,'Données projet'!$E$10+1,1))</f>
        <v>430.16825592717629</v>
      </c>
      <c r="AO165" s="59">
        <f t="shared" si="144"/>
        <v>192.87542067077248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-2.3942448024172337E-14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243.94505553629301</v>
      </c>
      <c r="BJ165" s="59">
        <f t="shared" si="146"/>
        <v>173.05364940250229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63.888053863011393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63.888053863011393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1.1173142411280423E-13</v>
      </c>
      <c r="CA165" s="13">
        <f t="shared" si="170"/>
        <v>1.6569896290553793E-12</v>
      </c>
      <c r="CB165" s="20">
        <f t="shared" si="171"/>
        <v>3.0805225009345862E-12</v>
      </c>
      <c r="CC165" s="59">
        <f t="shared" si="119"/>
        <v>293.33333333333638</v>
      </c>
      <c r="CD165" s="59">
        <f ca="1">AVERAGE(OFFSET($CC$3,0,0,'Données projet'!$E$12+1,1))-AVERAGE(OFFSET($H$3,0,0,'Données projet'!$E$12+1,1))</f>
        <v>140.9558843244115</v>
      </c>
      <c r="CE165" s="59">
        <f t="shared" si="148"/>
        <v>158.88947216184619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13.282226129899657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13.282226129899657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8.4429999999999943</v>
      </c>
      <c r="CT165" s="12">
        <f>IF('Données projet'!$A$140&gt;35,CT164+CS165-DB164,IF(A165&lt;'Données projet'!$A$140,$CQ$205^A165,IF(A165='Données projet'!$A$140,'Données projet'!$B$140,CT164+CS165-DB164)))</f>
        <v>502.88400000000036</v>
      </c>
      <c r="CU165" s="17">
        <f>CT165*VLOOKUP('Données projet'!$B$13,Paramètres!$A$1:$I$89,3,0)*VLOOKUP('Données projet'!$B$13,Paramètres!$A$1:$I$89,5,0)</f>
        <v>486.38940480000036</v>
      </c>
      <c r="CV165" s="13">
        <f t="shared" si="173"/>
        <v>109.08655352814421</v>
      </c>
      <c r="CW165" s="20">
        <f t="shared" si="174"/>
        <v>1037.1206274215183</v>
      </c>
      <c r="CX165" s="59">
        <f t="shared" si="122"/>
        <v>1330.4539607548516</v>
      </c>
      <c r="CY165" s="59">
        <f ca="1">AVERAGE(OFFSET($CX$3,0,0,'Données projet'!$E$13+1,1))-AVERAGE(OFFSET($H$3,0,0,'Données projet'!$E$13+1,1))</f>
        <v>467.11196088914556</v>
      </c>
      <c r="CZ165" s="59">
        <f t="shared" si="150"/>
        <v>208.53783609106262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64.852693336084201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64.852693336084201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8.4429999999999943</v>
      </c>
      <c r="DO165" s="12">
        <f>IF('Données projet'!$A$166&gt;35,DO164+DN165-DW164,IF(A165&lt;'Données projet'!$A$166,$DL$205^A165,IF(A165='Données projet'!$A$166,'Données projet'!$B$166,DO164+DN165-DW164)))</f>
        <v>502.88400000000036</v>
      </c>
      <c r="DP165" s="17">
        <f>DO165*VLOOKUP('Données projet'!$B$14,Paramètres!$A$1:$I$89,3,0)*VLOOKUP('Données projet'!$B$14,Paramètres!$A$1:$I$89,5,0)</f>
        <v>541.30433760000039</v>
      </c>
      <c r="DQ165" s="13">
        <f t="shared" si="176"/>
        <v>119.90049626610461</v>
      </c>
      <c r="DR165" s="20">
        <f t="shared" si="177"/>
        <v>1151.598418983466</v>
      </c>
      <c r="DS165" s="59">
        <f t="shared" si="125"/>
        <v>1444.9317523167992</v>
      </c>
      <c r="DT165" s="59">
        <f ca="1">AVERAGE(OFFSET($DS$3,0,0,'Données projet'!$E$14+1,1))-AVERAGE(OFFSET($H$3,0,0,'Données projet'!$E$14+1,1))</f>
        <v>531.65020827367698</v>
      </c>
      <c r="DU165" s="59">
        <f t="shared" si="152"/>
        <v>235.89413420278396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72.174771615964687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72.174771615964687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94.08360000000016</v>
      </c>
      <c r="D166" s="11">
        <f t="shared" si="140"/>
        <v>25.547533106224556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923.46839590769969</v>
      </c>
      <c r="H166" s="67">
        <f t="shared" si="110"/>
        <v>501.69089016000805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486.57877320000034</v>
      </c>
      <c r="P166" s="13">
        <f t="shared" si="141"/>
        <v>109.12408023825806</v>
      </c>
      <c r="Q166" s="20">
        <f t="shared" si="162"/>
        <v>1037.5158030716334</v>
      </c>
      <c r="R166" s="59">
        <f t="shared" si="109"/>
        <v>1330.8491364049667</v>
      </c>
      <c r="S166" s="59">
        <f ca="1">AVERAGE(OFFSET($R$3,0,0,'Données projet'!$E$9+1,1))-AVERAGE(OFFSET($H$3,0,0,'Données projet'!$E$9+1,1))</f>
        <v>457.88065872594228</v>
      </c>
      <c r="T166" s="59">
        <f t="shared" si="142"/>
        <v>204.62439362068329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62.555472034452272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62.555472034452272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1280.8876876499742</v>
      </c>
      <c r="AN166" s="59">
        <f ca="1">AVERAGE(OFFSET($AM$3,0,0,'Données projet'!$E$10+1,1))-AVERAGE(OFFSET($H$3,0,0,'Données projet'!$E$10+1,1))</f>
        <v>430.16825592717629</v>
      </c>
      <c r="AO166" s="59">
        <f t="shared" si="144"/>
        <v>192.87542067077248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-2.3942448024172337E-14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243.94505553629301</v>
      </c>
      <c r="BJ166" s="59">
        <f t="shared" si="146"/>
        <v>173.05364940250229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62.635248094622838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62.635248094622838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1.1173142411280423E-13</v>
      </c>
      <c r="CA166" s="13">
        <f t="shared" si="170"/>
        <v>1.6569896290553793E-12</v>
      </c>
      <c r="CB166" s="20">
        <f t="shared" si="171"/>
        <v>3.0805225009345862E-12</v>
      </c>
      <c r="CC166" s="59">
        <f t="shared" si="119"/>
        <v>293.33333333333638</v>
      </c>
      <c r="CD166" s="59">
        <f ca="1">AVERAGE(OFFSET($CC$3,0,0,'Données projet'!$E$12+1,1))-AVERAGE(OFFSET($H$3,0,0,'Données projet'!$E$12+1,1))</f>
        <v>140.9558843244115</v>
      </c>
      <c r="CE166" s="59">
        <f t="shared" si="148"/>
        <v>158.88947216184619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13.021769776850322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13.021769776850322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8.4429999999999943</v>
      </c>
      <c r="CT166" s="12">
        <f>IF('Données projet'!$A$140&gt;35,CT165+CS166-DB165,IF(A166&lt;'Données projet'!$A$140,$CQ$205^A166,IF(A166='Données projet'!$A$140,'Données projet'!$B$140,CT165+CS166-DB165)))</f>
        <v>511.32700000000034</v>
      </c>
      <c r="CU166" s="17">
        <f>CT166*VLOOKUP('Données projet'!$B$13,Paramètres!$A$1:$I$89,3,0)*VLOOKUP('Données projet'!$B$13,Paramètres!$A$1:$I$89,5,0)</f>
        <v>494.55547440000038</v>
      </c>
      <c r="CV166" s="13">
        <f t="shared" si="173"/>
        <v>110.7032703628248</v>
      </c>
      <c r="CW166" s="20">
        <f t="shared" si="174"/>
        <v>1054.1589804619205</v>
      </c>
      <c r="CX166" s="59">
        <f t="shared" si="122"/>
        <v>1347.4923137952537</v>
      </c>
      <c r="CY166" s="59">
        <f ca="1">AVERAGE(OFFSET($CX$3,0,0,'Données projet'!$E$13+1,1))-AVERAGE(OFFSET($H$3,0,0,'Données projet'!$E$13+1,1))</f>
        <v>467.11196088914556</v>
      </c>
      <c r="CZ166" s="59">
        <f t="shared" si="150"/>
        <v>208.53783609106262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63.580971576000671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63.580971576000671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8.4429999999999943</v>
      </c>
      <c r="DO166" s="12">
        <f>IF('Données projet'!$A$166&gt;35,DO165+DN166-DW165,IF(A166&lt;'Données projet'!$A$166,$DL$205^A166,IF(A166='Données projet'!$A$166,'Données projet'!$B$166,DO165+DN166-DW165)))</f>
        <v>511.32700000000034</v>
      </c>
      <c r="DP166" s="17">
        <f>DO166*VLOOKUP('Données projet'!$B$14,Paramètres!$A$1:$I$89,3,0)*VLOOKUP('Données projet'!$B$14,Paramètres!$A$1:$I$89,5,0)</f>
        <v>550.39238280000041</v>
      </c>
      <c r="DQ166" s="13">
        <f t="shared" si="176"/>
        <v>121.67748109631978</v>
      </c>
      <c r="DR166" s="20">
        <f t="shared" si="177"/>
        <v>1170.5216796194243</v>
      </c>
      <c r="DS166" s="59">
        <f t="shared" si="125"/>
        <v>1463.8550129527575</v>
      </c>
      <c r="DT166" s="59">
        <f ca="1">AVERAGE(OFFSET($DS$3,0,0,'Données projet'!$E$14+1,1))-AVERAGE(OFFSET($H$3,0,0,'Données projet'!$E$14+1,1))</f>
        <v>531.65020827367698</v>
      </c>
      <c r="DU166" s="59">
        <f t="shared" si="152"/>
        <v>235.89413420278396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70.759468366839471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70.759468366839471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94.660800000000165</v>
      </c>
      <c r="D167" s="11">
        <f t="shared" si="140"/>
        <v>25.685973342429886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928.99263632753036</v>
      </c>
      <c r="H167" s="67">
        <f t="shared" si="110"/>
        <v>502.93729690473231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494.61313200000029</v>
      </c>
      <c r="P167" s="13">
        <f t="shared" si="141"/>
        <v>110.71467429849332</v>
      </c>
      <c r="Q167" s="20">
        <f t="shared" si="162"/>
        <v>1054.2792626365431</v>
      </c>
      <c r="R167" s="59">
        <f t="shared" si="109"/>
        <v>1347.6125959698763</v>
      </c>
      <c r="S167" s="59">
        <f ca="1">AVERAGE(OFFSET($R$3,0,0,'Données projet'!$E$9+1,1))-AVERAGE(OFFSET($H$3,0,0,'Données projet'!$E$9+1,1))</f>
        <v>457.88065872594228</v>
      </c>
      <c r="T167" s="59">
        <f t="shared" si="142"/>
        <v>204.62439362068329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77.499234080856539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77.499234080856539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1296.8422224692124</v>
      </c>
      <c r="AN167" s="59">
        <f ca="1">AVERAGE(OFFSET($AM$3,0,0,'Données projet'!$E$10+1,1))-AVERAGE(OFFSET($H$3,0,0,'Données projet'!$E$10+1,1))</f>
        <v>430.16825592717629</v>
      </c>
      <c r="AO167" s="59">
        <f t="shared" si="144"/>
        <v>192.87542067077248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-2.3942448024172337E-14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243.94505553629301</v>
      </c>
      <c r="BJ167" s="59">
        <f t="shared" si="146"/>
        <v>173.05364940250229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61.407009083216316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61.407009083216316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1.1173142411280423E-13</v>
      </c>
      <c r="CA167" s="13">
        <f t="shared" si="170"/>
        <v>1.6569896290553793E-12</v>
      </c>
      <c r="CB167" s="20">
        <f t="shared" si="171"/>
        <v>3.0805225009345862E-12</v>
      </c>
      <c r="CC167" s="59">
        <f t="shared" si="119"/>
        <v>293.33333333333638</v>
      </c>
      <c r="CD167" s="59">
        <f ca="1">AVERAGE(OFFSET($CC$3,0,0,'Données projet'!$E$12+1,1))-AVERAGE(OFFSET($H$3,0,0,'Données projet'!$E$12+1,1))</f>
        <v>140.9558843244115</v>
      </c>
      <c r="CE167" s="59">
        <f t="shared" si="148"/>
        <v>158.88947216184619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12.766420814021595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12.766420814021595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519.77</v>
      </c>
      <c r="CR167" s="12">
        <f>VLOOKUP(A167,'Données projet'!$A$139:$I$159,9,0)</f>
        <v>8.4429999999999943</v>
      </c>
      <c r="CS167" s="12">
        <f t="array" ref="CS167">INDEX(CR:CR,MIN(IF(ISNUMBER(CR167:CR363),ROW(CR167:CR363),"")))</f>
        <v>8.4429999999999943</v>
      </c>
      <c r="CT167" s="12">
        <f>IF('Données projet'!$A$140&gt;35,CT166+CS167-DB166,IF(A167&lt;'Données projet'!$A$140,$CQ$205^A167,IF(A167='Données projet'!$A$140,'Données projet'!$B$140,CT166+CS167-DB166)))</f>
        <v>519.77000000000032</v>
      </c>
      <c r="CU167" s="17">
        <f>CT167*VLOOKUP('Données projet'!$B$13,Paramètres!$A$1:$I$89,3,0)*VLOOKUP('Données projet'!$B$13,Paramètres!$A$1:$I$89,5,0)</f>
        <v>502.72154400000034</v>
      </c>
      <c r="CV167" s="13">
        <f t="shared" si="173"/>
        <v>112.31688271954096</v>
      </c>
      <c r="CW167" s="20">
        <f t="shared" si="174"/>
        <v>1071.1919265365345</v>
      </c>
      <c r="CX167" s="59">
        <f t="shared" si="122"/>
        <v>1364.5252598698678</v>
      </c>
      <c r="CY167" s="59">
        <f ca="1">AVERAGE(OFFSET($CX$3,0,0,'Données projet'!$E$13+1,1))-AVERAGE(OFFSET($H$3,0,0,'Données projet'!$E$13+1,1))</f>
        <v>467.11196088914556</v>
      </c>
      <c r="CZ167" s="59">
        <f t="shared" si="150"/>
        <v>208.53783609106262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0.25800000000000001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78.769713328083697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78.769713328083697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519.77</v>
      </c>
      <c r="DM167" s="12">
        <f>VLOOKUP(A167,'Données projet'!$A$165:$I$185,9,0)</f>
        <v>8.4429999999999943</v>
      </c>
      <c r="DN167" s="12">
        <f t="array" ref="DN167">INDEX(DM:DM,MIN(IF(ISNUMBER(DM167:DM363),ROW(DM167:DM363),"")))</f>
        <v>8.4429999999999943</v>
      </c>
      <c r="DO167" s="12">
        <f>IF('Données projet'!$A$166&gt;35,DO166+DN167-DW166,IF(A167&lt;'Données projet'!$A$166,$DL$205^A167,IF(A167='Données projet'!$A$166,'Données projet'!$B$166,DO166+DN167-DW166)))</f>
        <v>519.77000000000032</v>
      </c>
      <c r="DP167" s="17">
        <f>DO167*VLOOKUP('Données projet'!$B$14,Paramètres!$A$1:$I$89,3,0)*VLOOKUP('Données projet'!$B$14,Paramètres!$A$1:$I$89,5,0)</f>
        <v>559.4804280000003</v>
      </c>
      <c r="DQ167" s="13">
        <f t="shared" si="176"/>
        <v>123.45105369618628</v>
      </c>
      <c r="DR167" s="20">
        <f t="shared" si="177"/>
        <v>1189.4389972875249</v>
      </c>
      <c r="DS167" s="59">
        <f t="shared" si="125"/>
        <v>1482.7723306208582</v>
      </c>
      <c r="DT167" s="59">
        <f ca="1">AVERAGE(OFFSET($DS$3,0,0,'Données projet'!$E$14+1,1))-AVERAGE(OFFSET($H$3,0,0,'Données projet'!$E$14+1,1))</f>
        <v>531.65020827367698</v>
      </c>
      <c r="DU167" s="59">
        <f t="shared" si="152"/>
        <v>235.89413420278396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59.58</v>
      </c>
      <c r="DX167" s="16">
        <f>IF(ISNA(VLOOKUP(A167,'Données projet'!$A$165:$I$185,5,0)),0%,VLOOKUP(A167,'Données projet'!$A$165:$I$185,5,0)*VLOOKUP('Données projet'!$B$14,Paramètres!$A$1:$I$89,7,0))</f>
        <v>0.25800000000000001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87.663068058673801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87.663068058673801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95.23800000000017</v>
      </c>
      <c r="D168" s="11">
        <f t="shared" si="140"/>
        <v>25.824315354051187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934.51611852250164</v>
      </c>
      <c r="H168" s="67">
        <f t="shared" si="110"/>
        <v>504.18353257497273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446.04917760000041</v>
      </c>
      <c r="P168" s="13">
        <f t="shared" si="141"/>
        <v>101.05240560162805</v>
      </c>
      <c r="Q168" s="20">
        <f t="shared" si="162"/>
        <v>952.8685907428362</v>
      </c>
      <c r="R168" s="59">
        <f t="shared" si="109"/>
        <v>1246.2019240761695</v>
      </c>
      <c r="S168" s="59">
        <f ca="1">AVERAGE(OFFSET($R$3,0,0,'Données projet'!$E$9+1,1))-AVERAGE(OFFSET($H$3,0,0,'Données projet'!$E$9+1,1))</f>
        <v>457.88065872594228</v>
      </c>
      <c r="T168" s="59">
        <f t="shared" si="142"/>
        <v>204.62439362068329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75.979521370396213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75.979521370396213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1200.3247571944735</v>
      </c>
      <c r="AN168" s="59">
        <f ca="1">AVERAGE(OFFSET($AM$3,0,0,'Données projet'!$E$10+1,1))-AVERAGE(OFFSET($H$3,0,0,'Données projet'!$E$10+1,1))</f>
        <v>430.16825592717629</v>
      </c>
      <c r="AO168" s="59">
        <f t="shared" si="144"/>
        <v>192.87542067077248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-2.3942448024172337E-14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243.94505553629301</v>
      </c>
      <c r="BJ168" s="59">
        <f t="shared" si="146"/>
        <v>173.05364940250229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60.202855089671651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60.202855089671651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1.1173142411280423E-13</v>
      </c>
      <c r="CA168" s="13">
        <f t="shared" si="170"/>
        <v>1.6569896290553793E-12</v>
      </c>
      <c r="CB168" s="20">
        <f t="shared" si="171"/>
        <v>3.0805225009345862E-12</v>
      </c>
      <c r="CC168" s="59">
        <f t="shared" si="119"/>
        <v>293.33333333333638</v>
      </c>
      <c r="CD168" s="59">
        <f ca="1">AVERAGE(OFFSET($CC$3,0,0,'Données projet'!$E$12+1,1))-AVERAGE(OFFSET($H$3,0,0,'Données projet'!$E$12+1,1))</f>
        <v>140.9558843244115</v>
      </c>
      <c r="CE168" s="59">
        <f t="shared" si="148"/>
        <v>158.88947216184619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12.516079088606451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12.516079088606451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8.5459999999999976</v>
      </c>
      <c r="CT168" s="12">
        <f>IF('Données projet'!$A$140&gt;35,CT167+CS168-DB167,IF(A168&lt;'Données projet'!$A$140,$CQ$205^A168,IF(A168='Données projet'!$A$140,'Données projet'!$B$140,CT167+CS168-DB167)))</f>
        <v>468.73600000000039</v>
      </c>
      <c r="CU168" s="17">
        <f>CT168*VLOOKUP('Données projet'!$B$13,Paramètres!$A$1:$I$89,3,0)*VLOOKUP('Données projet'!$B$13,Paramètres!$A$1:$I$89,5,0)</f>
        <v>453.36145920000041</v>
      </c>
      <c r="CV168" s="13">
        <f t="shared" si="173"/>
        <v>102.51478641291534</v>
      </c>
      <c r="CW168" s="20">
        <f t="shared" si="174"/>
        <v>968.15112777582817</v>
      </c>
      <c r="CX168" s="59">
        <f t="shared" si="122"/>
        <v>1261.4844611091614</v>
      </c>
      <c r="CY168" s="59">
        <f ca="1">AVERAGE(OFFSET($CX$3,0,0,'Données projet'!$E$13+1,1))-AVERAGE(OFFSET($H$3,0,0,'Données projet'!$E$13+1,1))</f>
        <v>467.11196088914556</v>
      </c>
      <c r="CZ168" s="59">
        <f t="shared" si="150"/>
        <v>208.53783609106262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77.22508729450108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77.22508729450108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8.5459999999999976</v>
      </c>
      <c r="DO168" s="12">
        <f>IF('Données projet'!$A$166&gt;35,DO167+DN168-DW167,IF(A168&lt;'Données projet'!$A$166,$DL$205^A168,IF(A168='Données projet'!$A$166,'Données projet'!$B$166,DO167+DN168-DW167)))</f>
        <v>468.73600000000039</v>
      </c>
      <c r="DP168" s="17">
        <f>DO168*VLOOKUP('Données projet'!$B$14,Paramètres!$A$1:$I$89,3,0)*VLOOKUP('Données projet'!$B$14,Paramètres!$A$1:$I$89,5,0)</f>
        <v>504.54743040000039</v>
      </c>
      <c r="DQ168" s="13">
        <f t="shared" si="176"/>
        <v>112.67725826860105</v>
      </c>
      <c r="DR168" s="20">
        <f t="shared" si="177"/>
        <v>1074.999666097814</v>
      </c>
      <c r="DS168" s="59">
        <f t="shared" si="125"/>
        <v>1368.3329994311473</v>
      </c>
      <c r="DT168" s="59">
        <f ca="1">AVERAGE(OFFSET($DS$3,0,0,'Données projet'!$E$14+1,1))-AVERAGE(OFFSET($H$3,0,0,'Données projet'!$E$14+1,1))</f>
        <v>531.65020827367698</v>
      </c>
      <c r="DU168" s="59">
        <f t="shared" si="152"/>
        <v>235.89413420278396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85.944048763235074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85.944048763235074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95.815200000000175</v>
      </c>
      <c r="D169" s="11">
        <f t="shared" si="140"/>
        <v>25.962559805455733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940.03884762106316</v>
      </c>
      <c r="H169" s="67">
        <f t="shared" si="110"/>
        <v>505.42959832783566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454.1815512000004</v>
      </c>
      <c r="P169" s="13">
        <f t="shared" si="141"/>
        <v>102.67862436191818</v>
      </c>
      <c r="Q169" s="20">
        <f t="shared" si="162"/>
        <v>969.8648057703416</v>
      </c>
      <c r="R169" s="59">
        <f t="shared" si="109"/>
        <v>1263.198139103675</v>
      </c>
      <c r="S169" s="59">
        <f ca="1">AVERAGE(OFFSET($R$3,0,0,'Données projet'!$E$9+1,1))-AVERAGE(OFFSET($H$3,0,0,'Données projet'!$E$9+1,1))</f>
        <v>457.88065872594228</v>
      </c>
      <c r="T169" s="59">
        <f t="shared" si="142"/>
        <v>204.62439362068329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74.489609299254795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74.489609299254795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1216.5009478137279</v>
      </c>
      <c r="AN169" s="59">
        <f ca="1">AVERAGE(OFFSET($AM$3,0,0,'Données projet'!$E$10+1,1))-AVERAGE(OFFSET($H$3,0,0,'Données projet'!$E$10+1,1))</f>
        <v>430.16825592717629</v>
      </c>
      <c r="AO169" s="59">
        <f t="shared" si="144"/>
        <v>192.87542067077248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-2.3942448024172337E-14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243.94505553629301</v>
      </c>
      <c r="BJ169" s="59">
        <f t="shared" si="146"/>
        <v>173.05364940250229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59.022313821478981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59.022313821478981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1.1173142411280423E-13</v>
      </c>
      <c r="CA169" s="13">
        <f t="shared" si="170"/>
        <v>1.6569896290553793E-12</v>
      </c>
      <c r="CB169" s="20">
        <f t="shared" si="171"/>
        <v>3.0805225009345862E-12</v>
      </c>
      <c r="CC169" s="59">
        <f t="shared" si="119"/>
        <v>293.33333333333638</v>
      </c>
      <c r="CD169" s="59">
        <f ca="1">AVERAGE(OFFSET($CC$3,0,0,'Données projet'!$E$12+1,1))-AVERAGE(OFFSET($H$3,0,0,'Données projet'!$E$12+1,1))</f>
        <v>140.9558843244115</v>
      </c>
      <c r="CE169" s="59">
        <f t="shared" si="148"/>
        <v>158.88947216184619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12.270646411733322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12.270646411733322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8.5459999999999976</v>
      </c>
      <c r="CT169" s="12">
        <f>IF('Données projet'!$A$140&gt;35,CT168+CS169-DB168,IF(A169&lt;'Données projet'!$A$140,$CQ$205^A169,IF(A169='Données projet'!$A$140,'Données projet'!$B$140,CT168+CS169-DB168)))</f>
        <v>477.28200000000038</v>
      </c>
      <c r="CU169" s="17">
        <f>CT169*VLOOKUP('Données projet'!$B$13,Paramètres!$A$1:$I$89,3,0)*VLOOKUP('Données projet'!$B$13,Paramètres!$A$1:$I$89,5,0)</f>
        <v>461.6271504000004</v>
      </c>
      <c r="CV169" s="13">
        <f t="shared" si="173"/>
        <v>104.16453901285873</v>
      </c>
      <c r="CW169" s="20">
        <f t="shared" si="174"/>
        <v>985.42052572739613</v>
      </c>
      <c r="CX169" s="59">
        <f t="shared" si="122"/>
        <v>1278.7538590607294</v>
      </c>
      <c r="CY169" s="59">
        <f ca="1">AVERAGE(OFFSET($CX$3,0,0,'Données projet'!$E$13+1,1))-AVERAGE(OFFSET($H$3,0,0,'Données projet'!$E$13+1,1))</f>
        <v>467.11196088914556</v>
      </c>
      <c r="CZ169" s="59">
        <f t="shared" si="150"/>
        <v>208.53783609106262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75.710750435308157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75.710750435308157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8.5459999999999976</v>
      </c>
      <c r="DO169" s="12">
        <f>IF('Données projet'!$A$166&gt;35,DO168+DN169-DW168,IF(A169&lt;'Données projet'!$A$166,$DL$205^A169,IF(A169='Données projet'!$A$166,'Données projet'!$B$166,DO168+DN169-DW168)))</f>
        <v>477.28200000000038</v>
      </c>
      <c r="DP169" s="17">
        <f>DO169*VLOOKUP('Données projet'!$B$14,Paramètres!$A$1:$I$89,3,0)*VLOOKUP('Données projet'!$B$14,Paramètres!$A$1:$I$89,5,0)</f>
        <v>513.74634480000043</v>
      </c>
      <c r="DQ169" s="13">
        <f t="shared" si="176"/>
        <v>114.49055375784276</v>
      </c>
      <c r="DR169" s="20">
        <f t="shared" si="177"/>
        <v>1094.1792649882436</v>
      </c>
      <c r="DS169" s="59">
        <f t="shared" si="125"/>
        <v>1387.5125983215769</v>
      </c>
      <c r="DT169" s="59">
        <f ca="1">AVERAGE(OFFSET($DS$3,0,0,'Données projet'!$E$14+1,1))-AVERAGE(OFFSET($H$3,0,0,'Données projet'!$E$14+1,1))</f>
        <v>531.65020827367698</v>
      </c>
      <c r="DU169" s="59">
        <f t="shared" si="152"/>
        <v>235.89413420278396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84.25873838768166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84.25873838768166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96.39240000000018</v>
      </c>
      <c r="D170" s="11">
        <f t="shared" si="140"/>
        <v>26.100707352543353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945.56082868630108</v>
      </c>
      <c r="H170" s="67">
        <f t="shared" si="110"/>
        <v>506.67549530567999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462.31392480000034</v>
      </c>
      <c r="P170" s="13">
        <f t="shared" si="141"/>
        <v>104.30145708432539</v>
      </c>
      <c r="Q170" s="20">
        <f t="shared" si="162"/>
        <v>986.85512344853396</v>
      </c>
      <c r="R170" s="59">
        <f t="shared" si="109"/>
        <v>1280.1884567818672</v>
      </c>
      <c r="S170" s="59">
        <f ca="1">AVERAGE(OFFSET($R$3,0,0,'Données projet'!$E$9+1,1))-AVERAGE(OFFSET($H$3,0,0,'Données projet'!$E$9+1,1))</f>
        <v>457.88065872594228</v>
      </c>
      <c r="T170" s="59">
        <f t="shared" si="142"/>
        <v>204.62439362068329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73.028913495071833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73.028913495071833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1232.6714981046503</v>
      </c>
      <c r="AN170" s="59">
        <f ca="1">AVERAGE(OFFSET($AM$3,0,0,'Données projet'!$E$10+1,1))-AVERAGE(OFFSET($H$3,0,0,'Données projet'!$E$10+1,1))</f>
        <v>430.16825592717629</v>
      </c>
      <c r="AO170" s="59">
        <f t="shared" si="144"/>
        <v>192.87542067077248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-2.3942448024172337E-14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243.94505553629301</v>
      </c>
      <c r="BJ170" s="59">
        <f t="shared" si="146"/>
        <v>173.05364940250229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57.864922247496501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57.864922247496501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1.1173142411280423E-13</v>
      </c>
      <c r="CA170" s="13">
        <f t="shared" si="170"/>
        <v>1.6569896290553793E-12</v>
      </c>
      <c r="CB170" s="20">
        <f t="shared" si="171"/>
        <v>3.0805225009345862E-12</v>
      </c>
      <c r="CC170" s="59">
        <f t="shared" si="119"/>
        <v>293.33333333333638</v>
      </c>
      <c r="CD170" s="59">
        <f ca="1">AVERAGE(OFFSET($CC$3,0,0,'Données projet'!$E$12+1,1))-AVERAGE(OFFSET($H$3,0,0,'Données projet'!$E$12+1,1))</f>
        <v>140.9558843244115</v>
      </c>
      <c r="CE170" s="59">
        <f t="shared" si="148"/>
        <v>158.88947216184619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12.030026519954525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12.030026519954525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8.5459999999999976</v>
      </c>
      <c r="CT170" s="12">
        <f>IF('Données projet'!$A$140&gt;35,CT169+CS170-DB169,IF(A170&lt;'Données projet'!$A$140,$CQ$205^A170,IF(A170='Données projet'!$A$140,'Données projet'!$B$140,CT169+CS170-DB169)))</f>
        <v>485.82800000000037</v>
      </c>
      <c r="CU170" s="17">
        <f>CT170*VLOOKUP('Données projet'!$B$13,Paramètres!$A$1:$I$89,3,0)*VLOOKUP('Données projet'!$B$13,Paramètres!$A$1:$I$89,5,0)</f>
        <v>469.89284160000039</v>
      </c>
      <c r="CV170" s="13">
        <f t="shared" si="173"/>
        <v>105.81085657384101</v>
      </c>
      <c r="CW170" s="20">
        <f t="shared" si="174"/>
        <v>1002.6839409861069</v>
      </c>
      <c r="CX170" s="59">
        <f t="shared" si="122"/>
        <v>1296.0172743194403</v>
      </c>
      <c r="CY170" s="59">
        <f ca="1">AVERAGE(OFFSET($CX$3,0,0,'Données projet'!$E$13+1,1))-AVERAGE(OFFSET($H$3,0,0,'Données projet'!$E$13+1,1))</f>
        <v>467.11196088914556</v>
      </c>
      <c r="CZ170" s="59">
        <f t="shared" si="150"/>
        <v>208.53783609106262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74.226108798269735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74.226108798269735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8.5459999999999976</v>
      </c>
      <c r="DO170" s="12">
        <f>IF('Données projet'!$A$166&gt;35,DO169+DN170-DW169,IF(A170&lt;'Données projet'!$A$166,$DL$205^A170,IF(A170='Données projet'!$A$166,'Données projet'!$B$166,DO169+DN170-DW169)))</f>
        <v>485.82800000000037</v>
      </c>
      <c r="DP170" s="17">
        <f>DO170*VLOOKUP('Données projet'!$B$14,Paramètres!$A$1:$I$89,3,0)*VLOOKUP('Données projet'!$B$14,Paramètres!$A$1:$I$89,5,0)</f>
        <v>522.94525920000035</v>
      </c>
      <c r="DQ170" s="13">
        <f t="shared" si="176"/>
        <v>116.30007368664351</v>
      </c>
      <c r="DR170" s="20">
        <f t="shared" si="177"/>
        <v>1113.3522881109047</v>
      </c>
      <c r="DS170" s="59">
        <f t="shared" si="125"/>
        <v>1406.685621444238</v>
      </c>
      <c r="DT170" s="59">
        <f ca="1">AVERAGE(OFFSET($DS$3,0,0,'Données projet'!$E$14+1,1))-AVERAGE(OFFSET($H$3,0,0,'Données projet'!$E$14+1,1))</f>
        <v>531.65020827367698</v>
      </c>
      <c r="DU170" s="59">
        <f t="shared" si="152"/>
        <v>235.89413420278396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82.606475920655029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82.606475920655029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96.969600000000185</v>
      </c>
      <c r="D171" s="11">
        <f t="shared" si="140"/>
        <v>26.238758642904383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951.082066717158</v>
      </c>
      <c r="H171" s="67">
        <f t="shared" si="110"/>
        <v>507.92122463639208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470.44629840000033</v>
      </c>
      <c r="P171" s="13">
        <f t="shared" si="141"/>
        <v>105.92097020318585</v>
      </c>
      <c r="Q171" s="20">
        <f t="shared" si="162"/>
        <v>1003.8396594838824</v>
      </c>
      <c r="R171" s="59">
        <f t="shared" si="109"/>
        <v>1297.1729928172158</v>
      </c>
      <c r="S171" s="59">
        <f ca="1">AVERAGE(OFFSET($R$3,0,0,'Données projet'!$E$9+1,1))-AVERAGE(OFFSET($H$3,0,0,'Données projet'!$E$9+1,1))</f>
        <v>457.88065872594228</v>
      </c>
      <c r="T171" s="59">
        <f t="shared" si="142"/>
        <v>204.62439362068329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71.596861044672423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71.596861044672423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1248.8365187309375</v>
      </c>
      <c r="AN171" s="59">
        <f ca="1">AVERAGE(OFFSET($AM$3,0,0,'Données projet'!$E$10+1,1))-AVERAGE(OFFSET($H$3,0,0,'Données projet'!$E$10+1,1))</f>
        <v>430.16825592717629</v>
      </c>
      <c r="AO171" s="59">
        <f t="shared" si="144"/>
        <v>192.87542067077248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-2.3942448024172337E-14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243.94505553629301</v>
      </c>
      <c r="BJ171" s="59">
        <f t="shared" si="146"/>
        <v>173.05364940250229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56.730226416340663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56.730226416340663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1.1173142411280423E-13</v>
      </c>
      <c r="CA171" s="13">
        <f t="shared" si="170"/>
        <v>1.6569896290553793E-12</v>
      </c>
      <c r="CB171" s="20">
        <f t="shared" si="171"/>
        <v>3.0805225009345862E-12</v>
      </c>
      <c r="CC171" s="59">
        <f t="shared" si="119"/>
        <v>293.33333333333638</v>
      </c>
      <c r="CD171" s="59">
        <f ca="1">AVERAGE(OFFSET($CC$3,0,0,'Données projet'!$E$12+1,1))-AVERAGE(OFFSET($H$3,0,0,'Données projet'!$E$12+1,1))</f>
        <v>140.9558843244115</v>
      </c>
      <c r="CE171" s="59">
        <f t="shared" si="148"/>
        <v>158.88947216184619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11.794125037489867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11.794125037489867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8.5459999999999976</v>
      </c>
      <c r="CT171" s="12">
        <f>IF('Données projet'!$A$140&gt;35,CT170+CS171-DB170,IF(A171&lt;'Données projet'!$A$140,$CQ$205^A171,IF(A171='Données projet'!$A$140,'Données projet'!$B$140,CT170+CS171-DB170)))</f>
        <v>494.37400000000036</v>
      </c>
      <c r="CU171" s="17">
        <f>CT171*VLOOKUP('Données projet'!$B$13,Paramètres!$A$1:$I$89,3,0)*VLOOKUP('Données projet'!$B$13,Paramètres!$A$1:$I$89,5,0)</f>
        <v>478.15853280000039</v>
      </c>
      <c r="CV171" s="13">
        <f t="shared" si="173"/>
        <v>107.45380649160349</v>
      </c>
      <c r="CW171" s="20">
        <f t="shared" si="174"/>
        <v>1019.9414909328767</v>
      </c>
      <c r="CX171" s="59">
        <f t="shared" si="122"/>
        <v>1313.2748242662101</v>
      </c>
      <c r="CY171" s="59">
        <f ca="1">AVERAGE(OFFSET($CX$3,0,0,'Données projet'!$E$13+1,1))-AVERAGE(OFFSET($H$3,0,0,'Données projet'!$E$13+1,1))</f>
        <v>467.11196088914556</v>
      </c>
      <c r="CZ171" s="59">
        <f t="shared" si="150"/>
        <v>208.53783609106262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72.770580078191657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72.770580078191657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8.5459999999999976</v>
      </c>
      <c r="DO171" s="12">
        <f>IF('Données projet'!$A$166&gt;35,DO170+DN171-DW170,IF(A171&lt;'Données projet'!$A$166,$DL$205^A171,IF(A171='Données projet'!$A$166,'Données projet'!$B$166,DO170+DN171-DW170)))</f>
        <v>494.37400000000036</v>
      </c>
      <c r="DP171" s="17">
        <f>DO171*VLOOKUP('Données projet'!$B$14,Paramètres!$A$1:$I$89,3,0)*VLOOKUP('Données projet'!$B$14,Paramètres!$A$1:$I$89,5,0)</f>
        <v>532.14417360000039</v>
      </c>
      <c r="DQ171" s="13">
        <f t="shared" si="176"/>
        <v>118.1058921318037</v>
      </c>
      <c r="DR171" s="20">
        <f t="shared" si="177"/>
        <v>1132.518864482892</v>
      </c>
      <c r="DS171" s="59">
        <f t="shared" si="125"/>
        <v>1425.8521978162253</v>
      </c>
      <c r="DT171" s="59">
        <f ca="1">AVERAGE(OFFSET($DS$3,0,0,'Données projet'!$E$14+1,1))-AVERAGE(OFFSET($H$3,0,0,'Données projet'!$E$14+1,1))</f>
        <v>531.65020827367698</v>
      </c>
      <c r="DU171" s="59">
        <f t="shared" si="152"/>
        <v>235.89413420278396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80.986613312826194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80.986613312826194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97.546800000000189</v>
      </c>
      <c r="D172" s="11">
        <f t="shared" si="140"/>
        <v>26.376714315973658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956.60256664962287</v>
      </c>
      <c r="H172" s="67">
        <f t="shared" si="110"/>
        <v>509.16678743365441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478.57867200000032</v>
      </c>
      <c r="P172" s="13">
        <f t="shared" si="141"/>
        <v>107.53722772440642</v>
      </c>
      <c r="Q172" s="20">
        <f t="shared" si="162"/>
        <v>1020.8185253533417</v>
      </c>
      <c r="R172" s="59">
        <f t="shared" si="109"/>
        <v>1314.151858686675</v>
      </c>
      <c r="S172" s="59">
        <f ca="1">AVERAGE(OFFSET($R$3,0,0,'Données projet'!$E$9+1,1))-AVERAGE(OFFSET($H$3,0,0,'Données projet'!$E$9+1,1))</f>
        <v>457.88065872594228</v>
      </c>
      <c r="T172" s="59">
        <f t="shared" si="142"/>
        <v>204.62439362068329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70.192890269359609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70.192890269359609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1264.9961163111041</v>
      </c>
      <c r="AN172" s="59">
        <f ca="1">AVERAGE(OFFSET($AM$3,0,0,'Données projet'!$E$10+1,1))-AVERAGE(OFFSET($H$3,0,0,'Données projet'!$E$10+1,1))</f>
        <v>430.16825592717629</v>
      </c>
      <c r="AO172" s="59">
        <f t="shared" si="144"/>
        <v>192.87542067077248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-2.3942448024172337E-14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243.94505553629301</v>
      </c>
      <c r="BJ172" s="59">
        <f t="shared" si="146"/>
        <v>173.05364940250229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55.617781278337674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55.617781278337674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1.1173142411280423E-13</v>
      </c>
      <c r="CA172" s="13">
        <f t="shared" si="170"/>
        <v>1.6569896290553793E-12</v>
      </c>
      <c r="CB172" s="20">
        <f t="shared" si="171"/>
        <v>3.0805225009345862E-12</v>
      </c>
      <c r="CC172" s="59">
        <f t="shared" si="119"/>
        <v>293.33333333333638</v>
      </c>
      <c r="CD172" s="59">
        <f ca="1">AVERAGE(OFFSET($CC$3,0,0,'Données projet'!$E$12+1,1))-AVERAGE(OFFSET($H$3,0,0,'Données projet'!$E$12+1,1))</f>
        <v>140.9558843244115</v>
      </c>
      <c r="CE172" s="59">
        <f t="shared" si="148"/>
        <v>158.88947216184619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11.562849439210643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11.562849439210643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8.5459999999999976</v>
      </c>
      <c r="CT172" s="12">
        <f>IF('Données projet'!$A$140&gt;35,CT171+CS172-DB171,IF(A172&lt;'Données projet'!$A$140,$CQ$205^A172,IF(A172='Données projet'!$A$140,'Données projet'!$B$140,CT171+CS172-DB171)))</f>
        <v>502.92000000000036</v>
      </c>
      <c r="CU172" s="17">
        <f>CT172*VLOOKUP('Données projet'!$B$13,Paramètres!$A$1:$I$89,3,0)*VLOOKUP('Données projet'!$B$13,Paramètres!$A$1:$I$89,5,0)</f>
        <v>486.42422400000038</v>
      </c>
      <c r="CV172" s="13">
        <f t="shared" si="173"/>
        <v>109.09345369831506</v>
      </c>
      <c r="CW172" s="20">
        <f t="shared" si="174"/>
        <v>1037.1932886578995</v>
      </c>
      <c r="CX172" s="59">
        <f t="shared" si="122"/>
        <v>1330.5266219912328</v>
      </c>
      <c r="CY172" s="59">
        <f ca="1">AVERAGE(OFFSET($CX$3,0,0,'Données projet'!$E$13+1,1))-AVERAGE(OFFSET($H$3,0,0,'Données projet'!$E$13+1,1))</f>
        <v>467.11196088914556</v>
      </c>
      <c r="CZ172" s="59">
        <f t="shared" si="150"/>
        <v>208.53783609106262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71.343593388529442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71.343593388529442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8.5459999999999976</v>
      </c>
      <c r="DO172" s="12">
        <f>IF('Données projet'!$A$166&gt;35,DO171+DN172-DW171,IF(A172&lt;'Données projet'!$A$166,$DL$205^A172,IF(A172='Données projet'!$A$166,'Données projet'!$B$166,DO171+DN172-DW171)))</f>
        <v>502.92000000000036</v>
      </c>
      <c r="DP172" s="17">
        <f>DO172*VLOOKUP('Données projet'!$B$14,Paramètres!$A$1:$I$89,3,0)*VLOOKUP('Données projet'!$B$14,Paramètres!$A$1:$I$89,5,0)</f>
        <v>541.34308800000031</v>
      </c>
      <c r="DQ172" s="13">
        <f t="shared" si="176"/>
        <v>119.90808046233271</v>
      </c>
      <c r="DR172" s="20">
        <f t="shared" si="177"/>
        <v>1151.6791184052299</v>
      </c>
      <c r="DS172" s="59">
        <f t="shared" si="125"/>
        <v>1445.0124517385632</v>
      </c>
      <c r="DT172" s="59">
        <f ca="1">AVERAGE(OFFSET($DS$3,0,0,'Données projet'!$E$14+1,1))-AVERAGE(OFFSET($H$3,0,0,'Données projet'!$E$14+1,1))</f>
        <v>531.65020827367698</v>
      </c>
      <c r="DU172" s="59">
        <f t="shared" si="152"/>
        <v>235.89413420278396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79.398515222718245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79.398515222718245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98.124000000000194</v>
      </c>
      <c r="D173" s="11">
        <f t="shared" si="140"/>
        <v>26.514575003181047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962.12233335789051</v>
      </c>
      <c r="H173" s="67">
        <f t="shared" si="110"/>
        <v>510.41218479720732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486.71104560000038</v>
      </c>
      <c r="P173" s="13">
        <f t="shared" si="141"/>
        <v>109.15029135396269</v>
      </c>
      <c r="Q173" s="20">
        <f t="shared" si="162"/>
        <v>1037.7918285281523</v>
      </c>
      <c r="R173" s="59">
        <f t="shared" si="109"/>
        <v>1331.1251618614856</v>
      </c>
      <c r="S173" s="59">
        <f ca="1">AVERAGE(OFFSET($R$3,0,0,'Données projet'!$E$9+1,1))-AVERAGE(OFFSET($H$3,0,0,'Données projet'!$E$9+1,1))</f>
        <v>457.88065872594228</v>
      </c>
      <c r="T173" s="59">
        <f t="shared" si="142"/>
        <v>204.62439362068329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68.816450504613059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68.816450504613059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1281.15039363253</v>
      </c>
      <c r="AN173" s="59">
        <f ca="1">AVERAGE(OFFSET($AM$3,0,0,'Données projet'!$E$10+1,1))-AVERAGE(OFFSET($H$3,0,0,'Données projet'!$E$10+1,1))</f>
        <v>430.16825592717629</v>
      </c>
      <c r="AO173" s="59">
        <f t="shared" si="144"/>
        <v>192.87542067077248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-2.3942448024172337E-14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243.94505553629301</v>
      </c>
      <c r="BJ173" s="59">
        <f t="shared" si="146"/>
        <v>173.05364940250229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54.527150510966386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54.527150510966386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1.1173142411280423E-13</v>
      </c>
      <c r="CA173" s="13">
        <f t="shared" si="170"/>
        <v>1.6569896290553793E-12</v>
      </c>
      <c r="CB173" s="20">
        <f t="shared" si="171"/>
        <v>3.0805225009345862E-12</v>
      </c>
      <c r="CC173" s="59">
        <f t="shared" si="119"/>
        <v>293.33333333333638</v>
      </c>
      <c r="CD173" s="59">
        <f ca="1">AVERAGE(OFFSET($CC$3,0,0,'Données projet'!$E$12+1,1))-AVERAGE(OFFSET($H$3,0,0,'Données projet'!$E$12+1,1))</f>
        <v>140.9558843244115</v>
      </c>
      <c r="CE173" s="59">
        <f t="shared" si="148"/>
        <v>158.88947216184619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11.336109014349489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11.336109014349489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8.5459999999999976</v>
      </c>
      <c r="CT173" s="12">
        <f>IF('Données projet'!$A$140&gt;35,CT172+CS173-DB172,IF(A173&lt;'Données projet'!$A$140,$CQ$205^A173,IF(A173='Données projet'!$A$140,'Données projet'!$B$140,CT172+CS173-DB172)))</f>
        <v>511.46600000000035</v>
      </c>
      <c r="CU173" s="17">
        <f>CT173*VLOOKUP('Données projet'!$B$13,Paramètres!$A$1:$I$89,3,0)*VLOOKUP('Données projet'!$B$13,Paramètres!$A$1:$I$89,5,0)</f>
        <v>494.68991520000037</v>
      </c>
      <c r="CV173" s="13">
        <f t="shared" si="173"/>
        <v>110.72986079292981</v>
      </c>
      <c r="CW173" s="20">
        <f t="shared" si="174"/>
        <v>1054.4394431876869</v>
      </c>
      <c r="CX173" s="59">
        <f t="shared" si="122"/>
        <v>1347.7727765210202</v>
      </c>
      <c r="CY173" s="59">
        <f ca="1">AVERAGE(OFFSET($CX$3,0,0,'Données projet'!$E$13+1,1))-AVERAGE(OFFSET($H$3,0,0,'Données projet'!$E$13+1,1))</f>
        <v>467.11196088914556</v>
      </c>
      <c r="CZ173" s="59">
        <f t="shared" si="150"/>
        <v>208.53783609106262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69.944589037475566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69.944589037475566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8.5459999999999976</v>
      </c>
      <c r="DO173" s="12">
        <f>IF('Données projet'!$A$166&gt;35,DO172+DN173-DW172,IF(A173&lt;'Données projet'!$A$166,$DL$205^A173,IF(A173='Données projet'!$A$166,'Données projet'!$B$166,DO172+DN173-DW172)))</f>
        <v>511.46600000000035</v>
      </c>
      <c r="DP173" s="17">
        <f>DO173*VLOOKUP('Données projet'!$B$14,Paramètres!$A$1:$I$89,3,0)*VLOOKUP('Données projet'!$B$14,Paramètres!$A$1:$I$89,5,0)</f>
        <v>550.54200240000034</v>
      </c>
      <c r="DQ173" s="13">
        <f t="shared" si="176"/>
        <v>121.70670748272963</v>
      </c>
      <c r="DR173" s="20">
        <f t="shared" si="177"/>
        <v>1170.8331697124213</v>
      </c>
      <c r="DS173" s="59">
        <f t="shared" si="125"/>
        <v>1464.1665030457546</v>
      </c>
      <c r="DT173" s="59">
        <f ca="1">AVERAGE(OFFSET($DS$3,0,0,'Données projet'!$E$14+1,1))-AVERAGE(OFFSET($H$3,0,0,'Données projet'!$E$14+1,1))</f>
        <v>531.65020827367698</v>
      </c>
      <c r="DU173" s="59">
        <f t="shared" si="152"/>
        <v>235.89413420278396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77.841558767513135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77.841558767513135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98.701200000000199</v>
      </c>
      <c r="D174" s="11">
        <f t="shared" si="140"/>
        <v>26.65234132809799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967.64137165549494</v>
      </c>
      <c r="H174" s="67">
        <f t="shared" si="110"/>
        <v>511.6574178131043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494.84341920000037</v>
      </c>
      <c r="P174" s="13">
        <f t="shared" si="141"/>
        <v>110.76022061756538</v>
      </c>
      <c r="Q174" s="20">
        <f t="shared" si="162"/>
        <v>1054.7596726822603</v>
      </c>
      <c r="R174" s="59">
        <f t="shared" si="109"/>
        <v>1348.0930060155936</v>
      </c>
      <c r="S174" s="59">
        <f ca="1">AVERAGE(OFFSET($R$3,0,0,'Données projet'!$E$9+1,1))-AVERAGE(OFFSET($H$3,0,0,'Données projet'!$E$9+1,1))</f>
        <v>457.88065872594228</v>
      </c>
      <c r="T174" s="59">
        <f t="shared" si="142"/>
        <v>204.62439362068329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67.46700188410783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67.46700188410783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1297.299449850796</v>
      </c>
      <c r="AN174" s="59">
        <f ca="1">AVERAGE(OFFSET($AM$3,0,0,'Données projet'!$E$10+1,1))-AVERAGE(OFFSET($H$3,0,0,'Données projet'!$E$10+1,1))</f>
        <v>430.16825592717629</v>
      </c>
      <c r="AO174" s="59">
        <f t="shared" si="144"/>
        <v>192.87542067077248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-2.3942448024172337E-14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243.94505553629301</v>
      </c>
      <c r="BJ174" s="59">
        <f t="shared" si="146"/>
        <v>173.05364940250229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53.457906347724162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53.457906347724162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1.1173142411280423E-13</v>
      </c>
      <c r="CA174" s="13">
        <f t="shared" si="170"/>
        <v>1.6569896290553793E-12</v>
      </c>
      <c r="CB174" s="20">
        <f t="shared" si="171"/>
        <v>3.0805225009345862E-12</v>
      </c>
      <c r="CC174" s="59">
        <f t="shared" si="119"/>
        <v>293.33333333333638</v>
      </c>
      <c r="CD174" s="59">
        <f ca="1">AVERAGE(OFFSET($CC$3,0,0,'Données projet'!$E$12+1,1))-AVERAGE(OFFSET($H$3,0,0,'Données projet'!$E$12+1,1))</f>
        <v>140.9558843244115</v>
      </c>
      <c r="CE174" s="59">
        <f t="shared" si="148"/>
        <v>158.88947216184619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11.113814830921859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11.113814830921859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8.5459999999999976</v>
      </c>
      <c r="CT174" s="12">
        <f>IF('Données projet'!$A$140&gt;35,CT173+CS174-DB173,IF(A174&lt;'Données projet'!$A$140,$CQ$205^A174,IF(A174='Données projet'!$A$140,'Données projet'!$B$140,CT173+CS174-DB173)))</f>
        <v>520.0120000000004</v>
      </c>
      <c r="CU174" s="17">
        <f>CT174*VLOOKUP('Données projet'!$B$13,Paramètres!$A$1:$I$89,3,0)*VLOOKUP('Données projet'!$B$13,Paramètres!$A$1:$I$89,5,0)</f>
        <v>502.95560640000036</v>
      </c>
      <c r="CV174" s="13">
        <f t="shared" si="173"/>
        <v>112.36308816258565</v>
      </c>
      <c r="CW174" s="20">
        <f t="shared" si="174"/>
        <v>1071.6800596965038</v>
      </c>
      <c r="CX174" s="59">
        <f t="shared" si="122"/>
        <v>1365.0133930298371</v>
      </c>
      <c r="CY174" s="59">
        <f ca="1">AVERAGE(OFFSET($CX$3,0,0,'Données projet'!$E$13+1,1))-AVERAGE(OFFSET($H$3,0,0,'Données projet'!$E$13+1,1))</f>
        <v>467.11196088914556</v>
      </c>
      <c r="CZ174" s="59">
        <f t="shared" si="150"/>
        <v>208.53783609106262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68.573018308437469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68.573018308437469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8.5459999999999976</v>
      </c>
      <c r="DO174" s="12">
        <f>IF('Données projet'!$A$166&gt;35,DO173+DN174-DW173,IF(A174&lt;'Données projet'!$A$166,$DL$205^A174,IF(A174='Données projet'!$A$166,'Données projet'!$B$166,DO173+DN174-DW173)))</f>
        <v>520.0120000000004</v>
      </c>
      <c r="DP174" s="17">
        <f>DO174*VLOOKUP('Données projet'!$B$14,Paramètres!$A$1:$I$89,3,0)*VLOOKUP('Données projet'!$B$14,Paramètres!$A$1:$I$89,5,0)</f>
        <v>559.74091680000038</v>
      </c>
      <c r="DQ174" s="13">
        <f t="shared" si="176"/>
        <v>123.5018395664157</v>
      </c>
      <c r="DR174" s="20">
        <f t="shared" si="177"/>
        <v>1189.9811340048411</v>
      </c>
      <c r="DS174" s="59">
        <f t="shared" si="125"/>
        <v>1483.3144673381744</v>
      </c>
      <c r="DT174" s="59">
        <f ca="1">AVERAGE(OFFSET($DS$3,0,0,'Données projet'!$E$14+1,1))-AVERAGE(OFFSET($H$3,0,0,'Données projet'!$E$14+1,1))</f>
        <v>531.65020827367698</v>
      </c>
      <c r="DU174" s="59">
        <f t="shared" si="152"/>
        <v>235.89413420278396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76.315133278744923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76.315133278744923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99.278400000000204</v>
      </c>
      <c r="D175" s="11">
        <f t="shared" si="140"/>
        <v>26.790013906580725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973.15968629641429</v>
      </c>
      <c r="H175" s="67">
        <f t="shared" si="110"/>
        <v>512.90248755396169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502.97579280000042</v>
      </c>
      <c r="P175" s="13">
        <f t="shared" si="141"/>
        <v>112.36707297223725</v>
      </c>
      <c r="Q175" s="20">
        <f t="shared" si="162"/>
        <v>1071.7221578866472</v>
      </c>
      <c r="R175" s="59">
        <f t="shared" si="109"/>
        <v>1365.0554912199805</v>
      </c>
      <c r="S175" s="59">
        <f ca="1">AVERAGE(OFFSET($R$3,0,0,'Données projet'!$E$9+1,1))-AVERAGE(OFFSET($H$3,0,0,'Données projet'!$E$9+1,1))</f>
        <v>457.88065872594228</v>
      </c>
      <c r="T175" s="59">
        <f t="shared" si="142"/>
        <v>204.62439362068329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66.144015127968316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66.144015127968316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1313.4433806755444</v>
      </c>
      <c r="AN175" s="59">
        <f ca="1">AVERAGE(OFFSET($AM$3,0,0,'Données projet'!$E$10+1,1))-AVERAGE(OFFSET($H$3,0,0,'Données projet'!$E$10+1,1))</f>
        <v>430.16825592717629</v>
      </c>
      <c r="AO175" s="59">
        <f t="shared" si="144"/>
        <v>192.87542067077248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-2.3942448024172337E-14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243.94505553629301</v>
      </c>
      <c r="BJ175" s="59">
        <f t="shared" si="146"/>
        <v>173.05364940250229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52.409629410348579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52.409629410348579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1.1173142411280423E-13</v>
      </c>
      <c r="CA175" s="13">
        <f t="shared" si="170"/>
        <v>1.6569896290553793E-12</v>
      </c>
      <c r="CB175" s="20">
        <f t="shared" si="171"/>
        <v>3.0805225009345862E-12</v>
      </c>
      <c r="CC175" s="59">
        <f t="shared" si="119"/>
        <v>293.33333333333638</v>
      </c>
      <c r="CD175" s="59">
        <f ca="1">AVERAGE(OFFSET($CC$3,0,0,'Données projet'!$E$12+1,1))-AVERAGE(OFFSET($H$3,0,0,'Données projet'!$E$12+1,1))</f>
        <v>140.9558843244115</v>
      </c>
      <c r="CE175" s="59">
        <f t="shared" si="148"/>
        <v>158.88947216184619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10.895879700845182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10.895879700845182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8.5459999999999976</v>
      </c>
      <c r="CT175" s="12">
        <f>IF('Données projet'!$A$140&gt;35,CT174+CS175-DB174,IF(A175&lt;'Données projet'!$A$140,$CQ$205^A175,IF(A175='Données projet'!$A$140,'Données projet'!$B$140,CT174+CS175-DB174)))</f>
        <v>528.55800000000045</v>
      </c>
      <c r="CU175" s="17">
        <f>CT175*VLOOKUP('Données projet'!$B$13,Paramètres!$A$1:$I$89,3,0)*VLOOKUP('Données projet'!$B$13,Paramètres!$A$1:$I$89,5,0)</f>
        <v>511.22129760000047</v>
      </c>
      <c r="CV175" s="13">
        <f t="shared" si="173"/>
        <v>113.99319409579488</v>
      </c>
      <c r="CW175" s="20">
        <f t="shared" si="174"/>
        <v>1088.9152397035102</v>
      </c>
      <c r="CX175" s="59">
        <f t="shared" si="122"/>
        <v>1382.2485730368435</v>
      </c>
      <c r="CY175" s="59">
        <f ca="1">AVERAGE(OFFSET($CX$3,0,0,'Données projet'!$E$13+1,1))-AVERAGE(OFFSET($H$3,0,0,'Données projet'!$E$13+1,1))</f>
        <v>467.11196088914556</v>
      </c>
      <c r="CZ175" s="59">
        <f t="shared" si="150"/>
        <v>208.53783609106262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67.228343244820266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67.228343244820266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8.5459999999999976</v>
      </c>
      <c r="DO175" s="12">
        <f>IF('Données projet'!$A$166&gt;35,DO174+DN175-DW174,IF(A175&lt;'Données projet'!$A$166,$DL$205^A175,IF(A175='Données projet'!$A$166,'Données projet'!$B$166,DO174+DN175-DW174)))</f>
        <v>528.55800000000045</v>
      </c>
      <c r="DP175" s="17">
        <f>DO175*VLOOKUP('Données projet'!$B$14,Paramètres!$A$1:$I$89,3,0)*VLOOKUP('Données projet'!$B$14,Paramètres!$A$1:$I$89,5,0)</f>
        <v>568.93983120000041</v>
      </c>
      <c r="DQ175" s="13">
        <f t="shared" si="176"/>
        <v>125.29354078014669</v>
      </c>
      <c r="DR175" s="20">
        <f t="shared" si="177"/>
        <v>1209.1231228654231</v>
      </c>
      <c r="DS175" s="59">
        <f t="shared" si="125"/>
        <v>1502.4564561987563</v>
      </c>
      <c r="DT175" s="59">
        <f ca="1">AVERAGE(OFFSET($DS$3,0,0,'Données projet'!$E$14+1,1))-AVERAGE(OFFSET($H$3,0,0,'Données projet'!$E$14+1,1))</f>
        <v>531.65020827367698</v>
      </c>
      <c r="DU175" s="59">
        <f t="shared" si="152"/>
        <v>235.89413420278396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74.818640062783842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74.818640062783842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99.855600000000209</v>
      </c>
      <c r="D176" s="11">
        <f t="shared" si="140"/>
        <v>26.927593346910072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978.67728197614963</v>
      </c>
      <c r="H176" s="67">
        <f t="shared" si="110"/>
        <v>514.14739507920206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511.10816640000047</v>
      </c>
      <c r="P176" s="13">
        <f t="shared" si="141"/>
        <v>113.97090391046954</v>
      </c>
      <c r="Q176" s="20">
        <f t="shared" si="162"/>
        <v>1088.6793807907352</v>
      </c>
      <c r="R176" s="59">
        <f t="shared" si="109"/>
        <v>1382.0127141240685</v>
      </c>
      <c r="S176" s="59">
        <f ca="1">AVERAGE(OFFSET($R$3,0,0,'Données projet'!$E$9+1,1))-AVERAGE(OFFSET($H$3,0,0,'Données projet'!$E$9+1,1))</f>
        <v>457.88065872594228</v>
      </c>
      <c r="T176" s="59">
        <f t="shared" si="142"/>
        <v>204.62439362068329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64.846971335174459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64.846971335174459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1329.5822785439771</v>
      </c>
      <c r="AN176" s="59">
        <f ca="1">AVERAGE(OFFSET($AM$3,0,0,'Données projet'!$E$10+1,1))-AVERAGE(OFFSET($H$3,0,0,'Données projet'!$E$10+1,1))</f>
        <v>430.16825592717629</v>
      </c>
      <c r="AO176" s="59">
        <f t="shared" si="144"/>
        <v>192.87542067077248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-2.3942448024172337E-14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243.94505553629301</v>
      </c>
      <c r="BJ176" s="59">
        <f t="shared" si="146"/>
        <v>173.05364940250229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51.381908544329136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51.381908544329136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1.1173142411280423E-13</v>
      </c>
      <c r="CA176" s="13">
        <f t="shared" si="170"/>
        <v>1.6569896290553793E-12</v>
      </c>
      <c r="CB176" s="20">
        <f t="shared" si="171"/>
        <v>3.0805225009345862E-12</v>
      </c>
      <c r="CC176" s="59">
        <f t="shared" si="119"/>
        <v>293.33333333333638</v>
      </c>
      <c r="CD176" s="59">
        <f ca="1">AVERAGE(OFFSET($CC$3,0,0,'Données projet'!$E$12+1,1))-AVERAGE(OFFSET($H$3,0,0,'Données projet'!$E$12+1,1))</f>
        <v>140.9558843244115</v>
      </c>
      <c r="CE176" s="59">
        <f t="shared" si="148"/>
        <v>158.88947216184619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10.682218145742004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10.682218145742004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8.5459999999999976</v>
      </c>
      <c r="CT176" s="12">
        <f>IF('Données projet'!$A$140&gt;35,CT175+CS176-DB175,IF(A176&lt;'Données projet'!$A$140,$CQ$205^A176,IF(A176='Données projet'!$A$140,'Données projet'!$B$140,CT175+CS176-DB175)))</f>
        <v>537.1040000000005</v>
      </c>
      <c r="CU176" s="17">
        <f>CT176*VLOOKUP('Données projet'!$B$13,Paramètres!$A$1:$I$89,3,0)*VLOOKUP('Données projet'!$B$13,Paramètres!$A$1:$I$89,5,0)</f>
        <v>519.48698880000052</v>
      </c>
      <c r="CV176" s="13">
        <f t="shared" si="173"/>
        <v>115.62023488810887</v>
      </c>
      <c r="CW176" s="20">
        <f t="shared" si="174"/>
        <v>1106.1450812567903</v>
      </c>
      <c r="CX176" s="59">
        <f t="shared" si="122"/>
        <v>1399.4784145901235</v>
      </c>
      <c r="CY176" s="59">
        <f ca="1">AVERAGE(OFFSET($CX$3,0,0,'Données projet'!$E$13+1,1))-AVERAGE(OFFSET($H$3,0,0,'Données projet'!$E$13+1,1))</f>
        <v>467.11196088914556</v>
      </c>
      <c r="CZ176" s="59">
        <f t="shared" si="150"/>
        <v>208.53783609106262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65.910036439029795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65.910036439029795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8.5459999999999976</v>
      </c>
      <c r="DO176" s="12">
        <f>IF('Données projet'!$A$166&gt;35,DO175+DN176-DW175,IF(A176&lt;'Données projet'!$A$166,$DL$205^A176,IF(A176='Données projet'!$A$166,'Données projet'!$B$166,DO175+DN176-DW175)))</f>
        <v>537.1040000000005</v>
      </c>
      <c r="DP176" s="17">
        <f>DO176*VLOOKUP('Données projet'!$B$14,Paramètres!$A$1:$I$89,3,0)*VLOOKUP('Données projet'!$B$14,Paramètres!$A$1:$I$89,5,0)</f>
        <v>578.13874560000045</v>
      </c>
      <c r="DQ176" s="13">
        <f t="shared" si="176"/>
        <v>127.08187300015146</v>
      </c>
      <c r="DR176" s="20">
        <f t="shared" si="177"/>
        <v>1228.2592440619312</v>
      </c>
      <c r="DS176" s="59">
        <f t="shared" si="125"/>
        <v>1521.5925773952645</v>
      </c>
      <c r="DT176" s="59">
        <f ca="1">AVERAGE(OFFSET($DS$3,0,0,'Données projet'!$E$14+1,1))-AVERAGE(OFFSET($H$3,0,0,'Données projet'!$E$14+1,1))</f>
        <v>531.65020827367698</v>
      </c>
      <c r="DU176" s="59">
        <f t="shared" si="152"/>
        <v>235.89413420278396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73.351492166017024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73.351492166017024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100.43280000000021</v>
      </c>
      <c r="D177" s="11">
        <f t="shared" si="140"/>
        <v>27.065080249927746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984.19416333277729</v>
      </c>
      <c r="H177" s="67">
        <f t="shared" si="110"/>
        <v>515.39214143529125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519.24054000000058</v>
      </c>
      <c r="P177" s="13">
        <f t="shared" si="141"/>
        <v>115.57176705756082</v>
      </c>
      <c r="Q177" s="20">
        <f t="shared" si="162"/>
        <v>1105.6314347919194</v>
      </c>
      <c r="R177" s="59">
        <f t="shared" si="109"/>
        <v>1398.9647681252527</v>
      </c>
      <c r="S177" s="59">
        <f ca="1">AVERAGE(OFFSET($R$3,0,0,'Données projet'!$E$9+1,1))-AVERAGE(OFFSET($H$3,0,0,'Données projet'!$E$9+1,1))</f>
        <v>457.88065872594228</v>
      </c>
      <c r="T177" s="59">
        <f t="shared" si="142"/>
        <v>204.62439362068329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121.86547070273599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121.86547070273599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1345.7162327830017</v>
      </c>
      <c r="AN177" s="59">
        <f ca="1">AVERAGE(OFFSET($AM$3,0,0,'Données projet'!$E$10+1,1))-AVERAGE(OFFSET($H$3,0,0,'Données projet'!$E$10+1,1))</f>
        <v>430.16825592717629</v>
      </c>
      <c r="AO177" s="59">
        <f t="shared" si="144"/>
        <v>192.87542067077248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-2.3942448024172337E-14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243.94505553629301</v>
      </c>
      <c r="BJ177" s="59">
        <f t="shared" si="146"/>
        <v>173.05364940250229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50.374340657644495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50.374340657644495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1.1173142411280423E-13</v>
      </c>
      <c r="CA177" s="13">
        <f t="shared" si="170"/>
        <v>1.6569896290553793E-12</v>
      </c>
      <c r="CB177" s="20">
        <f t="shared" si="171"/>
        <v>3.0805225009345862E-12</v>
      </c>
      <c r="CC177" s="59">
        <f t="shared" si="119"/>
        <v>293.33333333333638</v>
      </c>
      <c r="CD177" s="59">
        <f ca="1">AVERAGE(OFFSET($CC$3,0,0,'Données projet'!$E$12+1,1))-AVERAGE(OFFSET($H$3,0,0,'Données projet'!$E$12+1,1))</f>
        <v>140.9558843244115</v>
      </c>
      <c r="CE177" s="59">
        <f t="shared" si="148"/>
        <v>158.88947216184619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10.472746363413719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10.472746363413719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545.65</v>
      </c>
      <c r="CR177" s="12">
        <f>VLOOKUP(A177,'Données projet'!$A$139:$I$159,9,0)</f>
        <v>8.5459999999999976</v>
      </c>
      <c r="CS177" s="12">
        <f t="array" ref="CS177">INDEX(CR:CR,MIN(IF(ISNUMBER(CR177:CR373),ROW(CR177:CR373),"")))</f>
        <v>8.5459999999999976</v>
      </c>
      <c r="CT177" s="12">
        <f>IF('Données projet'!$A$140&gt;35,CT176+CS177-DB176,IF(A177&lt;'Données projet'!$A$140,$CQ$205^A177,IF(A177='Données projet'!$A$140,'Données projet'!$B$140,CT176+CS177-DB176)))</f>
        <v>545.65000000000055</v>
      </c>
      <c r="CU177" s="17">
        <f>CT177*VLOOKUP('Données projet'!$B$13,Paramètres!$A$1:$I$89,3,0)*VLOOKUP('Données projet'!$B$13,Paramètres!$A$1:$I$89,5,0)</f>
        <v>527.75268000000051</v>
      </c>
      <c r="CV177" s="13">
        <f t="shared" si="173"/>
        <v>117.24426494086524</v>
      </c>
      <c r="CW177" s="20">
        <f t="shared" si="174"/>
        <v>1123.369679105341</v>
      </c>
      <c r="CX177" s="59">
        <f t="shared" si="122"/>
        <v>1416.7030124386743</v>
      </c>
      <c r="CY177" s="59">
        <f ca="1">AVERAGE(OFFSET($CX$3,0,0,'Données projet'!$E$13+1,1))-AVERAGE(OFFSET($H$3,0,0,'Données projet'!$E$13+1,1))</f>
        <v>467.11196088914556</v>
      </c>
      <c r="CZ177" s="59">
        <f t="shared" si="150"/>
        <v>208.53783609106262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0.25800000000000001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123.8632653044202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123.8632653044202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545.65</v>
      </c>
      <c r="DM177" s="12">
        <f>VLOOKUP(A177,'Données projet'!$A$165:$I$185,9,0)</f>
        <v>8.5459999999999976</v>
      </c>
      <c r="DN177" s="12">
        <f t="array" ref="DN177">INDEX(DM:DM,MIN(IF(ISNUMBER(DM177:DM373),ROW(DM177:DM373),"")))</f>
        <v>8.5459999999999976</v>
      </c>
      <c r="DO177" s="12">
        <f>IF('Données projet'!$A$166&gt;35,DO176+DN177-DW176,IF(A177&lt;'Données projet'!$A$166,$DL$205^A177,IF(A177='Données projet'!$A$166,'Données projet'!$B$166,DO176+DN177-DW176)))</f>
        <v>545.65000000000055</v>
      </c>
      <c r="DP177" s="17">
        <f>DO177*VLOOKUP('Données projet'!$B$14,Paramètres!$A$1:$I$89,3,0)*VLOOKUP('Données projet'!$B$14,Paramètres!$A$1:$I$89,5,0)</f>
        <v>587.33766000000048</v>
      </c>
      <c r="DQ177" s="13">
        <f t="shared" si="176"/>
        <v>128.86689602066798</v>
      </c>
      <c r="DR177" s="20">
        <f t="shared" si="177"/>
        <v>1247.3896017359975</v>
      </c>
      <c r="DS177" s="59">
        <f t="shared" si="125"/>
        <v>1540.7229350693308</v>
      </c>
      <c r="DT177" s="59">
        <f ca="1">AVERAGE(OFFSET($DS$3,0,0,'Données projet'!$E$14+1,1))-AVERAGE(OFFSET($H$3,0,0,'Données projet'!$E$14+1,1))</f>
        <v>531.65020827367698</v>
      </c>
      <c r="DU177" s="59">
        <f t="shared" si="152"/>
        <v>235.89413420278396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214.77</v>
      </c>
      <c r="DX177" s="16">
        <f>IF(ISNA(VLOOKUP(A177,'Données projet'!$A$165:$I$185,5,0)),0%,VLOOKUP(A177,'Données projet'!$A$165:$I$185,5,0)*VLOOKUP('Données projet'!$B$14,Paramètres!$A$1:$I$89,7,0))</f>
        <v>0.25800000000000001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137.84782751620958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137.84782751620958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101.01000000000022</v>
      </c>
      <c r="D178" s="11">
        <f t="shared" si="140"/>
        <v>27.202475209169652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989.71033494797791</v>
      </c>
      <c r="H178" s="67">
        <f t="shared" si="110"/>
        <v>516.63672765597084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319.9913600000005</v>
      </c>
      <c r="P178" s="13">
        <f t="shared" si="141"/>
        <v>75.351555939975256</v>
      </c>
      <c r="Q178" s="20">
        <f t="shared" si="162"/>
        <v>688.55557859545763</v>
      </c>
      <c r="R178" s="59">
        <f t="shared" si="109"/>
        <v>981.888911928791</v>
      </c>
      <c r="S178" s="59">
        <f ca="1">AVERAGE(OFFSET($R$3,0,0,'Données projet'!$E$9+1,1))-AVERAGE(OFFSET($H$3,0,0,'Données projet'!$E$9+1,1))</f>
        <v>457.88065872594228</v>
      </c>
      <c r="T178" s="59">
        <f t="shared" si="142"/>
        <v>204.62439362068329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119.47576315285293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119.47576315285293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948.76017205738299</v>
      </c>
      <c r="AN178" s="59">
        <f ca="1">AVERAGE(OFFSET($AM$3,0,0,'Données projet'!$E$10+1,1))-AVERAGE(OFFSET($H$3,0,0,'Données projet'!$E$10+1,1))</f>
        <v>430.16825592717629</v>
      </c>
      <c r="AO178" s="59">
        <f t="shared" si="144"/>
        <v>192.87542067077248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-2.3942448024172337E-14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243.94505553629301</v>
      </c>
      <c r="BJ178" s="59">
        <f t="shared" si="146"/>
        <v>173.05364940250229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49.386530562662017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49.386530562662017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1.1173142411280423E-13</v>
      </c>
      <c r="CA178" s="13">
        <f t="shared" si="170"/>
        <v>1.6569896290553793E-12</v>
      </c>
      <c r="CB178" s="20">
        <f t="shared" si="171"/>
        <v>3.0805225009345862E-12</v>
      </c>
      <c r="CC178" s="59">
        <f t="shared" si="119"/>
        <v>293.33333333333638</v>
      </c>
      <c r="CD178" s="59">
        <f ca="1">AVERAGE(OFFSET($CC$3,0,0,'Données projet'!$E$12+1,1))-AVERAGE(OFFSET($H$3,0,0,'Données projet'!$E$12+1,1))</f>
        <v>140.9558843244115</v>
      </c>
      <c r="CE178" s="59">
        <f t="shared" si="148"/>
        <v>158.88947216184619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10.26738219497172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10.26738219497172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5.3866666666666747</v>
      </c>
      <c r="CT178" s="12">
        <f>IF('Données projet'!$A$140&gt;35,CT177+CS178-DB177,IF(A178&lt;'Données projet'!$A$140,$CQ$205^A178,IF(A178='Données projet'!$A$140,'Données projet'!$B$140,CT177+CS178-DB177)))</f>
        <v>336.26666666666722</v>
      </c>
      <c r="CU178" s="17">
        <f>CT178*VLOOKUP('Données projet'!$B$13,Paramètres!$A$1:$I$89,3,0)*VLOOKUP('Données projet'!$B$13,Paramètres!$A$1:$I$89,5,0)</f>
        <v>325.23712000000052</v>
      </c>
      <c r="CV178" s="13">
        <f t="shared" si="173"/>
        <v>76.442006670477085</v>
      </c>
      <c r="CW178" s="20">
        <f t="shared" si="174"/>
        <v>699.59114561774857</v>
      </c>
      <c r="CX178" s="59">
        <f t="shared" si="122"/>
        <v>992.92447895108194</v>
      </c>
      <c r="CY178" s="59">
        <f ca="1">AVERAGE(OFFSET($CX$3,0,0,'Données projet'!$E$13+1,1))-AVERAGE(OFFSET($H$3,0,0,'Données projet'!$E$13+1,1))</f>
        <v>467.11196088914556</v>
      </c>
      <c r="CZ178" s="59">
        <f t="shared" si="150"/>
        <v>208.53783609106262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121.43438222093249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121.43438222093249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5.3866666666666747</v>
      </c>
      <c r="DO178" s="12">
        <f>IF('Données projet'!$A$166&gt;35,DO177+DN178-DW177,IF(A178&lt;'Données projet'!$A$166,$DL$205^A178,IF(A178='Données projet'!$A$166,'Données projet'!$B$166,DO177+DN178-DW177)))</f>
        <v>336.26666666666722</v>
      </c>
      <c r="DP178" s="17">
        <f>DO178*VLOOKUP('Données projet'!$B$14,Paramètres!$A$1:$I$89,3,0)*VLOOKUP('Données projet'!$B$14,Paramètres!$A$1:$I$89,5,0)</f>
        <v>361.95744000000059</v>
      </c>
      <c r="DQ178" s="13">
        <f t="shared" si="176"/>
        <v>84.019837816238351</v>
      </c>
      <c r="DR178" s="20">
        <f t="shared" si="177"/>
        <v>776.74375886328278</v>
      </c>
      <c r="DS178" s="59">
        <f t="shared" si="125"/>
        <v>1070.0770921966161</v>
      </c>
      <c r="DT178" s="59">
        <f ca="1">AVERAGE(OFFSET($DS$3,0,0,'Données projet'!$E$14+1,1))-AVERAGE(OFFSET($H$3,0,0,'Données projet'!$E$14+1,1))</f>
        <v>531.65020827367698</v>
      </c>
      <c r="DU178" s="59">
        <f t="shared" si="152"/>
        <v>235.89413420278396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135.1447156974894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135.1447156974894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101.58720000000022</v>
      </c>
      <c r="D179" s="11">
        <f t="shared" si="140"/>
        <v>27.339778810995906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995.22580134804048</v>
      </c>
      <c r="H179" s="67">
        <f t="shared" si="110"/>
        <v>517.88115476248493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325.11731200000048</v>
      </c>
      <c r="P179" s="13">
        <f t="shared" si="141"/>
        <v>76.417124812311442</v>
      </c>
      <c r="Q179" s="20">
        <f t="shared" si="162"/>
        <v>699.33914411477656</v>
      </c>
      <c r="R179" s="59">
        <f t="shared" si="109"/>
        <v>992.67247744810993</v>
      </c>
      <c r="S179" s="59">
        <f ca="1">AVERAGE(OFFSET($R$3,0,0,'Données projet'!$E$9+1,1))-AVERAGE(OFFSET($H$3,0,0,'Données projet'!$E$9+1,1))</f>
        <v>457.88065872594228</v>
      </c>
      <c r="T179" s="59">
        <f t="shared" si="142"/>
        <v>204.62439362068329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117.1329163104454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117.1329163104454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959.02378718332648</v>
      </c>
      <c r="AN179" s="59">
        <f ca="1">AVERAGE(OFFSET($AM$3,0,0,'Données projet'!$E$10+1,1))-AVERAGE(OFFSET($H$3,0,0,'Données projet'!$E$10+1,1))</f>
        <v>430.16825592717629</v>
      </c>
      <c r="AO179" s="59">
        <f t="shared" si="144"/>
        <v>192.87542067077248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-2.3942448024172337E-14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243.94505553629301</v>
      </c>
      <c r="BJ179" s="59">
        <f t="shared" si="146"/>
        <v>173.05364940250229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48.418090821137476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48.418090821137476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1.1173142411280423E-13</v>
      </c>
      <c r="CA179" s="13">
        <f t="shared" si="170"/>
        <v>1.6569896290553793E-12</v>
      </c>
      <c r="CB179" s="20">
        <f t="shared" si="171"/>
        <v>3.0805225009345862E-12</v>
      </c>
      <c r="CC179" s="59">
        <f t="shared" si="119"/>
        <v>293.33333333333638</v>
      </c>
      <c r="CD179" s="59">
        <f ca="1">AVERAGE(OFFSET($CC$3,0,0,'Données projet'!$E$12+1,1))-AVERAGE(OFFSET($H$3,0,0,'Données projet'!$E$12+1,1))</f>
        <v>140.9558843244115</v>
      </c>
      <c r="CE179" s="59">
        <f t="shared" si="148"/>
        <v>158.88947216184619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10.066045092613095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10.066045092613095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5.3866666666666747</v>
      </c>
      <c r="CT179" s="12">
        <f>IF('Données projet'!$A$140&gt;35,CT178+CS179-DB178,IF(A179&lt;'Données projet'!$A$140,$CQ$205^A179,IF(A179='Données projet'!$A$140,'Données projet'!$B$140,CT178+CS179-DB178)))</f>
        <v>341.65333333333388</v>
      </c>
      <c r="CU179" s="17">
        <f>CT179*VLOOKUP('Données projet'!$B$13,Paramètres!$A$1:$I$89,3,0)*VLOOKUP('Données projet'!$B$13,Paramètres!$A$1:$I$89,5,0)</f>
        <v>330.44710400000054</v>
      </c>
      <c r="CV179" s="13">
        <f t="shared" si="173"/>
        <v>77.522995932488612</v>
      </c>
      <c r="CW179" s="20">
        <f t="shared" si="174"/>
        <v>710.54792404908528</v>
      </c>
      <c r="CX179" s="59">
        <f t="shared" si="122"/>
        <v>1003.8812573824187</v>
      </c>
      <c r="CY179" s="59">
        <f ca="1">AVERAGE(OFFSET($CX$3,0,0,'Données projet'!$E$13+1,1))-AVERAGE(OFFSET($H$3,0,0,'Données projet'!$E$13+1,1))</f>
        <v>467.11196088914556</v>
      </c>
      <c r="CZ179" s="59">
        <f t="shared" si="150"/>
        <v>208.53783609106262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119.05312805323959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119.05312805323959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5.3866666666666747</v>
      </c>
      <c r="DO179" s="12">
        <f>IF('Données projet'!$A$166&gt;35,DO178+DN179-DW178,IF(A179&lt;'Données projet'!$A$166,$DL$205^A179,IF(A179='Données projet'!$A$166,'Données projet'!$B$166,DO178+DN179-DW178)))</f>
        <v>341.65333333333388</v>
      </c>
      <c r="DP179" s="17">
        <f>DO179*VLOOKUP('Données projet'!$B$14,Paramètres!$A$1:$I$89,3,0)*VLOOKUP('Données projet'!$B$14,Paramètres!$A$1:$I$89,5,0)</f>
        <v>367.75564800000058</v>
      </c>
      <c r="DQ179" s="13">
        <f t="shared" si="176"/>
        <v>85.20798745321521</v>
      </c>
      <c r="DR179" s="20">
        <f t="shared" si="177"/>
        <v>788.91166508101742</v>
      </c>
      <c r="DS179" s="59">
        <f t="shared" si="125"/>
        <v>1082.2449984143507</v>
      </c>
      <c r="DT179" s="59">
        <f ca="1">AVERAGE(OFFSET($DS$3,0,0,'Données projet'!$E$14+1,1))-AVERAGE(OFFSET($H$3,0,0,'Données projet'!$E$14+1,1))</f>
        <v>531.65020827367698</v>
      </c>
      <c r="DU179" s="59">
        <f t="shared" si="152"/>
        <v>235.89413420278396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132.49461025279891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132.49461025279891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102.16440000000023</v>
      </c>
      <c r="D180" s="11">
        <f t="shared" si="140"/>
        <v>27.476991634717923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1000.740567004842</v>
      </c>
      <c r="H180" s="67">
        <f t="shared" si="110"/>
        <v>519.12542376380077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330.24326400000052</v>
      </c>
      <c r="P180" s="13">
        <f t="shared" si="141"/>
        <v>77.480739842301588</v>
      </c>
      <c r="Q180" s="20">
        <f t="shared" si="162"/>
        <v>710.11930669200956</v>
      </c>
      <c r="R180" s="59">
        <f t="shared" si="109"/>
        <v>1003.4526400253428</v>
      </c>
      <c r="S180" s="59">
        <f ca="1">AVERAGE(OFFSET($R$3,0,0,'Données projet'!$E$9+1,1))-AVERAGE(OFFSET($H$3,0,0,'Données projet'!$E$9+1,1))</f>
        <v>457.88065872594228</v>
      </c>
      <c r="T180" s="59">
        <f t="shared" si="142"/>
        <v>204.62439362068329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146.09939836254196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146.09939836254196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969.28414767576578</v>
      </c>
      <c r="AN180" s="59">
        <f ca="1">AVERAGE(OFFSET($AM$3,0,0,'Données projet'!$E$10+1,1))-AVERAGE(OFFSET($H$3,0,0,'Données projet'!$E$10+1,1))</f>
        <v>430.16825592717629</v>
      </c>
      <c r="AO180" s="59">
        <f t="shared" si="144"/>
        <v>192.87542067077248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-2.3942448024172337E-14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243.94505553629301</v>
      </c>
      <c r="BJ180" s="59">
        <f t="shared" si="146"/>
        <v>173.05364940250229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47.468641592254315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47.468641592254315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1.1173142411280423E-13</v>
      </c>
      <c r="CA180" s="13">
        <f t="shared" si="170"/>
        <v>1.6569896290553793E-12</v>
      </c>
      <c r="CB180" s="20">
        <f t="shared" si="171"/>
        <v>3.0805225009345862E-12</v>
      </c>
      <c r="CC180" s="59">
        <f t="shared" si="119"/>
        <v>293.33333333333638</v>
      </c>
      <c r="CD180" s="59">
        <f ca="1">AVERAGE(OFFSET($CC$3,0,0,'Données projet'!$E$12+1,1))-AVERAGE(OFFSET($H$3,0,0,'Données projet'!$E$12+1,1))</f>
        <v>140.9558843244115</v>
      </c>
      <c r="CE180" s="59">
        <f t="shared" si="148"/>
        <v>158.88947216184619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9.8686560880282155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9.8686560880282155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347.04</v>
      </c>
      <c r="CR180" s="12">
        <f>VLOOKUP(A180,'Données projet'!$A$139:$I$159,9,0)</f>
        <v>5.3866666666666747</v>
      </c>
      <c r="CS180" s="12">
        <f t="array" ref="CS180">INDEX(CR:CR,MIN(IF(ISNUMBER(CR180:CR376),ROW(CR180:CR376),"")))</f>
        <v>5.3866666666666747</v>
      </c>
      <c r="CT180" s="12">
        <f>IF('Données projet'!$A$140&gt;35,CT179+CS180-DB179,IF(A180&lt;'Données projet'!$A$140,$CQ$205^A180,IF(A180='Données projet'!$A$140,'Données projet'!$B$140,CT179+CS180-DB179)))</f>
        <v>347.04000000000053</v>
      </c>
      <c r="CU180" s="17">
        <f>CT180*VLOOKUP('Données projet'!$B$13,Paramètres!$A$1:$I$89,3,0)*VLOOKUP('Données projet'!$B$13,Paramètres!$A$1:$I$89,5,0)</f>
        <v>335.6570880000005</v>
      </c>
      <c r="CV180" s="13">
        <f t="shared" si="173"/>
        <v>78.602003077106744</v>
      </c>
      <c r="CW180" s="20">
        <f t="shared" si="174"/>
        <v>721.50125029262847</v>
      </c>
      <c r="CX180" s="59">
        <f t="shared" si="122"/>
        <v>1014.8345836259618</v>
      </c>
      <c r="CY180" s="59">
        <f ca="1">AVERAGE(OFFSET($CX$3,0,0,'Données projet'!$E$13+1,1))-AVERAGE(OFFSET($H$3,0,0,'Données projet'!$E$13+1,1))</f>
        <v>467.11196088914556</v>
      </c>
      <c r="CZ180" s="59">
        <f t="shared" si="150"/>
        <v>208.53783609106262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0.25800000000000001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148.49447046684594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148.49447046684594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347.04</v>
      </c>
      <c r="DM180" s="12">
        <f>VLOOKUP(A180,'Données projet'!$A$165:$I$185,9,0)</f>
        <v>5.3866666666666747</v>
      </c>
      <c r="DN180" s="12">
        <f t="array" ref="DN180">INDEX(DM:DM,MIN(IF(ISNUMBER(DM180:DM376),ROW(DM180:DM376),"")))</f>
        <v>5.3866666666666747</v>
      </c>
      <c r="DO180" s="12">
        <f>IF('Données projet'!$A$166&gt;35,DO179+DN180-DW179,IF(A180&lt;'Données projet'!$A$166,$DL$205^A180,IF(A180='Données projet'!$A$166,'Données projet'!$B$166,DO179+DN180-DW179)))</f>
        <v>347.04000000000053</v>
      </c>
      <c r="DP180" s="17">
        <f>DO180*VLOOKUP('Données projet'!$B$14,Paramètres!$A$1:$I$89,3,0)*VLOOKUP('Données projet'!$B$14,Paramètres!$A$1:$I$89,5,0)</f>
        <v>373.55385600000056</v>
      </c>
      <c r="DQ180" s="13">
        <f t="shared" si="176"/>
        <v>86.393958482000173</v>
      </c>
      <c r="DR180" s="20">
        <f t="shared" si="177"/>
        <v>801.07577688948459</v>
      </c>
      <c r="DS180" s="59">
        <f t="shared" si="125"/>
        <v>1094.4091102228178</v>
      </c>
      <c r="DT180" s="59">
        <f ca="1">AVERAGE(OFFSET($DS$3,0,0,'Données projet'!$E$14+1,1))-AVERAGE(OFFSET($H$3,0,0,'Données projet'!$E$14+1,1))</f>
        <v>531.65020827367698</v>
      </c>
      <c r="DU180" s="59">
        <f t="shared" si="152"/>
        <v>235.89413420278396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115.19</v>
      </c>
      <c r="DX180" s="16">
        <f>IF(ISNA(VLOOKUP(A180,'Données projet'!$A$165:$I$185,5,0)),0%,VLOOKUP(A180,'Données projet'!$A$165:$I$185,5,0)*VLOOKUP('Données projet'!$B$14,Paramètres!$A$1:$I$89,7,0))</f>
        <v>0.25800000000000001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165.2599751969737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165.2599751969737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102.74160000000023</v>
      </c>
      <c r="D181" s="11">
        <f t="shared" si="140"/>
        <v>27.614114252722302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1006.2546363368054</v>
      </c>
      <c r="H181" s="67">
        <f t="shared" si="110"/>
        <v>520.36953565682506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223.72750400000049</v>
      </c>
      <c r="P181" s="13">
        <f t="shared" si="141"/>
        <v>54.924246401772898</v>
      </c>
      <c r="Q181" s="20">
        <f t="shared" si="162"/>
        <v>485.31846528308853</v>
      </c>
      <c r="R181" s="59">
        <f t="shared" si="109"/>
        <v>778.65179861642184</v>
      </c>
      <c r="S181" s="59">
        <f ca="1">AVERAGE(OFFSET($R$3,0,0,'Données projet'!$E$9+1,1))-AVERAGE(OFFSET($H$3,0,0,'Données projet'!$E$9+1,1))</f>
        <v>457.88065872594228</v>
      </c>
      <c r="T181" s="59">
        <f t="shared" si="142"/>
        <v>204.62439362068329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143.23447827248646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143.23447827248646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755.31916805217793</v>
      </c>
      <c r="AN181" s="59">
        <f ca="1">AVERAGE(OFFSET($AM$3,0,0,'Données projet'!$E$10+1,1))-AVERAGE(OFFSET($H$3,0,0,'Données projet'!$E$10+1,1))</f>
        <v>430.16825592717629</v>
      </c>
      <c r="AO181" s="59">
        <f t="shared" si="144"/>
        <v>192.87542067077248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-2.3942448024172337E-14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243.94505553629301</v>
      </c>
      <c r="BJ181" s="59">
        <f t="shared" si="146"/>
        <v>173.05364940250229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46.537810483642708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46.537810483642708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1.1173142411280423E-13</v>
      </c>
      <c r="CA181" s="13">
        <f t="shared" si="170"/>
        <v>1.6569896290553793E-12</v>
      </c>
      <c r="CB181" s="20">
        <f t="shared" si="171"/>
        <v>3.0805225009345862E-12</v>
      </c>
      <c r="CC181" s="59">
        <f t="shared" si="119"/>
        <v>293.33333333333638</v>
      </c>
      <c r="CD181" s="59">
        <f ca="1">AVERAGE(OFFSET($CC$3,0,0,'Données projet'!$E$12+1,1))-AVERAGE(OFFSET($H$3,0,0,'Données projet'!$E$12+1,1))</f>
        <v>140.9558843244115</v>
      </c>
      <c r="CE181" s="59">
        <f t="shared" si="148"/>
        <v>158.88947216184619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9.6751377614278411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9.6751377614278411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3.2566666666666606</v>
      </c>
      <c r="CT181" s="12">
        <f>IF('Données projet'!$A$140&gt;35,CT180+CS181-DB180,IF(A181&lt;'Données projet'!$A$140,$CQ$205^A181,IF(A181='Données projet'!$A$140,'Données projet'!$B$140,CT180+CS181-DB180)))</f>
        <v>235.10666666666719</v>
      </c>
      <c r="CU181" s="17">
        <f>CT181*VLOOKUP('Données projet'!$B$13,Paramètres!$A$1:$I$89,3,0)*VLOOKUP('Données projet'!$B$13,Paramètres!$A$1:$I$89,5,0)</f>
        <v>227.39516800000052</v>
      </c>
      <c r="CV181" s="13">
        <f t="shared" si="173"/>
        <v>55.719083135586125</v>
      </c>
      <c r="CW181" s="20">
        <f t="shared" si="174"/>
        <v>493.09065406114672</v>
      </c>
      <c r="CX181" s="59">
        <f t="shared" si="122"/>
        <v>786.42398739448004</v>
      </c>
      <c r="CY181" s="59">
        <f ca="1">AVERAGE(OFFSET($CX$3,0,0,'Données projet'!$E$13+1,1))-AVERAGE(OFFSET($H$3,0,0,'Données projet'!$E$13+1,1))</f>
        <v>467.11196088914556</v>
      </c>
      <c r="CZ181" s="59">
        <f t="shared" si="150"/>
        <v>208.53783609106262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145.58258447367476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145.58258447367476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3.2566666666666606</v>
      </c>
      <c r="DO181" s="12">
        <f>IF('Données projet'!$A$166&gt;35,DO180+DN181-DW180,IF(A181&lt;'Données projet'!$A$166,$DL$205^A181,IF(A181='Données projet'!$A$166,'Données projet'!$B$166,DO180+DN181-DW180)))</f>
        <v>235.10666666666719</v>
      </c>
      <c r="DP181" s="17">
        <f>DO181*VLOOKUP('Données projet'!$B$14,Paramètres!$A$1:$I$89,3,0)*VLOOKUP('Données projet'!$B$14,Paramètres!$A$1:$I$89,5,0)</f>
        <v>253.06881600000054</v>
      </c>
      <c r="DQ181" s="13">
        <f t="shared" si="176"/>
        <v>61.242614267078274</v>
      </c>
      <c r="DR181" s="20">
        <f t="shared" si="177"/>
        <v>547.42574104849564</v>
      </c>
      <c r="DS181" s="59">
        <f t="shared" si="125"/>
        <v>840.7590743818289</v>
      </c>
      <c r="DT181" s="59">
        <f ca="1">AVERAGE(OFFSET($DS$3,0,0,'Données projet'!$E$14+1,1))-AVERAGE(OFFSET($H$3,0,0,'Données projet'!$E$14+1,1))</f>
        <v>531.65020827367698</v>
      </c>
      <c r="DU181" s="59">
        <f t="shared" si="152"/>
        <v>235.89413420278396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162.01932788199287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162.01932788199287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103.31880000000024</v>
      </c>
      <c r="D182" s="11">
        <f t="shared" si="140"/>
        <v>27.751147230592267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1011.7680137098369</v>
      </c>
      <c r="H182" s="67">
        <f t="shared" si="110"/>
        <v>521.61349142661527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226.82654800000051</v>
      </c>
      <c r="P182" s="13">
        <f t="shared" si="141"/>
        <v>55.595953150607471</v>
      </c>
      <c r="Q182" s="20">
        <f t="shared" si="162"/>
        <v>491.88585617064223</v>
      </c>
      <c r="R182" s="59">
        <f t="shared" si="109"/>
        <v>785.21918950397549</v>
      </c>
      <c r="S182" s="59">
        <f ca="1">AVERAGE(OFFSET($R$3,0,0,'Données projet'!$E$9+1,1))-AVERAGE(OFFSET($H$3,0,0,'Données projet'!$E$9+1,1))</f>
        <v>457.88065872594228</v>
      </c>
      <c r="T182" s="59">
        <f t="shared" si="142"/>
        <v>204.62439362068329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140.42573751796823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140.42573751796823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761.57012139000085</v>
      </c>
      <c r="AN182" s="59">
        <f ca="1">AVERAGE(OFFSET($AM$3,0,0,'Données projet'!$E$10+1,1))-AVERAGE(OFFSET($H$3,0,0,'Données projet'!$E$10+1,1))</f>
        <v>430.16825592717629</v>
      </c>
      <c r="AO182" s="59">
        <f t="shared" si="144"/>
        <v>192.87542067077248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-2.3942448024172337E-14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243.94505553629301</v>
      </c>
      <c r="BJ182" s="59">
        <f t="shared" si="146"/>
        <v>173.05364940250229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45.625232405320055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45.625232405320055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1.1173142411280423E-13</v>
      </c>
      <c r="CA182" s="13">
        <f t="shared" si="170"/>
        <v>1.6569896290553793E-12</v>
      </c>
      <c r="CB182" s="20">
        <f t="shared" si="171"/>
        <v>3.0805225009345862E-12</v>
      </c>
      <c r="CC182" s="59">
        <f t="shared" si="119"/>
        <v>293.33333333333638</v>
      </c>
      <c r="CD182" s="59">
        <f ca="1">AVERAGE(OFFSET($CC$3,0,0,'Données projet'!$E$12+1,1))-AVERAGE(OFFSET($H$3,0,0,'Données projet'!$E$12+1,1))</f>
        <v>140.9558843244115</v>
      </c>
      <c r="CE182" s="59">
        <f t="shared" si="148"/>
        <v>158.88947216184619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9.4854142111775754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9.4854142111775754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3.2566666666666606</v>
      </c>
      <c r="CT182" s="12">
        <f>IF('Données projet'!$A$140&gt;35,CT181+CS182-DB181,IF(A182&lt;'Données projet'!$A$140,$CQ$205^A182,IF(A182='Données projet'!$A$140,'Données projet'!$B$140,CT181+CS182-DB181)))</f>
        <v>238.36333333333386</v>
      </c>
      <c r="CU182" s="17">
        <f>CT182*VLOOKUP('Données projet'!$B$13,Paramètres!$A$1:$I$89,3,0)*VLOOKUP('Données projet'!$B$13,Paramètres!$A$1:$I$89,5,0)</f>
        <v>230.54501600000052</v>
      </c>
      <c r="CV182" s="13">
        <f t="shared" si="173"/>
        <v>56.400510494775887</v>
      </c>
      <c r="CW182" s="20">
        <f t="shared" si="174"/>
        <v>499.76345864506885</v>
      </c>
      <c r="CX182" s="59">
        <f t="shared" si="122"/>
        <v>793.09679197840217</v>
      </c>
      <c r="CY182" s="59">
        <f ca="1">AVERAGE(OFFSET($CX$3,0,0,'Données projet'!$E$13+1,1))-AVERAGE(OFFSET($H$3,0,0,'Données projet'!$E$13+1,1))</f>
        <v>467.11196088914556</v>
      </c>
      <c r="CZ182" s="59">
        <f t="shared" si="150"/>
        <v>208.53783609106262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142.7277987887546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142.7277987887546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3.2566666666666606</v>
      </c>
      <c r="DO182" s="12">
        <f>IF('Données projet'!$A$166&gt;35,DO181+DN182-DW181,IF(A182&lt;'Données projet'!$A$166,$DL$205^A182,IF(A182='Données projet'!$A$166,'Données projet'!$B$166,DO181+DN182-DW181)))</f>
        <v>238.36333333333386</v>
      </c>
      <c r="DP182" s="17">
        <f>DO182*VLOOKUP('Données projet'!$B$14,Paramètres!$A$1:$I$89,3,0)*VLOOKUP('Données projet'!$B$14,Paramètres!$A$1:$I$89,5,0)</f>
        <v>256.57429200000053</v>
      </c>
      <c r="DQ182" s="13">
        <f t="shared" si="176"/>
        <v>61.991592724034234</v>
      </c>
      <c r="DR182" s="20">
        <f t="shared" si="177"/>
        <v>554.83558256102708</v>
      </c>
      <c r="DS182" s="59">
        <f t="shared" si="125"/>
        <v>848.16891589436045</v>
      </c>
      <c r="DT182" s="59">
        <f ca="1">AVERAGE(OFFSET($DS$3,0,0,'Données projet'!$E$14+1,1))-AVERAGE(OFFSET($H$3,0,0,'Données projet'!$E$14+1,1))</f>
        <v>531.65020827367698</v>
      </c>
      <c r="DU182" s="59">
        <f t="shared" si="152"/>
        <v>235.89413420278396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158.84222768425911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158.84222768425911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103.89600000000024</v>
      </c>
      <c r="D183" s="11">
        <f t="shared" si="140"/>
        <v>27.888091127225874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1017.2807034382367</v>
      </c>
      <c r="H183" s="67">
        <f t="shared" si="110"/>
        <v>522.85729204658537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229.92559200000051</v>
      </c>
      <c r="P183" s="13">
        <f t="shared" si="141"/>
        <v>56.266592478918923</v>
      </c>
      <c r="Q183" s="20">
        <f t="shared" si="162"/>
        <v>498.45138796745135</v>
      </c>
      <c r="R183" s="59">
        <f t="shared" si="109"/>
        <v>791.78472130078467</v>
      </c>
      <c r="S183" s="59">
        <f ca="1">AVERAGE(OFFSET($R$3,0,0,'Données projet'!$E$9+1,1))-AVERAGE(OFFSET($H$3,0,0,'Données projet'!$E$9+1,1))</f>
        <v>457.88065872594228</v>
      </c>
      <c r="T183" s="59">
        <f t="shared" si="142"/>
        <v>204.62439362068329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158.76583645989186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158.76583645989186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767.81929666082453</v>
      </c>
      <c r="AN183" s="59">
        <f ca="1">AVERAGE(OFFSET($AM$3,0,0,'Données projet'!$E$10+1,1))-AVERAGE(OFFSET($H$3,0,0,'Données projet'!$E$10+1,1))</f>
        <v>430.16825592717629</v>
      </c>
      <c r="AO183" s="59">
        <f t="shared" si="144"/>
        <v>192.87542067077248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-2.3942448024172337E-14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243.94505553629301</v>
      </c>
      <c r="BJ183" s="59">
        <f t="shared" si="146"/>
        <v>173.05364940250229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44.730549426495649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44.730549426495649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1.1173142411280423E-13</v>
      </c>
      <c r="CA183" s="13">
        <f t="shared" si="170"/>
        <v>1.6569896290553793E-12</v>
      </c>
      <c r="CB183" s="20">
        <f t="shared" si="171"/>
        <v>3.0805225009345862E-12</v>
      </c>
      <c r="CC183" s="59">
        <f t="shared" si="119"/>
        <v>293.33333333333638</v>
      </c>
      <c r="CD183" s="59">
        <f ca="1">AVERAGE(OFFSET($CC$3,0,0,'Données projet'!$E$12+1,1))-AVERAGE(OFFSET($H$3,0,0,'Données projet'!$E$12+1,1))</f>
        <v>140.9558843244115</v>
      </c>
      <c r="CE183" s="59">
        <f t="shared" si="148"/>
        <v>158.88947216184619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9.2994110240277781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9.2994110240277781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241.62</v>
      </c>
      <c r="CR183" s="12">
        <f>VLOOKUP(A183,'Données projet'!$A$139:$I$159,9,0)</f>
        <v>3.2566666666666606</v>
      </c>
      <c r="CS183" s="12">
        <f t="array" ref="CS183">INDEX(CR:CR,MIN(IF(ISNUMBER(CR183:CR379),ROW(CR183:CR379),"")))</f>
        <v>3.2566666666666606</v>
      </c>
      <c r="CT183" s="12">
        <f>IF('Données projet'!$A$140&gt;35,CT182+CS183-DB182,IF(A183&lt;'Données projet'!$A$140,$CQ$205^A183,IF(A183='Données projet'!$A$140,'Données projet'!$B$140,CT182+CS183-DB182)))</f>
        <v>241.62000000000052</v>
      </c>
      <c r="CU183" s="17">
        <f>CT183*VLOOKUP('Données projet'!$B$13,Paramètres!$A$1:$I$89,3,0)*VLOOKUP('Données projet'!$B$13,Paramètres!$A$1:$I$89,5,0)</f>
        <v>233.69486400000051</v>
      </c>
      <c r="CV183" s="13">
        <f t="shared" si="173"/>
        <v>57.080854986256675</v>
      </c>
      <c r="CW183" s="20">
        <f t="shared" si="174"/>
        <v>506.43437723439791</v>
      </c>
      <c r="CX183" s="59">
        <f t="shared" si="122"/>
        <v>799.76771056773123</v>
      </c>
      <c r="CY183" s="59">
        <f ca="1">AVERAGE(OFFSET($CX$3,0,0,'Données projet'!$E$13+1,1))-AVERAGE(OFFSET($H$3,0,0,'Données projet'!$E$13+1,1))</f>
        <v>467.11196088914556</v>
      </c>
      <c r="CZ183" s="59">
        <f t="shared" si="150"/>
        <v>208.53783609106262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0.25800000000000001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161.36855509038188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161.36855509038188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241.62</v>
      </c>
      <c r="DM183" s="12">
        <f>VLOOKUP(A183,'Données projet'!$A$165:$I$185,9,0)</f>
        <v>3.2566666666666606</v>
      </c>
      <c r="DN183" s="12">
        <f t="array" ref="DN183">INDEX(DM:DM,MIN(IF(ISNUMBER(DM183:DM379),ROW(DM183:DM379),"")))</f>
        <v>3.2566666666666606</v>
      </c>
      <c r="DO183" s="12">
        <f>IF('Données projet'!$A$166&gt;35,DO182+DN183-DW182,IF(A183&lt;'Données projet'!$A$166,$DL$205^A183,IF(A183='Données projet'!$A$166,'Données projet'!$B$166,DO182+DN183-DW182)))</f>
        <v>241.62000000000052</v>
      </c>
      <c r="DP183" s="17">
        <f>DO183*VLOOKUP('Données projet'!$B$14,Paramètres!$A$1:$I$89,3,0)*VLOOKUP('Données projet'!$B$14,Paramètres!$A$1:$I$89,5,0)</f>
        <v>260.07976800000057</v>
      </c>
      <c r="DQ183" s="13">
        <f t="shared" si="176"/>
        <v>62.739380966692501</v>
      </c>
      <c r="DR183" s="20">
        <f t="shared" si="177"/>
        <v>562.24335111699042</v>
      </c>
      <c r="DS183" s="59">
        <f t="shared" si="125"/>
        <v>855.57668445032368</v>
      </c>
      <c r="DT183" s="59">
        <f ca="1">AVERAGE(OFFSET($DS$3,0,0,'Données projet'!$E$14+1,1))-AVERAGE(OFFSET($H$3,0,0,'Données projet'!$E$14+1,1))</f>
        <v>531.65020827367698</v>
      </c>
      <c r="DU183" s="59">
        <f t="shared" si="152"/>
        <v>235.89413420278396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77.72</v>
      </c>
      <c r="DX183" s="16">
        <f>IF(ISNA(VLOOKUP(A183,'Données projet'!$A$165:$I$185,5,0)),0%,VLOOKUP(A183,'Données projet'!$A$165:$I$185,5,0)*VLOOKUP('Données projet'!$B$14,Paramètres!$A$1:$I$89,7,0))</f>
        <v>0.25800000000000001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179.58758550381205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179.58758550381205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104.47320000000025</v>
      </c>
      <c r="D184" s="11">
        <f t="shared" si="140"/>
        <v>28.024946494951863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1022.7927097855951</v>
      </c>
      <c r="H184" s="67">
        <f t="shared" si="110"/>
        <v>524.10093847870826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157.82603200000048</v>
      </c>
      <c r="P184" s="13">
        <f t="shared" si="141"/>
        <v>40.351781126124386</v>
      </c>
      <c r="Q184" s="20">
        <f t="shared" si="162"/>
        <v>345.15969119466746</v>
      </c>
      <c r="R184" s="59">
        <f t="shared" si="109"/>
        <v>638.49302452800077</v>
      </c>
      <c r="S184" s="59">
        <f ca="1">AVERAGE(OFFSET($R$3,0,0,'Données projet'!$E$9+1,1))-AVERAGE(OFFSET($H$3,0,0,'Données projet'!$E$9+1,1))</f>
        <v>457.88065872594228</v>
      </c>
      <c r="T184" s="59">
        <f t="shared" si="142"/>
        <v>204.62439362068329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155.65253524451171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155.65253524451171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621.91137238895817</v>
      </c>
      <c r="AN184" s="59">
        <f ca="1">AVERAGE(OFFSET($AM$3,0,0,'Données projet'!$E$10+1,1))-AVERAGE(OFFSET($H$3,0,0,'Données projet'!$E$10+1,1))</f>
        <v>430.16825592717629</v>
      </c>
      <c r="AO184" s="59">
        <f t="shared" si="144"/>
        <v>192.87542067077248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-2.3942448024172337E-14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243.94505553629301</v>
      </c>
      <c r="BJ184" s="59">
        <f t="shared" si="146"/>
        <v>173.05364940250229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43.853410635183252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43.853410635183252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1.1173142411280423E-13</v>
      </c>
      <c r="CA184" s="13">
        <f t="shared" si="170"/>
        <v>1.6569896290553793E-12</v>
      </c>
      <c r="CB184" s="20">
        <f t="shared" si="171"/>
        <v>3.0805225009345862E-12</v>
      </c>
      <c r="CC184" s="59">
        <f t="shared" si="119"/>
        <v>293.33333333333638</v>
      </c>
      <c r="CD184" s="59">
        <f ca="1">AVERAGE(OFFSET($CC$3,0,0,'Données projet'!$E$12+1,1))-AVERAGE(OFFSET($H$3,0,0,'Données projet'!$E$12+1,1))</f>
        <v>140.9558843244115</v>
      </c>
      <c r="CE184" s="59">
        <f t="shared" si="148"/>
        <v>158.88947216184619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9.1170552459272471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9.1170552459272471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1.9533333333333285</v>
      </c>
      <c r="CT184" s="12">
        <f>IF('Données projet'!$A$140&gt;35,CT183+CS184-DB183,IF(A184&lt;'Données projet'!$A$140,$CQ$205^A184,IF(A184='Données projet'!$A$140,'Données projet'!$B$140,CT183+CS184-DB183)))</f>
        <v>165.85333333333384</v>
      </c>
      <c r="CU184" s="17">
        <f>CT184*VLOOKUP('Données projet'!$B$13,Paramètres!$A$1:$I$89,3,0)*VLOOKUP('Données projet'!$B$13,Paramètres!$A$1:$I$89,5,0)</f>
        <v>160.41334400000048</v>
      </c>
      <c r="CV184" s="13">
        <f t="shared" si="173"/>
        <v>40.935732295508117</v>
      </c>
      <c r="CW184" s="20">
        <f t="shared" si="174"/>
        <v>350.68297454801086</v>
      </c>
      <c r="CX184" s="59">
        <f t="shared" si="122"/>
        <v>644.01630788134412</v>
      </c>
      <c r="CY184" s="59">
        <f ca="1">AVERAGE(OFFSET($CX$3,0,0,'Données projet'!$E$13+1,1))-AVERAGE(OFFSET($H$3,0,0,'Données projet'!$E$13+1,1))</f>
        <v>467.11196088914556</v>
      </c>
      <c r="CZ184" s="59">
        <f t="shared" si="150"/>
        <v>208.53783609106262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158.20421615015943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158.20421615015943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1.9533333333333285</v>
      </c>
      <c r="DO184" s="12">
        <f>IF('Données projet'!$A$166&gt;35,DO183+DN184-DW183,IF(A184&lt;'Données projet'!$A$166,$DL$205^A184,IF(A184='Données projet'!$A$166,'Données projet'!$B$166,DO183+DN184-DW183)))</f>
        <v>165.85333333333384</v>
      </c>
      <c r="DP184" s="17">
        <f>DO184*VLOOKUP('Données projet'!$B$14,Paramètres!$A$1:$I$89,3,0)*VLOOKUP('Données projet'!$B$14,Paramètres!$A$1:$I$89,5,0)</f>
        <v>178.52452800000054</v>
      </c>
      <c r="DQ184" s="13">
        <f t="shared" si="176"/>
        <v>44.993763745423621</v>
      </c>
      <c r="DR184" s="20">
        <f t="shared" si="177"/>
        <v>389.29435812328035</v>
      </c>
      <c r="DS184" s="59">
        <f t="shared" si="125"/>
        <v>682.62769145661366</v>
      </c>
      <c r="DT184" s="59">
        <f ca="1">AVERAGE(OFFSET($DS$3,0,0,'Données projet'!$E$14+1,1))-AVERAGE(OFFSET($H$3,0,0,'Données projet'!$E$14+1,1))</f>
        <v>531.65020827367698</v>
      </c>
      <c r="DU184" s="59">
        <f t="shared" si="152"/>
        <v>235.89413420278396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176.06598248969351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176.06598248969351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105.05040000000025</v>
      </c>
      <c r="D185" s="11">
        <f t="shared" si="140"/>
        <v>28.161713879642619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1028.3040369656642</v>
      </c>
      <c r="H185" s="67">
        <f t="shared" si="110"/>
        <v>525.34443167371126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159.68482400000048</v>
      </c>
      <c r="P185" s="13">
        <f t="shared" si="141"/>
        <v>40.771418424156359</v>
      </c>
      <c r="Q185" s="20">
        <f t="shared" si="162"/>
        <v>349.12795555540646</v>
      </c>
      <c r="R185" s="59">
        <f t="shared" si="109"/>
        <v>642.46128888873977</v>
      </c>
      <c r="S185" s="59">
        <f ca="1">AVERAGE(OFFSET($R$3,0,0,'Données projet'!$E$9+1,1))-AVERAGE(OFFSET($H$3,0,0,'Données projet'!$E$9+1,1))</f>
        <v>457.88065872594228</v>
      </c>
      <c r="T185" s="59">
        <f t="shared" si="142"/>
        <v>204.62439362068329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152.60028396703893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152.60028396703893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625.68856751268993</v>
      </c>
      <c r="AN185" s="59">
        <f ca="1">AVERAGE(OFFSET($AM$3,0,0,'Données projet'!$E$10+1,1))-AVERAGE(OFFSET($H$3,0,0,'Données projet'!$E$10+1,1))</f>
        <v>430.16825592717629</v>
      </c>
      <c r="AO185" s="59">
        <f t="shared" si="144"/>
        <v>192.87542067077248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-2.3942448024172337E-14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243.94505553629301</v>
      </c>
      <c r="BJ185" s="59">
        <f t="shared" si="146"/>
        <v>173.05364940250229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42.993472000566655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42.993472000566655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1.1173142411280423E-13</v>
      </c>
      <c r="CA185" s="13">
        <f t="shared" si="170"/>
        <v>1.6569896290553793E-12</v>
      </c>
      <c r="CB185" s="20">
        <f t="shared" si="171"/>
        <v>3.0805225009345862E-12</v>
      </c>
      <c r="CC185" s="59">
        <f t="shared" si="119"/>
        <v>293.33333333333638</v>
      </c>
      <c r="CD185" s="59">
        <f ca="1">AVERAGE(OFFSET($CC$3,0,0,'Données projet'!$E$12+1,1))-AVERAGE(OFFSET($H$3,0,0,'Données projet'!$E$12+1,1))</f>
        <v>140.9558843244115</v>
      </c>
      <c r="CE185" s="59">
        <f t="shared" si="148"/>
        <v>158.88947216184619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8.9382753534092245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8.9382753534092245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1.9533333333333285</v>
      </c>
      <c r="CT185" s="12">
        <f>IF('Données projet'!$A$140&gt;35,CT184+CS185-DB184,IF(A185&lt;'Données projet'!$A$140,$CQ$205^A185,IF(A185='Données projet'!$A$140,'Données projet'!$B$140,CT184+CS185-DB184)))</f>
        <v>167.80666666666716</v>
      </c>
      <c r="CU185" s="17">
        <f>CT185*VLOOKUP('Données projet'!$B$13,Paramètres!$A$1:$I$89,3,0)*VLOOKUP('Données projet'!$B$13,Paramètres!$A$1:$I$89,5,0)</f>
        <v>162.30260800000048</v>
      </c>
      <c r="CV185" s="13">
        <f t="shared" si="173"/>
        <v>41.361442378534058</v>
      </c>
      <c r="CW185" s="20">
        <f t="shared" si="174"/>
        <v>354.71488774261428</v>
      </c>
      <c r="CX185" s="59">
        <f t="shared" si="122"/>
        <v>648.04822107594759</v>
      </c>
      <c r="CY185" s="59">
        <f ca="1">AVERAGE(OFFSET($CX$3,0,0,'Données projet'!$E$13+1,1))-AVERAGE(OFFSET($H$3,0,0,'Données projet'!$E$13+1,1))</f>
        <v>467.11196088914556</v>
      </c>
      <c r="CZ185" s="59">
        <f t="shared" si="150"/>
        <v>208.53783609106262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155.10192796649855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155.10192796649855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1.9533333333333285</v>
      </c>
      <c r="DO185" s="12">
        <f>IF('Données projet'!$A$166&gt;35,DO184+DN185-DW184,IF(A185&lt;'Données projet'!$A$166,$DL$205^A185,IF(A185='Données projet'!$A$166,'Données projet'!$B$166,DO184+DN185-DW184)))</f>
        <v>167.80666666666716</v>
      </c>
      <c r="DP185" s="17">
        <f>DO185*VLOOKUP('Données projet'!$B$14,Paramètres!$A$1:$I$89,3,0)*VLOOKUP('Données projet'!$B$14,Paramètres!$A$1:$I$89,5,0)</f>
        <v>180.62709600000053</v>
      </c>
      <c r="DQ185" s="13">
        <f t="shared" si="176"/>
        <v>45.46167522093949</v>
      </c>
      <c r="DR185" s="20">
        <f t="shared" si="177"/>
        <v>393.77127654313722</v>
      </c>
      <c r="DS185" s="59">
        <f t="shared" si="125"/>
        <v>687.10460987647048</v>
      </c>
      <c r="DT185" s="59">
        <f ca="1">AVERAGE(OFFSET($DS$3,0,0,'Données projet'!$E$14+1,1))-AVERAGE(OFFSET($H$3,0,0,'Données projet'!$E$14+1,1))</f>
        <v>531.65020827367698</v>
      </c>
      <c r="DU185" s="59">
        <f t="shared" si="152"/>
        <v>235.89413420278396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172.6134359627161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172.6134359627161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105.62760000000026</v>
      </c>
      <c r="D186" s="11">
        <f t="shared" si="140"/>
        <v>28.29839382082482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1033.8146891432111</v>
      </c>
      <c r="H186" s="67">
        <f t="shared" si="110"/>
        <v>526.58777257127031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161.54361600000044</v>
      </c>
      <c r="P186" s="13">
        <f t="shared" si="141"/>
        <v>41.190487510194309</v>
      </c>
      <c r="Q186" s="20">
        <f t="shared" si="162"/>
        <v>353.09523028025586</v>
      </c>
      <c r="R186" s="59">
        <f t="shared" si="109"/>
        <v>646.42856361358918</v>
      </c>
      <c r="S186" s="59">
        <f ca="1">AVERAGE(OFFSET($R$3,0,0,'Données projet'!$E$9+1,1))-AVERAGE(OFFSET($H$3,0,0,'Données projet'!$E$9+1,1))</f>
        <v>457.88065872594228</v>
      </c>
      <c r="T186" s="59">
        <f t="shared" si="142"/>
        <v>204.62439362068329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195.68195955801437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195.68195955801437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629.4648161312972</v>
      </c>
      <c r="AN186" s="59">
        <f ca="1">AVERAGE(OFFSET($AM$3,0,0,'Données projet'!$E$10+1,1))-AVERAGE(OFFSET($H$3,0,0,'Données projet'!$E$10+1,1))</f>
        <v>430.16825592717629</v>
      </c>
      <c r="AO186" s="59">
        <f t="shared" si="144"/>
        <v>192.87542067077248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-2.3942448024172337E-14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243.94505553629301</v>
      </c>
      <c r="BJ186" s="59">
        <f t="shared" si="146"/>
        <v>173.05364940250229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42.150396238064111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42.150396238064111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1.1173142411280423E-13</v>
      </c>
      <c r="CA186" s="13">
        <f t="shared" si="170"/>
        <v>1.6569896290553793E-12</v>
      </c>
      <c r="CB186" s="20">
        <f t="shared" si="171"/>
        <v>3.0805225009345862E-12</v>
      </c>
      <c r="CC186" s="59">
        <f t="shared" si="119"/>
        <v>293.33333333333638</v>
      </c>
      <c r="CD186" s="59">
        <f ca="1">AVERAGE(OFFSET($CC$3,0,0,'Données projet'!$E$12+1,1))-AVERAGE(OFFSET($H$3,0,0,'Données projet'!$E$12+1,1))</f>
        <v>140.9558843244115</v>
      </c>
      <c r="CE186" s="59">
        <f t="shared" si="148"/>
        <v>158.88947216184619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8.7630012255385132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8.7630012255385132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169.76</v>
      </c>
      <c r="CR186" s="12">
        <f>VLOOKUP(A186,'Données projet'!$A$139:$I$159,9,0)</f>
        <v>1.9533333333333285</v>
      </c>
      <c r="CS186" s="12">
        <f t="array" ref="CS186">INDEX(CR:CR,MIN(IF(ISNUMBER(CR186:CR382),ROW(CR186:CR382),"")))</f>
        <v>1.9533333333333285</v>
      </c>
      <c r="CT186" s="12">
        <f>IF('Données projet'!$A$140&gt;35,CT185+CS186-DB185,IF(A186&lt;'Données projet'!$A$140,$CQ$205^A186,IF(A186='Données projet'!$A$140,'Données projet'!$B$140,CT185+CS186-DB185)))</f>
        <v>169.76000000000047</v>
      </c>
      <c r="CU186" s="17">
        <f>CT186*VLOOKUP('Données projet'!$B$13,Paramètres!$A$1:$I$89,3,0)*VLOOKUP('Données projet'!$B$13,Paramètres!$A$1:$I$89,5,0)</f>
        <v>164.19187200000047</v>
      </c>
      <c r="CV186" s="13">
        <f t="shared" si="173"/>
        <v>41.786576026680912</v>
      </c>
      <c r="CW186" s="20">
        <f t="shared" si="174"/>
        <v>358.7457969798034</v>
      </c>
      <c r="CX186" s="59">
        <f t="shared" si="122"/>
        <v>652.07913031313672</v>
      </c>
      <c r="CY186" s="59">
        <f ca="1">AVERAGE(OFFSET($CX$3,0,0,'Données projet'!$E$13+1,1))-AVERAGE(OFFSET($H$3,0,0,'Données projet'!$E$13+1,1))</f>
        <v>467.11196088914556</v>
      </c>
      <c r="CZ186" s="59">
        <f t="shared" si="150"/>
        <v>208.53783609106262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0.25800000000000001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198.88986053437523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198.88986053437523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169.76</v>
      </c>
      <c r="DM186" s="12">
        <f>VLOOKUP(A186,'Données projet'!$A$165:$I$185,9,0)</f>
        <v>1.9533333333333285</v>
      </c>
      <c r="DN186" s="12">
        <f t="array" ref="DN186">INDEX(DM:DM,MIN(IF(ISNUMBER(DM186:DM382),ROW(DM186:DM382),"")))</f>
        <v>1.9533333333333285</v>
      </c>
      <c r="DO186" s="12">
        <f>IF('Données projet'!$A$166&gt;35,DO185+DN186-DW185,IF(A186&lt;'Données projet'!$A$166,$DL$205^A186,IF(A186='Données projet'!$A$166,'Données projet'!$B$166,DO185+DN186-DW185)))</f>
        <v>169.76000000000047</v>
      </c>
      <c r="DP186" s="17">
        <f>DO186*VLOOKUP('Données projet'!$B$14,Paramètres!$A$1:$I$89,3,0)*VLOOKUP('Données projet'!$B$14,Paramètres!$A$1:$I$89,5,0)</f>
        <v>182.7296640000005</v>
      </c>
      <c r="DQ186" s="13">
        <f t="shared" si="176"/>
        <v>45.928953118568565</v>
      </c>
      <c r="DR186" s="20">
        <f t="shared" si="177"/>
        <v>398.24709148150777</v>
      </c>
      <c r="DS186" s="59">
        <f t="shared" si="125"/>
        <v>691.58042481484108</v>
      </c>
      <c r="DT186" s="59">
        <f ca="1">AVERAGE(OFFSET($DS$3,0,0,'Données projet'!$E$14+1,1))-AVERAGE(OFFSET($H$3,0,0,'Données projet'!$E$14+1,1))</f>
        <v>531.65020827367698</v>
      </c>
      <c r="DU186" s="59">
        <f t="shared" si="152"/>
        <v>235.89413420278396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169.76</v>
      </c>
      <c r="DX186" s="16">
        <f>IF(ISNA(VLOOKUP(A186,'Données projet'!$A$165:$I$185,5,0)),0%,VLOOKUP(A186,'Données projet'!$A$165:$I$185,5,0)*VLOOKUP('Données projet'!$B$14,Paramètres!$A$1:$I$89,7,0))</f>
        <v>0.25800000000000001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221.34516736890146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221.34516736890146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106.20480000000026</v>
      </c>
      <c r="D187" s="11">
        <f t="shared" si="140"/>
        <v>28.434986851787322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1039.3246704348514</v>
      </c>
      <c r="H187" s="67">
        <f t="shared" si="110"/>
        <v>527.83096210019676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4.5978367779753168E-13</v>
      </c>
      <c r="P187" s="13">
        <f t="shared" si="141"/>
        <v>5.7834153259568991E-12</v>
      </c>
      <c r="Q187" s="20">
        <f t="shared" si="162"/>
        <v>1.0873571598205634E-11</v>
      </c>
      <c r="R187" s="59">
        <f t="shared" si="109"/>
        <v>293.33333333334417</v>
      </c>
      <c r="S187" s="59">
        <f ca="1">AVERAGE(OFFSET($R$3,0,0,'Données projet'!$E$9+1,1))-AVERAGE(OFFSET($H$3,0,0,'Données projet'!$E$9+1,1))</f>
        <v>457.88065872594228</v>
      </c>
      <c r="T187" s="59">
        <f t="shared" si="142"/>
        <v>204.62439362068329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191.8447556852918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191.8447556852918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293.33333333334372</v>
      </c>
      <c r="AN187" s="59">
        <f ca="1">AVERAGE(OFFSET($AM$3,0,0,'Données projet'!$E$10+1,1))-AVERAGE(OFFSET($H$3,0,0,'Données projet'!$E$10+1,1))</f>
        <v>430.16825592717629</v>
      </c>
      <c r="AO187" s="59">
        <f t="shared" si="144"/>
        <v>192.87542067077248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-2.3942448024172337E-14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243.94505553629301</v>
      </c>
      <c r="BJ187" s="59">
        <f t="shared" si="146"/>
        <v>173.05364940250229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41.323852677038808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41.323852677038808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1.1173142411280423E-13</v>
      </c>
      <c r="CA187" s="13">
        <f t="shared" si="170"/>
        <v>1.6569896290553793E-12</v>
      </c>
      <c r="CB187" s="20">
        <f t="shared" si="171"/>
        <v>3.0805225009345862E-12</v>
      </c>
      <c r="CC187" s="59">
        <f t="shared" si="119"/>
        <v>293.33333333333638</v>
      </c>
      <c r="CD187" s="59">
        <f ca="1">AVERAGE(OFFSET($CC$3,0,0,'Données projet'!$E$12+1,1))-AVERAGE(OFFSET($H$3,0,0,'Données projet'!$E$12+1,1))</f>
        <v>140.9558843244115</v>
      </c>
      <c r="CE187" s="59">
        <f t="shared" si="148"/>
        <v>158.88947216184619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8.5911641164086845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8.5911641164086845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4.8316906031686813E-13</v>
      </c>
      <c r="CU187" s="17">
        <f>CT187*VLOOKUP('Données projet'!$B$13,Paramètres!$A$1:$I$89,3,0)*VLOOKUP('Données projet'!$B$13,Paramètres!$A$1:$I$89,5,0)</f>
        <v>4.6732111513847483E-13</v>
      </c>
      <c r="CV187" s="13">
        <f t="shared" si="173"/>
        <v>5.8671100737071438E-12</v>
      </c>
      <c r="CW187" s="20">
        <f t="shared" si="174"/>
        <v>1.1032467653906121E-11</v>
      </c>
      <c r="CX187" s="59">
        <f t="shared" si="122"/>
        <v>293.33333333334434</v>
      </c>
      <c r="CY187" s="59">
        <f ca="1">AVERAGE(OFFSET($CX$3,0,0,'Données projet'!$E$13+1,1))-AVERAGE(OFFSET($H$3,0,0,'Données projet'!$E$13+1,1))</f>
        <v>467.11196088914556</v>
      </c>
      <c r="CZ187" s="59">
        <f t="shared" si="150"/>
        <v>208.53783609106262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194.9897516801326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194.9897516801326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4.8316906031686813E-13</v>
      </c>
      <c r="DP187" s="17">
        <f>DO187*VLOOKUP('Données projet'!$B$14,Paramètres!$A$1:$I$89,3,0)*VLOOKUP('Données projet'!$B$14,Paramètres!$A$1:$I$89,5,0)</f>
        <v>5.2008317652507685E-13</v>
      </c>
      <c r="DQ187" s="13">
        <f t="shared" si="176"/>
        <v>6.4487270587740506E-12</v>
      </c>
      <c r="DR187" s="20">
        <f t="shared" si="177"/>
        <v>1.213734449314598E-11</v>
      </c>
      <c r="DS187" s="59">
        <f t="shared" si="125"/>
        <v>293.33333333334548</v>
      </c>
      <c r="DT187" s="59">
        <f ca="1">AVERAGE(OFFSET($DS$3,0,0,'Données projet'!$E$14+1,1))-AVERAGE(OFFSET($H$3,0,0,'Données projet'!$E$14+1,1))</f>
        <v>531.65020827367698</v>
      </c>
      <c r="DU187" s="59">
        <f t="shared" si="152"/>
        <v>235.89413420278396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217.00472364401853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217.00472364401853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106.78200000000027</v>
      </c>
      <c r="D188" s="11">
        <f t="shared" si="140"/>
        <v>28.571493499686913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1044.8339849098659</v>
      </c>
      <c r="H188" s="67">
        <f t="shared" si="110"/>
        <v>529.07400117862176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4.5978367779753168E-13</v>
      </c>
      <c r="P188" s="13">
        <f t="shared" si="141"/>
        <v>5.7834153259568991E-12</v>
      </c>
      <c r="Q188" s="20">
        <f t="shared" si="162"/>
        <v>1.0873571598205634E-11</v>
      </c>
      <c r="R188" s="59">
        <f t="shared" si="109"/>
        <v>293.33333333334417</v>
      </c>
      <c r="S188" s="59">
        <f ca="1">AVERAGE(OFFSET($R$3,0,0,'Données projet'!$E$9+1,1))-AVERAGE(OFFSET($H$3,0,0,'Données projet'!$E$9+1,1))</f>
        <v>457.88065872594228</v>
      </c>
      <c r="T188" s="59">
        <f t="shared" si="142"/>
        <v>204.62439362068329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188.08279704005005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188.08279704005005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293.33333333334372</v>
      </c>
      <c r="AN188" s="59">
        <f ca="1">AVERAGE(OFFSET($AM$3,0,0,'Données projet'!$E$10+1,1))-AVERAGE(OFFSET($H$3,0,0,'Données projet'!$E$10+1,1))</f>
        <v>430.16825592717629</v>
      </c>
      <c r="AO188" s="59">
        <f t="shared" si="144"/>
        <v>192.87542067077248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-2.3942448024172337E-14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243.94505553629301</v>
      </c>
      <c r="BJ188" s="59">
        <f t="shared" si="146"/>
        <v>173.05364940250229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40.51351713110342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40.51351713110342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1.1173142411280423E-13</v>
      </c>
      <c r="CA188" s="13">
        <f t="shared" si="170"/>
        <v>1.6569896290553793E-12</v>
      </c>
      <c r="CB188" s="20">
        <f t="shared" si="171"/>
        <v>3.0805225009345862E-12</v>
      </c>
      <c r="CC188" s="59">
        <f t="shared" si="119"/>
        <v>293.33333333333638</v>
      </c>
      <c r="CD188" s="59">
        <f ca="1">AVERAGE(OFFSET($CC$3,0,0,'Données projet'!$E$12+1,1))-AVERAGE(OFFSET($H$3,0,0,'Données projet'!$E$12+1,1))</f>
        <v>140.9558843244115</v>
      </c>
      <c r="CE188" s="59">
        <f t="shared" si="148"/>
        <v>158.88947216184619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8.4226966281786044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8.4226966281786044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4.8316906031686813E-13</v>
      </c>
      <c r="CU188" s="17">
        <f>CT188*VLOOKUP('Données projet'!$B$13,Paramètres!$A$1:$I$89,3,0)*VLOOKUP('Données projet'!$B$13,Paramètres!$A$1:$I$89,5,0)</f>
        <v>4.6732111513847483E-13</v>
      </c>
      <c r="CV188" s="13">
        <f t="shared" si="173"/>
        <v>5.8671100737071438E-12</v>
      </c>
      <c r="CW188" s="20">
        <f t="shared" si="174"/>
        <v>1.1032467653906121E-11</v>
      </c>
      <c r="CX188" s="59">
        <f t="shared" si="122"/>
        <v>293.33333333334434</v>
      </c>
      <c r="CY188" s="59">
        <f ca="1">AVERAGE(OFFSET($CX$3,0,0,'Données projet'!$E$13+1,1))-AVERAGE(OFFSET($H$3,0,0,'Données projet'!$E$13+1,1))</f>
        <v>467.11196088914556</v>
      </c>
      <c r="CZ188" s="59">
        <f t="shared" si="150"/>
        <v>208.53783609106262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191.16612158169016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191.16612158169016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4.8316906031686813E-13</v>
      </c>
      <c r="DP188" s="17">
        <f>DO188*VLOOKUP('Données projet'!$B$14,Paramètres!$A$1:$I$89,3,0)*VLOOKUP('Données projet'!$B$14,Paramètres!$A$1:$I$89,5,0)</f>
        <v>5.2008317652507685E-13</v>
      </c>
      <c r="DQ188" s="13">
        <f t="shared" si="176"/>
        <v>6.4487270587740506E-12</v>
      </c>
      <c r="DR188" s="20">
        <f t="shared" si="177"/>
        <v>1.213734449314598E-11</v>
      </c>
      <c r="DS188" s="59">
        <f t="shared" si="125"/>
        <v>293.33333333334548</v>
      </c>
      <c r="DT188" s="59">
        <f ca="1">AVERAGE(OFFSET($DS$3,0,0,'Données projet'!$E$14+1,1))-AVERAGE(OFFSET($H$3,0,0,'Données projet'!$E$14+1,1))</f>
        <v>531.65020827367698</v>
      </c>
      <c r="DU188" s="59">
        <f t="shared" si="152"/>
        <v>235.89413420278396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212.7493933731713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212.7493933731713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107.35920000000027</v>
      </c>
      <c r="D189" s="11">
        <f t="shared" si="140"/>
        <v>28.707914285651423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1050.3426365909957</v>
      </c>
      <c r="H189" s="67">
        <f t="shared" si="110"/>
        <v>530.31689071417668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4.5978367779753168E-13</v>
      </c>
      <c r="P189" s="13">
        <f t="shared" si="141"/>
        <v>5.7834153259568991E-12</v>
      </c>
      <c r="Q189" s="20">
        <f t="shared" si="162"/>
        <v>1.0873571598205634E-11</v>
      </c>
      <c r="R189" s="59">
        <f t="shared" si="109"/>
        <v>293.33333333334417</v>
      </c>
      <c r="S189" s="59">
        <f ca="1">AVERAGE(OFFSET($R$3,0,0,'Données projet'!$E$9+1,1))-AVERAGE(OFFSET($H$3,0,0,'Données projet'!$E$9+1,1))</f>
        <v>457.88065872594228</v>
      </c>
      <c r="T189" s="59">
        <f t="shared" si="142"/>
        <v>204.62439362068329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184.39460810927329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184.39460810927329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293.33333333334372</v>
      </c>
      <c r="AN189" s="59">
        <f ca="1">AVERAGE(OFFSET($AM$3,0,0,'Données projet'!$E$10+1,1))-AVERAGE(OFFSET($H$3,0,0,'Données projet'!$E$10+1,1))</f>
        <v>430.16825592717629</v>
      </c>
      <c r="AO189" s="59">
        <f t="shared" si="144"/>
        <v>192.87542067077248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-2.3942448024172337E-14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243.94505553629301</v>
      </c>
      <c r="BJ189" s="59">
        <f t="shared" si="146"/>
        <v>173.05364940250229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39.719071770967943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39.719071770967943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1.1173142411280423E-13</v>
      </c>
      <c r="CA189" s="13">
        <f t="shared" si="170"/>
        <v>1.6569896290553793E-12</v>
      </c>
      <c r="CB189" s="20">
        <f t="shared" si="171"/>
        <v>3.0805225009345862E-12</v>
      </c>
      <c r="CC189" s="59">
        <f t="shared" si="119"/>
        <v>293.33333333333638</v>
      </c>
      <c r="CD189" s="59">
        <f ca="1">AVERAGE(OFFSET($CC$3,0,0,'Données projet'!$E$12+1,1))-AVERAGE(OFFSET($H$3,0,0,'Données projet'!$E$12+1,1))</f>
        <v>140.9558843244115</v>
      </c>
      <c r="CE189" s="59">
        <f t="shared" si="148"/>
        <v>158.88947216184619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8.2575326846376953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8.2575326846376953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4.8316906031686813E-13</v>
      </c>
      <c r="CU189" s="17">
        <f>CT189*VLOOKUP('Données projet'!$B$13,Paramètres!$A$1:$I$89,3,0)*VLOOKUP('Données projet'!$B$13,Paramètres!$A$1:$I$89,5,0)</f>
        <v>4.6732111513847483E-13</v>
      </c>
      <c r="CV189" s="13">
        <f t="shared" si="173"/>
        <v>5.8671100737071438E-12</v>
      </c>
      <c r="CW189" s="20">
        <f t="shared" si="174"/>
        <v>1.1032467653906121E-11</v>
      </c>
      <c r="CX189" s="59">
        <f t="shared" si="122"/>
        <v>293.33333333334434</v>
      </c>
      <c r="CY189" s="59">
        <f ca="1">AVERAGE(OFFSET($CX$3,0,0,'Données projet'!$E$13+1,1))-AVERAGE(OFFSET($H$3,0,0,'Données projet'!$E$13+1,1))</f>
        <v>467.11196088914556</v>
      </c>
      <c r="CZ189" s="59">
        <f t="shared" si="150"/>
        <v>208.53783609106262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187.41747053729412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187.41747053729412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4.8316906031686813E-13</v>
      </c>
      <c r="DP189" s="17">
        <f>DO189*VLOOKUP('Données projet'!$B$14,Paramètres!$A$1:$I$89,3,0)*VLOOKUP('Données projet'!$B$14,Paramètres!$A$1:$I$89,5,0)</f>
        <v>5.2008317652507685E-13</v>
      </c>
      <c r="DQ189" s="13">
        <f t="shared" si="176"/>
        <v>6.4487270587740506E-12</v>
      </c>
      <c r="DR189" s="20">
        <f t="shared" si="177"/>
        <v>1.213734449314598E-11</v>
      </c>
      <c r="DS189" s="59">
        <f t="shared" si="125"/>
        <v>293.33333333334548</v>
      </c>
      <c r="DT189" s="59">
        <f ca="1">AVERAGE(OFFSET($DS$3,0,0,'Données projet'!$E$14+1,1))-AVERAGE(OFFSET($H$3,0,0,'Données projet'!$E$14+1,1))</f>
        <v>531.65020827367698</v>
      </c>
      <c r="DU189" s="59">
        <f t="shared" si="152"/>
        <v>235.89413420278396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208.57750753344021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208.57750753344021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107.93640000000028</v>
      </c>
      <c r="D190" s="11">
        <f t="shared" si="140"/>
        <v>28.844249724880935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1055.8506294552233</v>
      </c>
      <c r="H190" s="67">
        <f t="shared" si="110"/>
        <v>531.55963160416809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4.5978367779753168E-13</v>
      </c>
      <c r="P190" s="13">
        <f t="shared" si="141"/>
        <v>5.7834153259568991E-12</v>
      </c>
      <c r="Q190" s="20">
        <f t="shared" si="162"/>
        <v>1.0873571598205634E-11</v>
      </c>
      <c r="R190" s="59">
        <f t="shared" si="109"/>
        <v>293.33333333334417</v>
      </c>
      <c r="S190" s="59">
        <f ca="1">AVERAGE(OFFSET($R$3,0,0,'Données projet'!$E$9+1,1))-AVERAGE(OFFSET($H$3,0,0,'Données projet'!$E$9+1,1))</f>
        <v>457.88065872594228</v>
      </c>
      <c r="T190" s="59">
        <f t="shared" si="142"/>
        <v>204.62439362068329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180.77874231385593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180.77874231385593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293.33333333334372</v>
      </c>
      <c r="AN190" s="59">
        <f ca="1">AVERAGE(OFFSET($AM$3,0,0,'Données projet'!$E$10+1,1))-AVERAGE(OFFSET($H$3,0,0,'Données projet'!$E$10+1,1))</f>
        <v>430.16825592717629</v>
      </c>
      <c r="AO190" s="59">
        <f t="shared" si="144"/>
        <v>192.87542067077248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-2.3942448024172337E-14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243.94505553629301</v>
      </c>
      <c r="BJ190" s="59">
        <f t="shared" si="146"/>
        <v>173.05364940250229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38.940204999780903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38.940204999780903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1.1173142411280423E-13</v>
      </c>
      <c r="CA190" s="13">
        <f t="shared" si="170"/>
        <v>1.6569896290553793E-12</v>
      </c>
      <c r="CB190" s="20">
        <f t="shared" si="171"/>
        <v>3.0805225009345862E-12</v>
      </c>
      <c r="CC190" s="59">
        <f t="shared" si="119"/>
        <v>293.33333333333638</v>
      </c>
      <c r="CD190" s="59">
        <f ca="1">AVERAGE(OFFSET($CC$3,0,0,'Données projet'!$E$12+1,1))-AVERAGE(OFFSET($H$3,0,0,'Données projet'!$E$12+1,1))</f>
        <v>140.9558843244115</v>
      </c>
      <c r="CE190" s="59">
        <f t="shared" si="148"/>
        <v>158.88947216184619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8.0956075052895642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8.0956075052895642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4.8316906031686813E-13</v>
      </c>
      <c r="CU190" s="17">
        <f>CT190*VLOOKUP('Données projet'!$B$13,Paramètres!$A$1:$I$89,3,0)*VLOOKUP('Données projet'!$B$13,Paramètres!$A$1:$I$89,5,0)</f>
        <v>4.6732111513847483E-13</v>
      </c>
      <c r="CV190" s="13">
        <f t="shared" si="173"/>
        <v>5.8671100737071438E-12</v>
      </c>
      <c r="CW190" s="20">
        <f t="shared" si="174"/>
        <v>1.1032467653906121E-11</v>
      </c>
      <c r="CX190" s="59">
        <f t="shared" si="122"/>
        <v>293.33333333334434</v>
      </c>
      <c r="CY190" s="59">
        <f ca="1">AVERAGE(OFFSET($CX$3,0,0,'Données projet'!$E$13+1,1))-AVERAGE(OFFSET($H$3,0,0,'Données projet'!$E$13+1,1))</f>
        <v>467.11196088914556</v>
      </c>
      <c r="CZ190" s="59">
        <f t="shared" si="150"/>
        <v>208.53783609106262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183.7423282534273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183.7423282534273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4.8316906031686813E-13</v>
      </c>
      <c r="DP190" s="17">
        <f>DO190*VLOOKUP('Données projet'!$B$14,Paramètres!$A$1:$I$89,3,0)*VLOOKUP('Données projet'!$B$14,Paramètres!$A$1:$I$89,5,0)</f>
        <v>5.2008317652507685E-13</v>
      </c>
      <c r="DQ190" s="13">
        <f t="shared" si="176"/>
        <v>6.4487270587740506E-12</v>
      </c>
      <c r="DR190" s="20">
        <f t="shared" si="177"/>
        <v>1.213734449314598E-11</v>
      </c>
      <c r="DS190" s="59">
        <f t="shared" si="125"/>
        <v>293.33333333334548</v>
      </c>
      <c r="DT190" s="59">
        <f ca="1">AVERAGE(OFFSET($DS$3,0,0,'Données projet'!$E$14+1,1))-AVERAGE(OFFSET($H$3,0,0,'Données projet'!$E$14+1,1))</f>
        <v>531.65020827367698</v>
      </c>
      <c r="DU190" s="59">
        <f t="shared" si="152"/>
        <v>235.89413420278396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204.48742983042715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204.48742983042715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108.51360000000028</v>
      </c>
      <c r="D191" s="11">
        <f t="shared" si="140"/>
        <v>28.980500326746292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1061.3579674345351</v>
      </c>
      <c r="H191" s="67">
        <f t="shared" si="110"/>
        <v>532.8022247357502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4.5978367779753168E-13</v>
      </c>
      <c r="P191" s="13">
        <f t="shared" si="141"/>
        <v>5.7834153259568991E-12</v>
      </c>
      <c r="Q191" s="20">
        <f t="shared" si="162"/>
        <v>1.0873571598205634E-11</v>
      </c>
      <c r="R191" s="59">
        <f t="shared" si="109"/>
        <v>293.33333333334417</v>
      </c>
      <c r="S191" s="59">
        <f ca="1">AVERAGE(OFFSET($R$3,0,0,'Données projet'!$E$9+1,1))-AVERAGE(OFFSET($H$3,0,0,'Données projet'!$E$9+1,1))</f>
        <v>457.88065872594228</v>
      </c>
      <c r="T191" s="59">
        <f t="shared" si="142"/>
        <v>204.62439362068329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177.23378144122634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177.23378144122634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293.33333333334372</v>
      </c>
      <c r="AN191" s="59">
        <f ca="1">AVERAGE(OFFSET($AM$3,0,0,'Données projet'!$E$10+1,1))-AVERAGE(OFFSET($H$3,0,0,'Données projet'!$E$10+1,1))</f>
        <v>430.16825592717629</v>
      </c>
      <c r="AO191" s="59">
        <f t="shared" si="144"/>
        <v>192.87542067077248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-2.3942448024172337E-14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243.94505553629301</v>
      </c>
      <c r="BJ191" s="59">
        <f t="shared" si="146"/>
        <v>173.05364940250229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38.176611330915016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38.176611330915016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1.1173142411280423E-13</v>
      </c>
      <c r="CA191" s="13">
        <f t="shared" si="170"/>
        <v>1.6569896290553793E-12</v>
      </c>
      <c r="CB191" s="20">
        <f t="shared" si="171"/>
        <v>3.0805225009345862E-12</v>
      </c>
      <c r="CC191" s="59">
        <f t="shared" si="119"/>
        <v>293.33333333333638</v>
      </c>
      <c r="CD191" s="59">
        <f ca="1">AVERAGE(OFFSET($CC$3,0,0,'Données projet'!$E$12+1,1))-AVERAGE(OFFSET($H$3,0,0,'Données projet'!$E$12+1,1))</f>
        <v>140.9558843244115</v>
      </c>
      <c r="CE191" s="59">
        <f t="shared" si="148"/>
        <v>158.88947216184619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7.9368575799438439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7.9368575799438439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4.8316906031686813E-13</v>
      </c>
      <c r="CU191" s="17">
        <f>CT191*VLOOKUP('Données projet'!$B$13,Paramètres!$A$1:$I$89,3,0)*VLOOKUP('Données projet'!$B$13,Paramètres!$A$1:$I$89,5,0)</f>
        <v>4.6732111513847483E-13</v>
      </c>
      <c r="CV191" s="13">
        <f t="shared" si="173"/>
        <v>5.8671100737071438E-12</v>
      </c>
      <c r="CW191" s="20">
        <f t="shared" si="174"/>
        <v>1.1032467653906121E-11</v>
      </c>
      <c r="CX191" s="59">
        <f t="shared" si="122"/>
        <v>293.33333333334434</v>
      </c>
      <c r="CY191" s="59">
        <f ca="1">AVERAGE(OFFSET($CX$3,0,0,'Données projet'!$E$13+1,1))-AVERAGE(OFFSET($H$3,0,0,'Données projet'!$E$13+1,1))</f>
        <v>467.11196088914556</v>
      </c>
      <c r="CZ191" s="59">
        <f t="shared" si="150"/>
        <v>208.53783609106262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180.13925326813165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180.13925326813165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4.8316906031686813E-13</v>
      </c>
      <c r="DP191" s="17">
        <f>DO191*VLOOKUP('Données projet'!$B$14,Paramètres!$A$1:$I$89,3,0)*VLOOKUP('Données projet'!$B$14,Paramètres!$A$1:$I$89,5,0)</f>
        <v>5.2008317652507685E-13</v>
      </c>
      <c r="DQ191" s="13">
        <f t="shared" si="176"/>
        <v>6.4487270587740506E-12</v>
      </c>
      <c r="DR191" s="20">
        <f t="shared" si="177"/>
        <v>1.213734449314598E-11</v>
      </c>
      <c r="DS191" s="59">
        <f t="shared" si="125"/>
        <v>293.33333333334548</v>
      </c>
      <c r="DT191" s="59">
        <f ca="1">AVERAGE(OFFSET($DS$3,0,0,'Données projet'!$E$14+1,1))-AVERAGE(OFFSET($H$3,0,0,'Données projet'!$E$14+1,1))</f>
        <v>531.65020827367698</v>
      </c>
      <c r="DU191" s="59">
        <f t="shared" si="152"/>
        <v>235.89413420278396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200.4775560564691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200.4775560564691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109.09080000000029</v>
      </c>
      <c r="D192" s="11">
        <f t="shared" si="140"/>
        <v>29.116666594885888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1066.8646544166652</v>
      </c>
      <c r="H192" s="67">
        <f t="shared" si="110"/>
        <v>534.04467098609337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4.5978367779753168E-13</v>
      </c>
      <c r="P192" s="13">
        <f t="shared" si="141"/>
        <v>5.7834153259568991E-12</v>
      </c>
      <c r="Q192" s="20">
        <f t="shared" si="162"/>
        <v>1.0873571598205634E-11</v>
      </c>
      <c r="R192" s="59">
        <f t="shared" si="109"/>
        <v>293.33333333334417</v>
      </c>
      <c r="S192" s="59">
        <f ca="1">AVERAGE(OFFSET($R$3,0,0,'Données projet'!$E$9+1,1))-AVERAGE(OFFSET($H$3,0,0,'Données projet'!$E$9+1,1))</f>
        <v>457.88065872594228</v>
      </c>
      <c r="T192" s="59">
        <f t="shared" si="142"/>
        <v>204.62439362068329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173.75833508909639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173.75833508909639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293.33333333334372</v>
      </c>
      <c r="AN192" s="59">
        <f ca="1">AVERAGE(OFFSET($AM$3,0,0,'Données projet'!$E$10+1,1))-AVERAGE(OFFSET($H$3,0,0,'Données projet'!$E$10+1,1))</f>
        <v>430.16825592717629</v>
      </c>
      <c r="AO192" s="59">
        <f t="shared" si="144"/>
        <v>192.87542067077248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-2.3942448024172337E-14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243.94505553629301</v>
      </c>
      <c r="BJ192" s="59">
        <f t="shared" si="146"/>
        <v>173.05364940250229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37.427991268149441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37.427991268149441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1.1173142411280423E-13</v>
      </c>
      <c r="CA192" s="13">
        <f t="shared" si="170"/>
        <v>1.6569896290553793E-12</v>
      </c>
      <c r="CB192" s="20">
        <f t="shared" si="171"/>
        <v>3.0805225009345862E-12</v>
      </c>
      <c r="CC192" s="59">
        <f t="shared" si="119"/>
        <v>293.33333333333638</v>
      </c>
      <c r="CD192" s="59">
        <f ca="1">AVERAGE(OFFSET($CC$3,0,0,'Données projet'!$E$12+1,1))-AVERAGE(OFFSET($H$3,0,0,'Données projet'!$E$12+1,1))</f>
        <v>140.9558843244115</v>
      </c>
      <c r="CE192" s="59">
        <f t="shared" si="148"/>
        <v>158.88947216184619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7.7812206438062592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7.7812206438062592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4.8316906031686813E-13</v>
      </c>
      <c r="CU192" s="17">
        <f>CT192*VLOOKUP('Données projet'!$B$13,Paramètres!$A$1:$I$89,3,0)*VLOOKUP('Données projet'!$B$13,Paramètres!$A$1:$I$89,5,0)</f>
        <v>4.6732111513847483E-13</v>
      </c>
      <c r="CV192" s="13">
        <f t="shared" si="173"/>
        <v>5.8671100737071438E-12</v>
      </c>
      <c r="CW192" s="20">
        <f t="shared" si="174"/>
        <v>1.1032467653906121E-11</v>
      </c>
      <c r="CX192" s="59">
        <f t="shared" si="122"/>
        <v>293.33333333334434</v>
      </c>
      <c r="CY192" s="59">
        <f ca="1">AVERAGE(OFFSET($CX$3,0,0,'Données projet'!$E$13+1,1))-AVERAGE(OFFSET($H$3,0,0,'Données projet'!$E$13+1,1))</f>
        <v>467.11196088914556</v>
      </c>
      <c r="CZ192" s="59">
        <f t="shared" si="150"/>
        <v>208.53783609106262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176.60683238563891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176.60683238563891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4.8316906031686813E-13</v>
      </c>
      <c r="DP192" s="17">
        <f>DO192*VLOOKUP('Données projet'!$B$14,Paramètres!$A$1:$I$89,3,0)*VLOOKUP('Données projet'!$B$14,Paramètres!$A$1:$I$89,5,0)</f>
        <v>5.2008317652507685E-13</v>
      </c>
      <c r="DQ192" s="13">
        <f t="shared" si="176"/>
        <v>6.4487270587740506E-12</v>
      </c>
      <c r="DR192" s="20">
        <f t="shared" si="177"/>
        <v>1.213734449314598E-11</v>
      </c>
      <c r="DS192" s="59">
        <f t="shared" si="125"/>
        <v>293.33333333334548</v>
      </c>
      <c r="DT192" s="59">
        <f ca="1">AVERAGE(OFFSET($DS$3,0,0,'Données projet'!$E$14+1,1))-AVERAGE(OFFSET($H$3,0,0,'Données projet'!$E$14+1,1))</f>
        <v>531.65020827367698</v>
      </c>
      <c r="DU192" s="59">
        <f t="shared" si="152"/>
        <v>235.89413420278396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196.54631346143685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196.54631346143685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109.66800000000029</v>
      </c>
      <c r="D193" s="11">
        <f t="shared" si="140"/>
        <v>29.252749027300084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1072.3706942458273</v>
      </c>
      <c r="H193" s="67">
        <f t="shared" si="110"/>
        <v>535.28697122254812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4.5978367779753168E-13</v>
      </c>
      <c r="P193" s="13">
        <f t="shared" si="141"/>
        <v>5.7834153259568991E-12</v>
      </c>
      <c r="Q193" s="20">
        <f t="shared" si="162"/>
        <v>1.0873571598205634E-11</v>
      </c>
      <c r="R193" s="59">
        <f t="shared" si="109"/>
        <v>293.33333333334417</v>
      </c>
      <c r="S193" s="59">
        <f ca="1">AVERAGE(OFFSET($R$3,0,0,'Données projet'!$E$9+1,1))-AVERAGE(OFFSET($H$3,0,0,'Données projet'!$E$9+1,1))</f>
        <v>457.88065872594228</v>
      </c>
      <c r="T193" s="59">
        <f t="shared" si="142"/>
        <v>204.62439362068329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170.35104012011874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170.35104012011874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293.33333333334372</v>
      </c>
      <c r="AN193" s="59">
        <f ca="1">AVERAGE(OFFSET($AM$3,0,0,'Données projet'!$E$10+1,1))-AVERAGE(OFFSET($H$3,0,0,'Données projet'!$E$10+1,1))</f>
        <v>430.16825592717629</v>
      </c>
      <c r="AO193" s="59">
        <f t="shared" si="144"/>
        <v>192.87542067077248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-2.3942448024172337E-14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243.94505553629301</v>
      </c>
      <c r="BJ193" s="59">
        <f t="shared" si="146"/>
        <v>173.05364940250229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36.694051188201549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36.694051188201549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1.1173142411280423E-13</v>
      </c>
      <c r="CA193" s="13">
        <f t="shared" si="170"/>
        <v>1.6569896290553793E-12</v>
      </c>
      <c r="CB193" s="20">
        <f t="shared" si="171"/>
        <v>3.0805225009345862E-12</v>
      </c>
      <c r="CC193" s="59">
        <f t="shared" si="119"/>
        <v>293.33333333333638</v>
      </c>
      <c r="CD193" s="59">
        <f ca="1">AVERAGE(OFFSET($CC$3,0,0,'Données projet'!$E$12+1,1))-AVERAGE(OFFSET($H$3,0,0,'Données projet'!$E$12+1,1))</f>
        <v>140.9558843244115</v>
      </c>
      <c r="CE193" s="59">
        <f t="shared" si="148"/>
        <v>158.88947216184619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7.6286356530571755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7.6286356530571755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4.8316906031686813E-13</v>
      </c>
      <c r="CU193" s="17">
        <f>CT193*VLOOKUP('Données projet'!$B$13,Paramètres!$A$1:$I$89,3,0)*VLOOKUP('Données projet'!$B$13,Paramètres!$A$1:$I$89,5,0)</f>
        <v>4.6732111513847483E-13</v>
      </c>
      <c r="CV193" s="13">
        <f t="shared" si="173"/>
        <v>5.8671100737071438E-12</v>
      </c>
      <c r="CW193" s="20">
        <f t="shared" si="174"/>
        <v>1.1032467653906121E-11</v>
      </c>
      <c r="CX193" s="59">
        <f t="shared" si="122"/>
        <v>293.33333333334434</v>
      </c>
      <c r="CY193" s="59">
        <f ca="1">AVERAGE(OFFSET($CX$3,0,0,'Données projet'!$E$13+1,1))-AVERAGE(OFFSET($H$3,0,0,'Données projet'!$E$13+1,1))</f>
        <v>467.11196088914556</v>
      </c>
      <c r="CZ193" s="59">
        <f t="shared" si="150"/>
        <v>208.53783609106262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173.14368012208786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173.14368012208786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4.8316906031686813E-13</v>
      </c>
      <c r="DP193" s="17">
        <f>DO193*VLOOKUP('Données projet'!$B$14,Paramètres!$A$1:$I$89,3,0)*VLOOKUP('Données projet'!$B$14,Paramètres!$A$1:$I$89,5,0)</f>
        <v>5.2008317652507685E-13</v>
      </c>
      <c r="DQ193" s="13">
        <f t="shared" si="176"/>
        <v>6.4487270587740506E-12</v>
      </c>
      <c r="DR193" s="20">
        <f t="shared" si="177"/>
        <v>1.213734449314598E-11</v>
      </c>
      <c r="DS193" s="59">
        <f t="shared" si="125"/>
        <v>293.33333333334548</v>
      </c>
      <c r="DT193" s="59">
        <f ca="1">AVERAGE(OFFSET($DS$3,0,0,'Données projet'!$E$14+1,1))-AVERAGE(OFFSET($H$3,0,0,'Données projet'!$E$14+1,1))</f>
        <v>531.65020827367698</v>
      </c>
      <c r="DU193" s="59">
        <f t="shared" si="152"/>
        <v>235.89413420278396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192.69216013587197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192.69216013587197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110.2452000000003</v>
      </c>
      <c r="D194" s="11">
        <f t="shared" si="140"/>
        <v>29.38874811644364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1077.8760907234271</v>
      </c>
      <c r="H194" s="67">
        <f t="shared" si="110"/>
        <v>536.5291263028065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4.5978367779753168E-13</v>
      </c>
      <c r="P194" s="13">
        <f t="shared" si="141"/>
        <v>5.7834153259568991E-12</v>
      </c>
      <c r="Q194" s="20">
        <f t="shared" si="162"/>
        <v>1.0873571598205634E-11</v>
      </c>
      <c r="R194" s="59">
        <f t="shared" si="109"/>
        <v>293.33333333334417</v>
      </c>
      <c r="S194" s="59">
        <f ca="1">AVERAGE(OFFSET($R$3,0,0,'Données projet'!$E$9+1,1))-AVERAGE(OFFSET($H$3,0,0,'Données projet'!$E$9+1,1))</f>
        <v>457.88065872594228</v>
      </c>
      <c r="T194" s="59">
        <f t="shared" si="142"/>
        <v>204.62439362068329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167.01056012723802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167.01056012723802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293.33333333334372</v>
      </c>
      <c r="AN194" s="59">
        <f ca="1">AVERAGE(OFFSET($AM$3,0,0,'Données projet'!$E$10+1,1))-AVERAGE(OFFSET($H$3,0,0,'Données projet'!$E$10+1,1))</f>
        <v>430.16825592717629</v>
      </c>
      <c r="AO194" s="59">
        <f t="shared" si="144"/>
        <v>192.87542067077248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-2.3942448024172337E-14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243.94505553629301</v>
      </c>
      <c r="BJ194" s="59">
        <f t="shared" si="146"/>
        <v>173.05364940250229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35.974503225562188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35.974503225562188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1.1173142411280423E-13</v>
      </c>
      <c r="CA194" s="13">
        <f t="shared" si="170"/>
        <v>1.6569896290553793E-12</v>
      </c>
      <c r="CB194" s="20">
        <f t="shared" si="171"/>
        <v>3.0805225009345862E-12</v>
      </c>
      <c r="CC194" s="59">
        <f t="shared" si="119"/>
        <v>293.33333333333638</v>
      </c>
      <c r="CD194" s="59">
        <f ca="1">AVERAGE(OFFSET($CC$3,0,0,'Données projet'!$E$12+1,1))-AVERAGE(OFFSET($H$3,0,0,'Données projet'!$E$12+1,1))</f>
        <v>140.9558843244115</v>
      </c>
      <c r="CE194" s="59">
        <f t="shared" si="148"/>
        <v>158.88947216184619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7.4790427609090262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7.4790427609090262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4.8316906031686813E-13</v>
      </c>
      <c r="CU194" s="17">
        <f>CT194*VLOOKUP('Données projet'!$B$13,Paramètres!$A$1:$I$89,3,0)*VLOOKUP('Données projet'!$B$13,Paramètres!$A$1:$I$89,5,0)</f>
        <v>4.6732111513847483E-13</v>
      </c>
      <c r="CV194" s="13">
        <f t="shared" si="173"/>
        <v>5.8671100737071438E-12</v>
      </c>
      <c r="CW194" s="20">
        <f t="shared" si="174"/>
        <v>1.1032467653906121E-11</v>
      </c>
      <c r="CX194" s="59">
        <f t="shared" si="122"/>
        <v>293.33333333334434</v>
      </c>
      <c r="CY194" s="59">
        <f ca="1">AVERAGE(OFFSET($CX$3,0,0,'Données projet'!$E$13+1,1))-AVERAGE(OFFSET($H$3,0,0,'Données projet'!$E$13+1,1))</f>
        <v>467.11196088914556</v>
      </c>
      <c r="CZ194" s="59">
        <f t="shared" si="150"/>
        <v>208.53783609106262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169.74843816211074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169.74843816211074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4.8316906031686813E-13</v>
      </c>
      <c r="DP194" s="17">
        <f>DO194*VLOOKUP('Données projet'!$B$14,Paramètres!$A$1:$I$89,3,0)*VLOOKUP('Données projet'!$B$14,Paramètres!$A$1:$I$89,5,0)</f>
        <v>5.2008317652507685E-13</v>
      </c>
      <c r="DQ194" s="13">
        <f t="shared" si="176"/>
        <v>6.4487270587740506E-12</v>
      </c>
      <c r="DR194" s="20">
        <f t="shared" si="177"/>
        <v>1.213734449314598E-11</v>
      </c>
      <c r="DS194" s="59">
        <f t="shared" si="125"/>
        <v>293.33333333334548</v>
      </c>
      <c r="DT194" s="59">
        <f ca="1">AVERAGE(OFFSET($DS$3,0,0,'Données projet'!$E$14+1,1))-AVERAGE(OFFSET($H$3,0,0,'Données projet'!$E$14+1,1))</f>
        <v>531.65020827367698</v>
      </c>
      <c r="DU194" s="59">
        <f t="shared" si="152"/>
        <v>235.89413420278396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188.91358440622002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188.91358440622002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110.8224000000003</v>
      </c>
      <c r="D195" s="11">
        <f t="shared" si="140"/>
        <v>29.524664349316183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1083.380847608759</v>
      </c>
      <c r="H195" s="67">
        <f t="shared" si="110"/>
        <v>537.77113707505953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4.5978367779753168E-13</v>
      </c>
      <c r="P195" s="13">
        <f t="shared" si="141"/>
        <v>5.7834153259568991E-12</v>
      </c>
      <c r="Q195" s="20">
        <f t="shared" si="162"/>
        <v>1.0873571598205634E-11</v>
      </c>
      <c r="R195" s="59">
        <f t="shared" ref="R195:R203" si="191">Q195+(I195+J195)*44/12</f>
        <v>293.33333333334417</v>
      </c>
      <c r="S195" s="59">
        <f ca="1">AVERAGE(OFFSET($R$3,0,0,'Données projet'!$E$9+1,1))-AVERAGE(OFFSET($H$3,0,0,'Données projet'!$E$9+1,1))</f>
        <v>457.88065872594228</v>
      </c>
      <c r="T195" s="59">
        <f t="shared" si="142"/>
        <v>204.62439362068329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163.7355849095261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163.7355849095261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293.33333333334372</v>
      </c>
      <c r="AN195" s="59">
        <f ca="1">AVERAGE(OFFSET($AM$3,0,0,'Données projet'!$E$10+1,1))-AVERAGE(OFFSET($H$3,0,0,'Données projet'!$E$10+1,1))</f>
        <v>430.16825592717629</v>
      </c>
      <c r="AO195" s="59">
        <f t="shared" si="144"/>
        <v>192.87542067077248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-2.3942448024172337E-14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243.94505553629301</v>
      </c>
      <c r="BJ195" s="59">
        <f t="shared" si="146"/>
        <v>173.05364940250229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35.26906515958926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35.26906515958926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1.1173142411280423E-13</v>
      </c>
      <c r="CA195" s="13">
        <f t="shared" si="170"/>
        <v>1.6569896290553793E-12</v>
      </c>
      <c r="CB195" s="20">
        <f t="shared" si="171"/>
        <v>3.0805225009345862E-12</v>
      </c>
      <c r="CC195" s="59">
        <f t="shared" si="119"/>
        <v>293.33333333333638</v>
      </c>
      <c r="CD195" s="59">
        <f ca="1">AVERAGE(OFFSET($CC$3,0,0,'Données projet'!$E$12+1,1))-AVERAGE(OFFSET($H$3,0,0,'Données projet'!$E$12+1,1))</f>
        <v>140.9558843244115</v>
      </c>
      <c r="CE195" s="59">
        <f t="shared" si="148"/>
        <v>158.88947216184619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7.3323832941332476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7.3323832941332476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4.8316906031686813E-13</v>
      </c>
      <c r="CU195" s="17">
        <f>CT195*VLOOKUP('Données projet'!$B$13,Paramètres!$A$1:$I$89,3,0)*VLOOKUP('Données projet'!$B$13,Paramètres!$A$1:$I$89,5,0)</f>
        <v>4.6732111513847483E-13</v>
      </c>
      <c r="CV195" s="13">
        <f t="shared" si="173"/>
        <v>5.8671100737071438E-12</v>
      </c>
      <c r="CW195" s="20">
        <f t="shared" si="174"/>
        <v>1.1032467653906121E-11</v>
      </c>
      <c r="CX195" s="59">
        <f t="shared" si="122"/>
        <v>293.33333333334434</v>
      </c>
      <c r="CY195" s="59">
        <f ca="1">AVERAGE(OFFSET($CX$3,0,0,'Données projet'!$E$13+1,1))-AVERAGE(OFFSET($H$3,0,0,'Données projet'!$E$13+1,1))</f>
        <v>467.11196088914556</v>
      </c>
      <c r="CZ195" s="59">
        <f t="shared" si="150"/>
        <v>208.53783609106262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166.41977482607567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166.41977482607567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4.8316906031686813E-13</v>
      </c>
      <c r="DP195" s="17">
        <f>DO195*VLOOKUP('Données projet'!$B$14,Paramètres!$A$1:$I$89,3,0)*VLOOKUP('Données projet'!$B$14,Paramètres!$A$1:$I$89,5,0)</f>
        <v>5.2008317652507685E-13</v>
      </c>
      <c r="DQ195" s="13">
        <f t="shared" si="176"/>
        <v>6.4487270587740506E-12</v>
      </c>
      <c r="DR195" s="20">
        <f t="shared" si="177"/>
        <v>1.213734449314598E-11</v>
      </c>
      <c r="DS195" s="59">
        <f t="shared" si="125"/>
        <v>293.33333333334548</v>
      </c>
      <c r="DT195" s="59">
        <f ca="1">AVERAGE(OFFSET($DS$3,0,0,'Données projet'!$E$14+1,1))-AVERAGE(OFFSET($H$3,0,0,'Données projet'!$E$14+1,1))</f>
        <v>531.65020827367698</v>
      </c>
      <c r="DU195" s="59">
        <f t="shared" si="152"/>
        <v>235.89413420278396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185.20910424192292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185.20910424192292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111.39960000000031</v>
      </c>
      <c r="D196" s="11">
        <f t="shared" si="140"/>
        <v>29.660498207550773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1088.8849686196927</v>
      </c>
      <c r="H196" s="67">
        <f t="shared" ref="H196:H203" si="192">(B196+E196+F196)*44/12+(C196+D196)*0.475*44/12</f>
        <v>539.01300437815144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4.5978367779753168E-13</v>
      </c>
      <c r="P196" s="13">
        <f t="shared" si="141"/>
        <v>5.7834153259568991E-12</v>
      </c>
      <c r="Q196" s="20">
        <f t="shared" si="162"/>
        <v>1.0873571598205634E-11</v>
      </c>
      <c r="R196" s="59">
        <f t="shared" si="191"/>
        <v>293.33333333334417</v>
      </c>
      <c r="S196" s="59">
        <f ca="1">AVERAGE(OFFSET($R$3,0,0,'Données projet'!$E$9+1,1))-AVERAGE(OFFSET($H$3,0,0,'Données projet'!$E$9+1,1))</f>
        <v>457.88065872594228</v>
      </c>
      <c r="T196" s="59">
        <f t="shared" si="142"/>
        <v>204.62439362068329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160.52482995829587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160.52482995829587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293.33333333334372</v>
      </c>
      <c r="AN196" s="59">
        <f ca="1">AVERAGE(OFFSET($AM$3,0,0,'Données projet'!$E$10+1,1))-AVERAGE(OFFSET($H$3,0,0,'Données projet'!$E$10+1,1))</f>
        <v>430.16825592717629</v>
      </c>
      <c r="AO196" s="59">
        <f t="shared" si="144"/>
        <v>192.87542067077248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-2.3942448024172337E-14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243.94505553629301</v>
      </c>
      <c r="BJ196" s="59">
        <f t="shared" si="146"/>
        <v>173.05364940250229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34.577460303815329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34.577460303815329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1.1173142411280423E-13</v>
      </c>
      <c r="CA196" s="13">
        <f t="shared" si="170"/>
        <v>1.6569896290553793E-12</v>
      </c>
      <c r="CB196" s="20">
        <f t="shared" si="171"/>
        <v>3.0805225009345862E-12</v>
      </c>
      <c r="CC196" s="59">
        <f t="shared" ref="CC196:CC203" si="195">CB196+(BT196+BU196)*44/12</f>
        <v>293.33333333333638</v>
      </c>
      <c r="CD196" s="59">
        <f ca="1">AVERAGE(OFFSET($CC$3,0,0,'Données projet'!$E$12+1,1))-AVERAGE(OFFSET($H$3,0,0,'Données projet'!$E$12+1,1))</f>
        <v>140.9558843244115</v>
      </c>
      <c r="CE196" s="59">
        <f t="shared" si="148"/>
        <v>158.88947216184619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7.1885997300474997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7.1885997300474997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4.8316906031686813E-13</v>
      </c>
      <c r="CU196" s="17">
        <f>CT196*VLOOKUP('Données projet'!$B$13,Paramètres!$A$1:$I$89,3,0)*VLOOKUP('Données projet'!$B$13,Paramètres!$A$1:$I$89,5,0)</f>
        <v>4.6732111513847483E-13</v>
      </c>
      <c r="CV196" s="13">
        <f t="shared" si="173"/>
        <v>5.8671100737071438E-12</v>
      </c>
      <c r="CW196" s="20">
        <f t="shared" si="174"/>
        <v>1.1032467653906121E-11</v>
      </c>
      <c r="CX196" s="59">
        <f t="shared" ref="CX196:CX203" si="196">CW196+(CO196+CP196)*44/12</f>
        <v>293.33333333334434</v>
      </c>
      <c r="CY196" s="59">
        <f ca="1">AVERAGE(OFFSET($CX$3,0,0,'Données projet'!$E$13+1,1))-AVERAGE(OFFSET($H$3,0,0,'Données projet'!$E$13+1,1))</f>
        <v>467.11196088914556</v>
      </c>
      <c r="CZ196" s="59">
        <f t="shared" si="150"/>
        <v>208.53783609106262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163.15638454777607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163.15638454777607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4.8316906031686813E-13</v>
      </c>
      <c r="DP196" s="17">
        <f>DO196*VLOOKUP('Données projet'!$B$14,Paramètres!$A$1:$I$89,3,0)*VLOOKUP('Données projet'!$B$14,Paramètres!$A$1:$I$89,5,0)</f>
        <v>5.2008317652507685E-13</v>
      </c>
      <c r="DQ196" s="13">
        <f t="shared" si="176"/>
        <v>6.4487270587740506E-12</v>
      </c>
      <c r="DR196" s="20">
        <f t="shared" si="177"/>
        <v>1.213734449314598E-11</v>
      </c>
      <c r="DS196" s="59">
        <f t="shared" ref="DS196:DS203" si="197">DR196+(DJ196+DK196)*44/12</f>
        <v>293.33333333334548</v>
      </c>
      <c r="DT196" s="59">
        <f ca="1">AVERAGE(OFFSET($DS$3,0,0,'Données projet'!$E$14+1,1))-AVERAGE(OFFSET($H$3,0,0,'Données projet'!$E$14+1,1))</f>
        <v>531.65020827367698</v>
      </c>
      <c r="DU196" s="59">
        <f t="shared" si="152"/>
        <v>235.89413420278396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181.57726667413789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181.57726667413789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111.97680000000031</v>
      </c>
      <c r="D197" s="11">
        <f t="shared" ref="D197:D203" si="202">IFERROR(EXP(-1.0587+0.8836*LN(C197)+0.284),0)</f>
        <v>29.796250167500524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1094.3884574333399</v>
      </c>
      <c r="H197" s="67">
        <f t="shared" si="192"/>
        <v>540.25472904173057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4.5978367779753168E-13</v>
      </c>
      <c r="P197" s="13">
        <f t="shared" ref="P197:P203" si="203">EXP(-1.0587+0.8836*LN(O197)+0.284)</f>
        <v>5.7834153259568991E-12</v>
      </c>
      <c r="Q197" s="20">
        <f t="shared" si="162"/>
        <v>1.0873571598205634E-11</v>
      </c>
      <c r="R197" s="59">
        <f t="shared" si="191"/>
        <v>293.33333333334417</v>
      </c>
      <c r="S197" s="59">
        <f ca="1">AVERAGE(OFFSET($R$3,0,0,'Données projet'!$E$9+1,1))-AVERAGE(OFFSET($H$3,0,0,'Données projet'!$E$9+1,1))</f>
        <v>457.88065872594228</v>
      </c>
      <c r="T197" s="59">
        <f t="shared" ref="T197:T203" si="204">$T$3</f>
        <v>204.62439362068329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157.37703595329211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157.37703595329211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293.33333333334372</v>
      </c>
      <c r="AN197" s="59">
        <f ca="1">AVERAGE(OFFSET($AM$3,0,0,'Données projet'!$E$10+1,1))-AVERAGE(OFFSET($H$3,0,0,'Données projet'!$E$10+1,1))</f>
        <v>430.16825592717629</v>
      </c>
      <c r="AO197" s="59">
        <f t="shared" ref="AO197:AO203" si="205">$AO$3</f>
        <v>192.87542067077248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-2.3942448024172337E-14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243.94505553629301</v>
      </c>
      <c r="BJ197" s="59">
        <f t="shared" ref="BJ197:BJ203" si="206">$BJ$3</f>
        <v>173.05364940250229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33.899417397425815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33.899417397425815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1.1173142411280423E-13</v>
      </c>
      <c r="CA197" s="13">
        <f t="shared" si="170"/>
        <v>1.6569896290553793E-12</v>
      </c>
      <c r="CB197" s="20">
        <f t="shared" si="171"/>
        <v>3.0805225009345862E-12</v>
      </c>
      <c r="CC197" s="59">
        <f t="shared" si="195"/>
        <v>293.33333333333638</v>
      </c>
      <c r="CD197" s="59">
        <f ca="1">AVERAGE(OFFSET($CC$3,0,0,'Données projet'!$E$12+1,1))-AVERAGE(OFFSET($H$3,0,0,'Données projet'!$E$12+1,1))</f>
        <v>140.9558843244115</v>
      </c>
      <c r="CE197" s="59">
        <f t="shared" ref="CE197:CE203" si="207">$CE$3</f>
        <v>158.88947216184619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7.0476356739541588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7.0476356739541588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4.8316906031686813E-13</v>
      </c>
      <c r="CU197" s="17">
        <f>CT197*VLOOKUP('Données projet'!$B$13,Paramètres!$A$1:$I$89,3,0)*VLOOKUP('Données projet'!$B$13,Paramètres!$A$1:$I$89,5,0)</f>
        <v>4.6732111513847483E-13</v>
      </c>
      <c r="CV197" s="13">
        <f t="shared" si="173"/>
        <v>5.8671100737071438E-12</v>
      </c>
      <c r="CW197" s="20">
        <f t="shared" si="174"/>
        <v>1.1032467653906121E-11</v>
      </c>
      <c r="CX197" s="59">
        <f t="shared" si="196"/>
        <v>293.33333333334434</v>
      </c>
      <c r="CY197" s="59">
        <f ca="1">AVERAGE(OFFSET($CX$3,0,0,'Données projet'!$E$13+1,1))-AVERAGE(OFFSET($H$3,0,0,'Données projet'!$E$13+1,1))</f>
        <v>467.11196088914556</v>
      </c>
      <c r="CZ197" s="59">
        <f t="shared" ref="CZ197:CZ203" si="208">$CZ$3</f>
        <v>208.53783609106262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159.95698736236241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159.95698736236241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4.8316906031686813E-13</v>
      </c>
      <c r="DP197" s="17">
        <f>DO197*VLOOKUP('Données projet'!$B$14,Paramètres!$A$1:$I$89,3,0)*VLOOKUP('Données projet'!$B$14,Paramètres!$A$1:$I$89,5,0)</f>
        <v>5.2008317652507685E-13</v>
      </c>
      <c r="DQ197" s="13">
        <f t="shared" si="176"/>
        <v>6.4487270587740506E-12</v>
      </c>
      <c r="DR197" s="20">
        <f t="shared" si="177"/>
        <v>1.213734449314598E-11</v>
      </c>
      <c r="DS197" s="59">
        <f t="shared" si="197"/>
        <v>293.33333333334548</v>
      </c>
      <c r="DT197" s="59">
        <f ca="1">AVERAGE(OFFSET($DS$3,0,0,'Données projet'!$E$14+1,1))-AVERAGE(OFFSET($H$3,0,0,'Données projet'!$E$14+1,1))</f>
        <v>531.65020827367698</v>
      </c>
      <c r="DU197" s="59">
        <f t="shared" ref="DU197:DU203" si="209">$DU$3</f>
        <v>235.89413420278396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178.01664722585494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178.01664722585494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112.55400000000031</v>
      </c>
      <c r="D198" s="11">
        <f t="shared" si="202"/>
        <v>29.931920700323271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1099.8913176867084</v>
      </c>
      <c r="H198" s="67">
        <f t="shared" si="192"/>
        <v>541.49631188639682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4.5978367779753168E-13</v>
      </c>
      <c r="P198" s="13">
        <f t="shared" si="203"/>
        <v>5.7834153259568991E-12</v>
      </c>
      <c r="Q198" s="20">
        <f t="shared" si="162"/>
        <v>1.0873571598205634E-11</v>
      </c>
      <c r="R198" s="59">
        <f t="shared" si="191"/>
        <v>293.33333333334417</v>
      </c>
      <c r="S198" s="59">
        <f ca="1">AVERAGE(OFFSET($R$3,0,0,'Données projet'!$E$9+1,1))-AVERAGE(OFFSET($H$3,0,0,'Données projet'!$E$9+1,1))</f>
        <v>457.88065872594228</v>
      </c>
      <c r="T198" s="59">
        <f t="shared" si="204"/>
        <v>204.62439362068329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154.2909682687617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154.2909682687617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293.33333333334372</v>
      </c>
      <c r="AN198" s="59">
        <f ca="1">AVERAGE(OFFSET($AM$3,0,0,'Données projet'!$E$10+1,1))-AVERAGE(OFFSET($H$3,0,0,'Données projet'!$E$10+1,1))</f>
        <v>430.16825592717629</v>
      </c>
      <c r="AO198" s="59">
        <f t="shared" si="205"/>
        <v>192.87542067077248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-2.3942448024172337E-14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243.94505553629301</v>
      </c>
      <c r="BJ198" s="59">
        <f t="shared" si="206"/>
        <v>173.05364940250229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33.234670498865263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33.234670498865263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1.1173142411280423E-13</v>
      </c>
      <c r="CA198" s="13">
        <f t="shared" si="170"/>
        <v>1.6569896290553793E-12</v>
      </c>
      <c r="CB198" s="20">
        <f t="shared" si="171"/>
        <v>3.0805225009345862E-12</v>
      </c>
      <c r="CC198" s="59">
        <f t="shared" si="195"/>
        <v>293.33333333333638</v>
      </c>
      <c r="CD198" s="59">
        <f ca="1">AVERAGE(OFFSET($CC$3,0,0,'Données projet'!$E$12+1,1))-AVERAGE(OFFSET($H$3,0,0,'Données projet'!$E$12+1,1))</f>
        <v>140.9558843244115</v>
      </c>
      <c r="CE198" s="59">
        <f t="shared" si="207"/>
        <v>158.88947216184619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6.9094358370212241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6.9094358370212241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4.8316906031686813E-13</v>
      </c>
      <c r="CU198" s="17">
        <f>CT198*VLOOKUP('Données projet'!$B$13,Paramètres!$A$1:$I$89,3,0)*VLOOKUP('Données projet'!$B$13,Paramètres!$A$1:$I$89,5,0)</f>
        <v>4.6732111513847483E-13</v>
      </c>
      <c r="CV198" s="13">
        <f t="shared" si="173"/>
        <v>5.8671100737071438E-12</v>
      </c>
      <c r="CW198" s="20">
        <f t="shared" si="174"/>
        <v>1.1032467653906121E-11</v>
      </c>
      <c r="CX198" s="59">
        <f t="shared" si="196"/>
        <v>293.33333333334434</v>
      </c>
      <c r="CY198" s="59">
        <f ca="1">AVERAGE(OFFSET($CX$3,0,0,'Données projet'!$E$13+1,1))-AVERAGE(OFFSET($H$3,0,0,'Données projet'!$E$13+1,1))</f>
        <v>467.11196088914556</v>
      </c>
      <c r="CZ198" s="59">
        <f t="shared" si="208"/>
        <v>208.53783609106262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156.82032840431512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156.82032840431512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4.8316906031686813E-13</v>
      </c>
      <c r="DP198" s="17">
        <f>DO198*VLOOKUP('Données projet'!$B$14,Paramètres!$A$1:$I$89,3,0)*VLOOKUP('Données projet'!$B$14,Paramètres!$A$1:$I$89,5,0)</f>
        <v>5.2008317652507685E-13</v>
      </c>
      <c r="DQ198" s="13">
        <f t="shared" si="176"/>
        <v>6.4487270587740506E-12</v>
      </c>
      <c r="DR198" s="20">
        <f t="shared" si="177"/>
        <v>1.213734449314598E-11</v>
      </c>
      <c r="DS198" s="59">
        <f t="shared" si="197"/>
        <v>293.33333333334548</v>
      </c>
      <c r="DT198" s="59">
        <f ca="1">AVERAGE(OFFSET($DS$3,0,0,'Données projet'!$E$14+1,1))-AVERAGE(OFFSET($H$3,0,0,'Données projet'!$E$14+1,1))</f>
        <v>531.65020827367698</v>
      </c>
      <c r="DU198" s="59">
        <f t="shared" si="209"/>
        <v>235.89413420278396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174.52584935318941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174.52584935318941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113.13120000000032</v>
      </c>
      <c r="D199" s="11">
        <f t="shared" si="202"/>
        <v>30.067510272064766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1105.3935529773446</v>
      </c>
      <c r="H199" s="67">
        <f t="shared" si="192"/>
        <v>542.73775372384671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4.5978367779753168E-13</v>
      </c>
      <c r="P199" s="13">
        <f t="shared" si="203"/>
        <v>5.7834153259568991E-12</v>
      </c>
      <c r="Q199" s="20">
        <f t="shared" si="162"/>
        <v>1.0873571598205634E-11</v>
      </c>
      <c r="R199" s="59">
        <f t="shared" si="191"/>
        <v>293.33333333334417</v>
      </c>
      <c r="S199" s="59">
        <f ca="1">AVERAGE(OFFSET($R$3,0,0,'Données projet'!$E$9+1,1))-AVERAGE(OFFSET($H$3,0,0,'Données projet'!$E$9+1,1))</f>
        <v>457.88065872594228</v>
      </c>
      <c r="T199" s="59">
        <f t="shared" si="204"/>
        <v>204.62439362068329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151.26541648920951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151.26541648920951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293.33333333334372</v>
      </c>
      <c r="AN199" s="59">
        <f ca="1">AVERAGE(OFFSET($AM$3,0,0,'Données projet'!$E$10+1,1))-AVERAGE(OFFSET($H$3,0,0,'Données projet'!$E$10+1,1))</f>
        <v>430.16825592717629</v>
      </c>
      <c r="AO199" s="59">
        <f t="shared" si="205"/>
        <v>192.87542067077248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-2.3942448024172337E-14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243.94505553629301</v>
      </c>
      <c r="BJ199" s="59">
        <f t="shared" si="206"/>
        <v>173.05364940250229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32.582958881529912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32.582958881529912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1.1173142411280423E-13</v>
      </c>
      <c r="CA199" s="13">
        <f t="shared" si="170"/>
        <v>1.6569896290553793E-12</v>
      </c>
      <c r="CB199" s="20">
        <f t="shared" si="171"/>
        <v>3.0805225009345862E-12</v>
      </c>
      <c r="CC199" s="59">
        <f t="shared" si="195"/>
        <v>293.33333333333638</v>
      </c>
      <c r="CD199" s="59">
        <f ca="1">AVERAGE(OFFSET($CC$3,0,0,'Données projet'!$E$12+1,1))-AVERAGE(OFFSET($H$3,0,0,'Données projet'!$E$12+1,1))</f>
        <v>140.9558843244115</v>
      </c>
      <c r="CE199" s="59">
        <f t="shared" si="207"/>
        <v>158.88947216184619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6.7739460145969668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6.7739460145969668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4.8316906031686813E-13</v>
      </c>
      <c r="CU199" s="17">
        <f>CT199*VLOOKUP('Données projet'!$B$13,Paramètres!$A$1:$I$89,3,0)*VLOOKUP('Données projet'!$B$13,Paramètres!$A$1:$I$89,5,0)</f>
        <v>4.6732111513847483E-13</v>
      </c>
      <c r="CV199" s="13">
        <f t="shared" si="173"/>
        <v>5.8671100737071438E-12</v>
      </c>
      <c r="CW199" s="20">
        <f t="shared" si="174"/>
        <v>1.1032467653906121E-11</v>
      </c>
      <c r="CX199" s="59">
        <f t="shared" si="196"/>
        <v>293.33333333334434</v>
      </c>
      <c r="CY199" s="59">
        <f ca="1">AVERAGE(OFFSET($CX$3,0,0,'Données projet'!$E$13+1,1))-AVERAGE(OFFSET($H$3,0,0,'Données projet'!$E$13+1,1))</f>
        <v>467.11196088914556</v>
      </c>
      <c r="CZ199" s="59">
        <f t="shared" si="208"/>
        <v>208.53783609106262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153.74517741526208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153.74517741526208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4.8316906031686813E-13</v>
      </c>
      <c r="DP199" s="17">
        <f>DO199*VLOOKUP('Données projet'!$B$14,Paramètres!$A$1:$I$89,3,0)*VLOOKUP('Données projet'!$B$14,Paramètres!$A$1:$I$89,5,0)</f>
        <v>5.2008317652507685E-13</v>
      </c>
      <c r="DQ199" s="13">
        <f t="shared" si="176"/>
        <v>6.4487270587740506E-12</v>
      </c>
      <c r="DR199" s="20">
        <f t="shared" si="177"/>
        <v>1.213734449314598E-11</v>
      </c>
      <c r="DS199" s="59">
        <f t="shared" si="197"/>
        <v>293.33333333334548</v>
      </c>
      <c r="DT199" s="59">
        <f ca="1">AVERAGE(OFFSET($DS$3,0,0,'Données projet'!$E$14+1,1))-AVERAGE(OFFSET($H$3,0,0,'Données projet'!$E$14+1,1))</f>
        <v>531.65020827367698</v>
      </c>
      <c r="DU199" s="59">
        <f t="shared" si="209"/>
        <v>235.89413420278396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171.10350389763039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171.10350389763039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113.70840000000032</v>
      </c>
      <c r="D200" s="11">
        <f t="shared" si="202"/>
        <v>30.203019343739882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1110.8951668639595</v>
      </c>
      <c r="H200" s="67">
        <f t="shared" si="192"/>
        <v>543.97905535701409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4.5978367779753168E-13</v>
      </c>
      <c r="P200" s="13">
        <f t="shared" si="203"/>
        <v>5.7834153259568991E-12</v>
      </c>
      <c r="Q200" s="20">
        <f t="shared" si="162"/>
        <v>1.0873571598205634E-11</v>
      </c>
      <c r="R200" s="59">
        <f t="shared" si="191"/>
        <v>293.33333333334417</v>
      </c>
      <c r="S200" s="59">
        <f ca="1">AVERAGE(OFFSET($R$3,0,0,'Données projet'!$E$9+1,1))-AVERAGE(OFFSET($H$3,0,0,'Données projet'!$E$9+1,1))</f>
        <v>457.88065872594228</v>
      </c>
      <c r="T200" s="59">
        <f t="shared" si="204"/>
        <v>204.62439362068329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148.29919393464999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148.29919393464999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293.33333333334372</v>
      </c>
      <c r="AN200" s="59">
        <f ca="1">AVERAGE(OFFSET($AM$3,0,0,'Données projet'!$E$10+1,1))-AVERAGE(OFFSET($H$3,0,0,'Données projet'!$E$10+1,1))</f>
        <v>430.16825592717629</v>
      </c>
      <c r="AO200" s="59">
        <f t="shared" si="205"/>
        <v>192.87542067077248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-2.3942448024172337E-14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243.94505553629301</v>
      </c>
      <c r="BJ200" s="59">
        <f t="shared" si="206"/>
        <v>173.05364940250229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31.944026931505668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31.944026931505668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1.1173142411280423E-13</v>
      </c>
      <c r="CA200" s="13">
        <f t="shared" si="170"/>
        <v>1.6569896290553793E-12</v>
      </c>
      <c r="CB200" s="20">
        <f t="shared" si="171"/>
        <v>3.0805225009345862E-12</v>
      </c>
      <c r="CC200" s="59">
        <f t="shared" si="195"/>
        <v>293.33333333333638</v>
      </c>
      <c r="CD200" s="59">
        <f ca="1">AVERAGE(OFFSET($CC$3,0,0,'Données projet'!$E$12+1,1))-AVERAGE(OFFSET($H$3,0,0,'Données projet'!$E$12+1,1))</f>
        <v>140.9558843244115</v>
      </c>
      <c r="CE200" s="59">
        <f t="shared" si="207"/>
        <v>158.88947216184619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6.6411130649498178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6.6411130649498178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4.8316906031686813E-13</v>
      </c>
      <c r="CU200" s="17">
        <f>CT200*VLOOKUP('Données projet'!$B$13,Paramètres!$A$1:$I$89,3,0)*VLOOKUP('Données projet'!$B$13,Paramètres!$A$1:$I$89,5,0)</f>
        <v>4.6732111513847483E-13</v>
      </c>
      <c r="CV200" s="13">
        <f t="shared" si="173"/>
        <v>5.8671100737071438E-12</v>
      </c>
      <c r="CW200" s="20">
        <f t="shared" si="174"/>
        <v>1.1032467653906121E-11</v>
      </c>
      <c r="CX200" s="59">
        <f t="shared" si="196"/>
        <v>293.33333333334434</v>
      </c>
      <c r="CY200" s="59">
        <f ca="1">AVERAGE(OFFSET($CX$3,0,0,'Données projet'!$E$13+1,1))-AVERAGE(OFFSET($H$3,0,0,'Données projet'!$E$13+1,1))</f>
        <v>467.11196088914556</v>
      </c>
      <c r="CZ200" s="59">
        <f t="shared" si="208"/>
        <v>208.53783609106262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150.73032826144748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150.73032826144748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4.8316906031686813E-13</v>
      </c>
      <c r="DP200" s="17">
        <f>DO200*VLOOKUP('Données projet'!$B$14,Paramètres!$A$1:$I$89,3,0)*VLOOKUP('Données projet'!$B$14,Paramètres!$A$1:$I$89,5,0)</f>
        <v>5.2008317652507685E-13</v>
      </c>
      <c r="DQ200" s="13">
        <f t="shared" si="176"/>
        <v>6.4487270587740506E-12</v>
      </c>
      <c r="DR200" s="20">
        <f t="shared" si="177"/>
        <v>1.213734449314598E-11</v>
      </c>
      <c r="DS200" s="59">
        <f t="shared" si="197"/>
        <v>293.33333333334548</v>
      </c>
      <c r="DT200" s="59">
        <f ca="1">AVERAGE(OFFSET($DS$3,0,0,'Données projet'!$E$14+1,1))-AVERAGE(OFFSET($H$3,0,0,'Données projet'!$E$14+1,1))</f>
        <v>531.65020827367698</v>
      </c>
      <c r="DU200" s="59">
        <f t="shared" si="209"/>
        <v>235.89413420278396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167.74826854903026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167.74826854903026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114.28560000000033</v>
      </c>
      <c r="D201" s="11">
        <f t="shared" si="202"/>
        <v>30.338448371411999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1116.3961628670427</v>
      </c>
      <c r="H201" s="67">
        <f t="shared" si="192"/>
        <v>545.22021758020969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4.5978367779753168E-13</v>
      </c>
      <c r="P201" s="13">
        <f t="shared" si="203"/>
        <v>5.7834153259568991E-12</v>
      </c>
      <c r="Q201" s="20">
        <f t="shared" si="162"/>
        <v>1.0873571598205634E-11</v>
      </c>
      <c r="R201" s="59">
        <f t="shared" si="191"/>
        <v>293.33333333334417</v>
      </c>
      <c r="S201" s="59">
        <f ca="1">AVERAGE(OFFSET($R$3,0,0,'Données projet'!$E$9+1,1))-AVERAGE(OFFSET($H$3,0,0,'Données projet'!$E$9+1,1))</f>
        <v>457.88065872594228</v>
      </c>
      <c r="T201" s="59">
        <f t="shared" si="204"/>
        <v>204.62439362068329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145.39113719516826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145.39113719516826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293.33333333334372</v>
      </c>
      <c r="AN201" s="59">
        <f ca="1">AVERAGE(OFFSET($AM$3,0,0,'Données projet'!$E$10+1,1))-AVERAGE(OFFSET($H$3,0,0,'Données projet'!$E$10+1,1))</f>
        <v>430.16825592717629</v>
      </c>
      <c r="AO201" s="59">
        <f t="shared" si="205"/>
        <v>192.87542067077248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-2.3942448024172337E-14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243.94505553629301</v>
      </c>
      <c r="BJ201" s="59">
        <f t="shared" si="206"/>
        <v>173.05364940250229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31.317624047311391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31.317624047311391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1.1173142411280423E-13</v>
      </c>
      <c r="CA201" s="13">
        <f t="shared" si="170"/>
        <v>1.6569896290553793E-12</v>
      </c>
      <c r="CB201" s="20">
        <f t="shared" si="171"/>
        <v>3.0805225009345862E-12</v>
      </c>
      <c r="CC201" s="59">
        <f t="shared" si="195"/>
        <v>293.33333333333638</v>
      </c>
      <c r="CD201" s="59">
        <f ca="1">AVERAGE(OFFSET($CC$3,0,0,'Données projet'!$E$12+1,1))-AVERAGE(OFFSET($H$3,0,0,'Données projet'!$E$12+1,1))</f>
        <v>140.9558843244115</v>
      </c>
      <c r="CE201" s="59">
        <f t="shared" si="207"/>
        <v>158.88947216184619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6.5108848884251502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6.5108848884251502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4.8316906031686813E-13</v>
      </c>
      <c r="CU201" s="17">
        <f>CT201*VLOOKUP('Données projet'!$B$13,Paramètres!$A$1:$I$89,3,0)*VLOOKUP('Données projet'!$B$13,Paramètres!$A$1:$I$89,5,0)</f>
        <v>4.6732111513847483E-13</v>
      </c>
      <c r="CV201" s="13">
        <f t="shared" si="173"/>
        <v>5.8671100737071438E-12</v>
      </c>
      <c r="CW201" s="20">
        <f t="shared" si="174"/>
        <v>1.1032467653906121E-11</v>
      </c>
      <c r="CX201" s="59">
        <f t="shared" si="196"/>
        <v>293.33333333334434</v>
      </c>
      <c r="CY201" s="59">
        <f ca="1">AVERAGE(OFFSET($CX$3,0,0,'Données projet'!$E$13+1,1))-AVERAGE(OFFSET($H$3,0,0,'Données projet'!$E$13+1,1))</f>
        <v>467.11196088914556</v>
      </c>
      <c r="CZ201" s="59">
        <f t="shared" si="208"/>
        <v>208.53783609106262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147.77459846066276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147.77459846066276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4.8316906031686813E-13</v>
      </c>
      <c r="DP201" s="17">
        <f>DO201*VLOOKUP('Données projet'!$B$14,Paramètres!$A$1:$I$89,3,0)*VLOOKUP('Données projet'!$B$14,Paramètres!$A$1:$I$89,5,0)</f>
        <v>5.2008317652507685E-13</v>
      </c>
      <c r="DQ201" s="13">
        <f t="shared" si="176"/>
        <v>6.4487270587740506E-12</v>
      </c>
      <c r="DR201" s="20">
        <f t="shared" si="177"/>
        <v>1.213734449314598E-11</v>
      </c>
      <c r="DS201" s="59">
        <f t="shared" si="197"/>
        <v>293.33333333334548</v>
      </c>
      <c r="DT201" s="59">
        <f ca="1">AVERAGE(OFFSET($DS$3,0,0,'Données projet'!$E$14+1,1))-AVERAGE(OFFSET($H$3,0,0,'Données projet'!$E$14+1,1))</f>
        <v>531.65020827367698</v>
      </c>
      <c r="DU201" s="59">
        <f t="shared" si="209"/>
        <v>235.89413420278396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164.45882731912468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164.45882731912468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114.86280000000033</v>
      </c>
      <c r="D202" s="11">
        <f t="shared" si="202"/>
        <v>30.473797806271179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1121.8965444694645</v>
      </c>
      <c r="H202" s="67">
        <f t="shared" si="192"/>
        <v>546.46124117925626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4.5978367779753168E-13</v>
      </c>
      <c r="P202" s="13">
        <f t="shared" si="203"/>
        <v>5.7834153259568991E-12</v>
      </c>
      <c r="Q202" s="20">
        <f t="shared" si="162"/>
        <v>1.0873571598205634E-11</v>
      </c>
      <c r="R202" s="59">
        <f t="shared" si="191"/>
        <v>293.33333333334417</v>
      </c>
      <c r="S202" s="59">
        <f ca="1">AVERAGE(OFFSET($R$3,0,0,'Données projet'!$E$9+1,1))-AVERAGE(OFFSET($H$3,0,0,'Données projet'!$E$9+1,1))</f>
        <v>457.88065872594228</v>
      </c>
      <c r="T202" s="59">
        <f t="shared" si="204"/>
        <v>204.62439362068329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142.5401056746083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142.5401056746083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293.33333333334372</v>
      </c>
      <c r="AN202" s="59">
        <f ca="1">AVERAGE(OFFSET($AM$3,0,0,'Données projet'!$E$10+1,1))-AVERAGE(OFFSET($H$3,0,0,'Données projet'!$E$10+1,1))</f>
        <v>430.16825592717629</v>
      </c>
      <c r="AO202" s="59">
        <f t="shared" si="205"/>
        <v>192.87542067077248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-2.3942448024172337E-14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243.94505553629301</v>
      </c>
      <c r="BJ202" s="59">
        <f t="shared" si="206"/>
        <v>173.05364940250229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30.70350454160813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30.70350454160813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1.1173142411280423E-13</v>
      </c>
      <c r="CA202" s="13">
        <f t="shared" si="170"/>
        <v>1.6569896290553793E-12</v>
      </c>
      <c r="CB202" s="20">
        <f t="shared" si="171"/>
        <v>3.0805225009345862E-12</v>
      </c>
      <c r="CC202" s="59">
        <f t="shared" si="195"/>
        <v>293.33333333333638</v>
      </c>
      <c r="CD202" s="59">
        <f ca="1">AVERAGE(OFFSET($CC$3,0,0,'Données projet'!$E$12+1,1))-AVERAGE(OFFSET($H$3,0,0,'Données projet'!$E$12+1,1))</f>
        <v>140.9558843244115</v>
      </c>
      <c r="CE202" s="59">
        <f t="shared" si="207"/>
        <v>158.88947216184619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6.3832104070107869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6.3832104070107869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4.8316906031686813E-13</v>
      </c>
      <c r="CU202" s="17">
        <f>CT202*VLOOKUP('Données projet'!$B$13,Paramètres!$A$1:$I$89,3,0)*VLOOKUP('Données projet'!$B$13,Paramètres!$A$1:$I$89,5,0)</f>
        <v>4.6732111513847483E-13</v>
      </c>
      <c r="CV202" s="13">
        <f t="shared" si="173"/>
        <v>5.8671100737071438E-12</v>
      </c>
      <c r="CW202" s="20">
        <f t="shared" si="174"/>
        <v>1.1032467653906121E-11</v>
      </c>
      <c r="CX202" s="59">
        <f t="shared" si="196"/>
        <v>293.33333333334434</v>
      </c>
      <c r="CY202" s="59">
        <f ca="1">AVERAGE(OFFSET($CX$3,0,0,'Données projet'!$E$13+1,1))-AVERAGE(OFFSET($H$3,0,0,'Données projet'!$E$13+1,1))</f>
        <v>467.11196088914556</v>
      </c>
      <c r="CZ202" s="59">
        <f t="shared" si="208"/>
        <v>208.53783609106262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144.87682871845428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144.87682871845428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4.8316906031686813E-13</v>
      </c>
      <c r="DP202" s="17">
        <f>DO202*VLOOKUP('Données projet'!$B$14,Paramètres!$A$1:$I$89,3,0)*VLOOKUP('Données projet'!$B$14,Paramètres!$A$1:$I$89,5,0)</f>
        <v>5.2008317652507685E-13</v>
      </c>
      <c r="DQ202" s="13">
        <f t="shared" si="176"/>
        <v>6.4487270587740506E-12</v>
      </c>
      <c r="DR202" s="20">
        <f t="shared" si="177"/>
        <v>1.213734449314598E-11</v>
      </c>
      <c r="DS202" s="59">
        <f t="shared" si="197"/>
        <v>293.33333333334548</v>
      </c>
      <c r="DT202" s="59">
        <f ca="1">AVERAGE(OFFSET($DS$3,0,0,'Données projet'!$E$14+1,1))-AVERAGE(OFFSET($H$3,0,0,'Données projet'!$E$14+1,1))</f>
        <v>531.65020827367698</v>
      </c>
      <c r="DU202" s="59">
        <f t="shared" si="209"/>
        <v>235.89413420278396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161.23389002537652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161.23389002537652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115.44000000000034</v>
      </c>
      <c r="D203" s="11">
        <f t="shared" si="202"/>
        <v>30.609068094710292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1127.3963151170647</v>
      </c>
      <c r="H203" s="67">
        <f t="shared" si="192"/>
        <v>547.70212693162102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4.5978367779753168E-13</v>
      </c>
      <c r="P203" s="13">
        <f t="shared" si="203"/>
        <v>5.7834153259568991E-12</v>
      </c>
      <c r="Q203" s="20">
        <f t="shared" si="162"/>
        <v>1.0873571598205634E-11</v>
      </c>
      <c r="R203" s="59">
        <f t="shared" si="191"/>
        <v>293.33333333334417</v>
      </c>
      <c r="S203" s="59">
        <f ca="1">AVERAGE(OFFSET($R$3,0,0,'Données projet'!$E$9+1,1))-AVERAGE(OFFSET($H$3,0,0,'Données projet'!$E$9+1,1))</f>
        <v>457.88065872594228</v>
      </c>
      <c r="T203" s="59">
        <f t="shared" si="204"/>
        <v>204.62439362068329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139.744981143209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139.744981143209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293.33333333334372</v>
      </c>
      <c r="AN203" s="59">
        <f ca="1">AVERAGE(OFFSET($AM$3,0,0,'Données projet'!$E$10+1,1))-AVERAGE(OFFSET($H$3,0,0,'Données projet'!$E$10+1,1))</f>
        <v>430.16825592717629</v>
      </c>
      <c r="AO203" s="59">
        <f t="shared" si="205"/>
        <v>192.87542067077248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-2.3942448024172337E-14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243.94505553629301</v>
      </c>
      <c r="BJ203" s="59">
        <f t="shared" si="206"/>
        <v>173.05364940250229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30.101427544835797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30.101427544835797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1.1173142411280423E-13</v>
      </c>
      <c r="CA203" s="13">
        <f t="shared" si="170"/>
        <v>1.6569896290553793E-12</v>
      </c>
      <c r="CB203" s="20">
        <f t="shared" si="171"/>
        <v>3.0805225009345862E-12</v>
      </c>
      <c r="CC203" s="59">
        <f t="shared" si="195"/>
        <v>293.33333333333638</v>
      </c>
      <c r="CD203" s="59">
        <f ca="1">AVERAGE(OFFSET($CC$3,0,0,'Données projet'!$E$12+1,1))-AVERAGE(OFFSET($H$3,0,0,'Données projet'!$E$12+1,1))</f>
        <v>140.9558843244115</v>
      </c>
      <c r="CE203" s="59">
        <f t="shared" si="207"/>
        <v>158.88947216184619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6.2580395443032151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6.2580395443032151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4.8316906031686813E-13</v>
      </c>
      <c r="CU203" s="17">
        <f>CT203*VLOOKUP('Données projet'!$B$13,Paramètres!$A$1:$I$89,3,0)*VLOOKUP('Données projet'!$B$13,Paramètres!$A$1:$I$89,5,0)</f>
        <v>4.6732111513847483E-13</v>
      </c>
      <c r="CV203" s="13">
        <f t="shared" si="173"/>
        <v>5.8671100737071438E-12</v>
      </c>
      <c r="CW203" s="20">
        <f t="shared" si="174"/>
        <v>1.1032467653906121E-11</v>
      </c>
      <c r="CX203" s="59">
        <f t="shared" si="196"/>
        <v>293.33333333334434</v>
      </c>
      <c r="CY203" s="59">
        <f ca="1">AVERAGE(OFFSET($CX$3,0,0,'Données projet'!$E$13+1,1))-AVERAGE(OFFSET($H$3,0,0,'Données projet'!$E$13+1,1))</f>
        <v>467.11196088914556</v>
      </c>
      <c r="CZ203" s="59">
        <f t="shared" si="208"/>
        <v>208.53783609106262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142.03588247342549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142.03588247342549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4.8316906031686813E-13</v>
      </c>
      <c r="DP203" s="17">
        <f>DO203*VLOOKUP('Données projet'!$B$14,Paramètres!$A$1:$I$89,3,0)*VLOOKUP('Données projet'!$B$14,Paramètres!$A$1:$I$89,5,0)</f>
        <v>5.2008317652507685E-13</v>
      </c>
      <c r="DQ203" s="13">
        <f t="shared" si="176"/>
        <v>6.4487270587740506E-12</v>
      </c>
      <c r="DR203" s="20">
        <f t="shared" si="177"/>
        <v>1.213734449314598E-11</v>
      </c>
      <c r="DS203" s="59">
        <f t="shared" si="197"/>
        <v>293.33333333334548</v>
      </c>
      <c r="DT203" s="59">
        <f ca="1">AVERAGE(OFFSET($DS$3,0,0,'Données projet'!$E$14+1,1))-AVERAGE(OFFSET($H$3,0,0,'Données projet'!$E$14+1,1))</f>
        <v>531.65020827367698</v>
      </c>
      <c r="DU203" s="59">
        <f t="shared" si="209"/>
        <v>235.89413420278396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158.07219178494125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158.07219178494125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98</v>
      </c>
      <c r="BA204" s="81" t="s">
        <v>98</v>
      </c>
      <c r="BV204" s="81" t="s">
        <v>98</v>
      </c>
      <c r="CQ204" s="81" t="s">
        <v>98</v>
      </c>
      <c r="DL204" s="81" t="s">
        <v>98</v>
      </c>
      <c r="EG204" s="81" t="s">
        <v>98</v>
      </c>
      <c r="FB204" s="81" t="s">
        <v>98</v>
      </c>
      <c r="FW204" s="81" t="s">
        <v>98</v>
      </c>
      <c r="GR204" s="81" t="s">
        <v>98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1.1398946049533631</v>
      </c>
      <c r="BV205" s="82">
        <f>EXP(LN('Données projet'!B114)/'Données projet'!A114)</f>
        <v>1.2457309396155174</v>
      </c>
      <c r="CQ205" s="82">
        <f>EXP(LN('Données projet'!B140)/'Données projet'!A140)</f>
        <v>1.1289835501862808</v>
      </c>
      <c r="DL205" s="82">
        <f>EXP(LN('Données projet'!B166)/'Données projet'!A166)</f>
        <v>1.1289835501862808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99</v>
      </c>
      <c r="B1" s="112" t="s">
        <v>100</v>
      </c>
      <c r="C1" s="113" t="s">
        <v>101</v>
      </c>
      <c r="D1" s="112" t="s">
        <v>102</v>
      </c>
      <c r="E1" s="113" t="s">
        <v>103</v>
      </c>
      <c r="F1" s="113" t="s">
        <v>102</v>
      </c>
      <c r="G1" s="113" t="s">
        <v>104</v>
      </c>
      <c r="H1" s="113" t="s">
        <v>102</v>
      </c>
      <c r="I1" s="114" t="s">
        <v>105</v>
      </c>
      <c r="J1" s="78"/>
      <c r="K1" s="78"/>
      <c r="L1" s="78"/>
      <c r="M1" s="78"/>
      <c r="N1" s="78"/>
    </row>
    <row r="2" spans="1:16" x14ac:dyDescent="0.3">
      <c r="A2" s="115" t="s">
        <v>106</v>
      </c>
      <c r="B2" s="116" t="s">
        <v>107</v>
      </c>
      <c r="C2" s="117">
        <v>0.62</v>
      </c>
      <c r="D2" s="117" t="s">
        <v>108</v>
      </c>
      <c r="E2" s="117">
        <v>1.56</v>
      </c>
      <c r="F2" s="117" t="s">
        <v>109</v>
      </c>
      <c r="G2" s="118">
        <v>0.43</v>
      </c>
      <c r="H2" s="119" t="s">
        <v>110</v>
      </c>
      <c r="I2" s="120">
        <v>0.25</v>
      </c>
      <c r="J2" s="78"/>
      <c r="K2" s="78"/>
      <c r="L2" s="78"/>
      <c r="M2" s="78"/>
      <c r="N2" s="78"/>
      <c r="O2" s="281" t="s">
        <v>111</v>
      </c>
      <c r="P2" s="121">
        <v>0</v>
      </c>
    </row>
    <row r="3" spans="1:16" ht="15" thickBot="1" x14ac:dyDescent="0.35">
      <c r="A3" s="122" t="s">
        <v>112</v>
      </c>
      <c r="B3" s="123" t="s">
        <v>113</v>
      </c>
      <c r="C3" s="124">
        <v>0.64</v>
      </c>
      <c r="D3" s="124" t="s">
        <v>108</v>
      </c>
      <c r="E3" s="124">
        <v>1.56</v>
      </c>
      <c r="F3" s="125" t="s">
        <v>109</v>
      </c>
      <c r="G3" s="126">
        <v>0.43</v>
      </c>
      <c r="H3" s="124" t="s">
        <v>110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114</v>
      </c>
      <c r="B4" s="123" t="s">
        <v>115</v>
      </c>
      <c r="C4" s="124">
        <v>0.42</v>
      </c>
      <c r="D4" s="124" t="s">
        <v>108</v>
      </c>
      <c r="E4" s="124">
        <v>1.56</v>
      </c>
      <c r="F4" s="125" t="s">
        <v>109</v>
      </c>
      <c r="G4" s="126">
        <v>0.43</v>
      </c>
      <c r="H4" s="124" t="s">
        <v>110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116</v>
      </c>
      <c r="B5" s="123" t="s">
        <v>117</v>
      </c>
      <c r="C5" s="124">
        <v>0.42</v>
      </c>
      <c r="D5" s="124" t="s">
        <v>108</v>
      </c>
      <c r="E5" s="124">
        <v>1.56</v>
      </c>
      <c r="F5" s="125" t="s">
        <v>109</v>
      </c>
      <c r="G5" s="126">
        <v>0.43</v>
      </c>
      <c r="H5" s="124" t="s">
        <v>110</v>
      </c>
      <c r="I5" s="127">
        <v>0.25</v>
      </c>
      <c r="J5" s="78"/>
      <c r="K5" s="78"/>
      <c r="L5" s="78"/>
      <c r="M5" s="78"/>
      <c r="N5" s="78"/>
      <c r="O5" s="281" t="s">
        <v>118</v>
      </c>
      <c r="P5" s="121">
        <v>0</v>
      </c>
    </row>
    <row r="6" spans="1:16" x14ac:dyDescent="0.3">
      <c r="A6" s="122" t="s">
        <v>119</v>
      </c>
      <c r="B6" s="123" t="s">
        <v>120</v>
      </c>
      <c r="C6" s="124">
        <v>0.42</v>
      </c>
      <c r="D6" s="124" t="s">
        <v>108</v>
      </c>
      <c r="E6" s="124">
        <v>1.56</v>
      </c>
      <c r="F6" s="125" t="s">
        <v>109</v>
      </c>
      <c r="G6" s="126">
        <v>0.43</v>
      </c>
      <c r="H6" s="124" t="s">
        <v>110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121</v>
      </c>
      <c r="B7" s="123" t="s">
        <v>122</v>
      </c>
      <c r="C7" s="124">
        <v>0.52</v>
      </c>
      <c r="D7" s="124" t="s">
        <v>108</v>
      </c>
      <c r="E7" s="124">
        <v>1.56</v>
      </c>
      <c r="F7" s="125" t="s">
        <v>109</v>
      </c>
      <c r="G7" s="126">
        <v>0.43</v>
      </c>
      <c r="H7" s="124" t="s">
        <v>110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123</v>
      </c>
      <c r="B8" s="123" t="s">
        <v>124</v>
      </c>
      <c r="C8" s="124">
        <v>0.36</v>
      </c>
      <c r="D8" s="124" t="s">
        <v>108</v>
      </c>
      <c r="E8" s="124">
        <v>1.3</v>
      </c>
      <c r="F8" s="125" t="s">
        <v>109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126</v>
      </c>
      <c r="B9" s="123" t="s">
        <v>127</v>
      </c>
      <c r="C9" s="124">
        <v>0.61</v>
      </c>
      <c r="D9" s="124" t="s">
        <v>108</v>
      </c>
      <c r="E9" s="124">
        <v>1.56</v>
      </c>
      <c r="F9" s="125" t="s">
        <v>109</v>
      </c>
      <c r="G9" s="126">
        <v>0.43</v>
      </c>
      <c r="H9" s="124" t="s">
        <v>110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128</v>
      </c>
      <c r="B10" s="123" t="s">
        <v>129</v>
      </c>
      <c r="C10" s="124">
        <v>0.66</v>
      </c>
      <c r="D10" s="124" t="s">
        <v>108</v>
      </c>
      <c r="E10" s="124">
        <v>1.56</v>
      </c>
      <c r="F10" s="125" t="s">
        <v>109</v>
      </c>
      <c r="G10" s="126">
        <v>0.43</v>
      </c>
      <c r="H10" s="124" t="s">
        <v>110</v>
      </c>
      <c r="I10" s="127">
        <v>0.25</v>
      </c>
      <c r="J10" s="78"/>
      <c r="K10" s="78"/>
      <c r="L10" s="78"/>
      <c r="M10" s="78"/>
      <c r="N10" s="78"/>
      <c r="O10" s="281" t="s">
        <v>130</v>
      </c>
      <c r="P10" s="121">
        <v>0</v>
      </c>
    </row>
    <row r="11" spans="1:16" ht="15" thickBot="1" x14ac:dyDescent="0.35">
      <c r="A11" s="122" t="s">
        <v>131</v>
      </c>
      <c r="B11" s="123" t="s">
        <v>132</v>
      </c>
      <c r="C11" s="124">
        <v>0.47</v>
      </c>
      <c r="D11" s="124" t="s">
        <v>108</v>
      </c>
      <c r="E11" s="124">
        <v>1.56</v>
      </c>
      <c r="F11" s="125" t="s">
        <v>109</v>
      </c>
      <c r="G11" s="126">
        <v>0.43</v>
      </c>
      <c r="H11" s="124" t="s">
        <v>110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133</v>
      </c>
      <c r="B12" s="123" t="s">
        <v>134</v>
      </c>
      <c r="C12" s="124">
        <v>0.67</v>
      </c>
      <c r="D12" s="124" t="s">
        <v>108</v>
      </c>
      <c r="E12" s="124">
        <v>1.56</v>
      </c>
      <c r="F12" s="125" t="s">
        <v>109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136</v>
      </c>
      <c r="B13" s="123" t="s">
        <v>137</v>
      </c>
      <c r="C13" s="124">
        <v>0.7</v>
      </c>
      <c r="D13" s="124" t="s">
        <v>108</v>
      </c>
      <c r="E13" s="124">
        <v>1.56</v>
      </c>
      <c r="F13" s="125" t="s">
        <v>109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138</v>
      </c>
      <c r="B14" s="123" t="s">
        <v>139</v>
      </c>
      <c r="C14" s="124">
        <v>0.54</v>
      </c>
      <c r="D14" s="124" t="s">
        <v>108</v>
      </c>
      <c r="E14" s="124">
        <v>1.56</v>
      </c>
      <c r="F14" s="125" t="s">
        <v>109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140</v>
      </c>
      <c r="B15" s="123" t="s">
        <v>141</v>
      </c>
      <c r="C15" s="124">
        <v>0.65</v>
      </c>
      <c r="D15" s="124" t="s">
        <v>108</v>
      </c>
      <c r="E15" s="124">
        <v>1.56</v>
      </c>
      <c r="F15" s="125" t="s">
        <v>109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142</v>
      </c>
      <c r="B16" s="123" t="s">
        <v>143</v>
      </c>
      <c r="C16" s="124">
        <v>0.56000000000000005</v>
      </c>
      <c r="D16" s="124" t="s">
        <v>108</v>
      </c>
      <c r="E16" s="124">
        <v>1.56</v>
      </c>
      <c r="F16" s="125" t="s">
        <v>109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144</v>
      </c>
      <c r="B17" s="123" t="s">
        <v>145</v>
      </c>
      <c r="C17" s="124">
        <v>0.57999999999999996</v>
      </c>
      <c r="D17" s="124" t="s">
        <v>108</v>
      </c>
      <c r="E17" s="124">
        <v>1.56</v>
      </c>
      <c r="F17" s="125" t="s">
        <v>109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146</v>
      </c>
      <c r="B18" s="123" t="s">
        <v>147</v>
      </c>
      <c r="C18" s="124">
        <v>0.64</v>
      </c>
      <c r="D18" s="124" t="s">
        <v>108</v>
      </c>
      <c r="E18" s="124">
        <v>1.56</v>
      </c>
      <c r="F18" s="125" t="s">
        <v>109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148</v>
      </c>
      <c r="B19" s="123" t="s">
        <v>149</v>
      </c>
      <c r="C19" s="124">
        <v>0.73</v>
      </c>
      <c r="D19" s="124" t="s">
        <v>108</v>
      </c>
      <c r="E19" s="124">
        <v>1.56</v>
      </c>
      <c r="F19" s="125" t="s">
        <v>109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109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108</v>
      </c>
      <c r="E21" s="124">
        <v>1.3</v>
      </c>
      <c r="F21" s="125" t="s">
        <v>109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156</v>
      </c>
      <c r="B22" s="123" t="s">
        <v>157</v>
      </c>
      <c r="C22" s="124">
        <v>0.4</v>
      </c>
      <c r="D22" s="124" t="s">
        <v>108</v>
      </c>
      <c r="E22" s="124">
        <v>1.3</v>
      </c>
      <c r="F22" s="125" t="s">
        <v>109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158</v>
      </c>
      <c r="B23" s="123" t="s">
        <v>159</v>
      </c>
      <c r="C23" s="124">
        <v>0.43</v>
      </c>
      <c r="D23" s="124" t="s">
        <v>108</v>
      </c>
      <c r="E23" s="124">
        <v>1.3</v>
      </c>
      <c r="F23" s="125" t="s">
        <v>109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160</v>
      </c>
      <c r="B24" s="123" t="s">
        <v>161</v>
      </c>
      <c r="C24" s="124">
        <v>0.37</v>
      </c>
      <c r="D24" s="124" t="s">
        <v>108</v>
      </c>
      <c r="E24" s="124">
        <v>1.3</v>
      </c>
      <c r="F24" s="125" t="s">
        <v>109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162</v>
      </c>
      <c r="B25" s="123" t="s">
        <v>163</v>
      </c>
      <c r="C25" s="124">
        <v>0.36</v>
      </c>
      <c r="D25" s="124" t="s">
        <v>108</v>
      </c>
      <c r="E25" s="124">
        <v>1.3</v>
      </c>
      <c r="F25" s="125" t="s">
        <v>109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164</v>
      </c>
      <c r="B26" s="123" t="s">
        <v>165</v>
      </c>
      <c r="C26" s="124">
        <v>0.56000000000000005</v>
      </c>
      <c r="D26" s="124" t="s">
        <v>108</v>
      </c>
      <c r="E26" s="124">
        <v>1.56</v>
      </c>
      <c r="F26" s="125" t="s">
        <v>109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167</v>
      </c>
      <c r="B27" s="123" t="s">
        <v>168</v>
      </c>
      <c r="C27" s="124">
        <v>0.51</v>
      </c>
      <c r="D27" s="124" t="s">
        <v>108</v>
      </c>
      <c r="E27" s="124">
        <v>1.56</v>
      </c>
      <c r="F27" s="125" t="s">
        <v>109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169</v>
      </c>
      <c r="B28" s="123" t="s">
        <v>170</v>
      </c>
      <c r="C28" s="124">
        <v>0.51</v>
      </c>
      <c r="D28" s="124" t="s">
        <v>108</v>
      </c>
      <c r="E28" s="124">
        <v>1.56</v>
      </c>
      <c r="F28" s="125" t="s">
        <v>109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171</v>
      </c>
      <c r="B29" s="123" t="s">
        <v>171</v>
      </c>
      <c r="C29" s="124">
        <v>0.56000000000000005</v>
      </c>
      <c r="D29" s="124" t="s">
        <v>108</v>
      </c>
      <c r="E29" s="124">
        <v>1.56</v>
      </c>
      <c r="F29" s="125" t="s">
        <v>109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172</v>
      </c>
      <c r="B30" s="123" t="s">
        <v>173</v>
      </c>
      <c r="C30" s="124">
        <v>0.55000000000000004</v>
      </c>
      <c r="D30" s="124" t="s">
        <v>108</v>
      </c>
      <c r="E30" s="124">
        <v>1.56</v>
      </c>
      <c r="F30" s="125" t="s">
        <v>109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174</v>
      </c>
      <c r="B31" s="123" t="s">
        <v>175</v>
      </c>
      <c r="C31" s="124">
        <v>0.56000000000000005</v>
      </c>
      <c r="D31" s="124" t="s">
        <v>108</v>
      </c>
      <c r="E31" s="124">
        <v>1.56</v>
      </c>
      <c r="F31" s="125" t="s">
        <v>109</v>
      </c>
      <c r="G31" s="126">
        <v>0.43</v>
      </c>
      <c r="H31" s="124" t="s">
        <v>110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176</v>
      </c>
      <c r="B32" s="123" t="s">
        <v>177</v>
      </c>
      <c r="C32" s="124">
        <v>0.48</v>
      </c>
      <c r="D32" s="124" t="s">
        <v>108</v>
      </c>
      <c r="E32" s="124">
        <v>1.3</v>
      </c>
      <c r="F32" s="125" t="s">
        <v>109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179</v>
      </c>
      <c r="B33" s="123" t="s">
        <v>180</v>
      </c>
      <c r="C33" s="124">
        <v>0.42</v>
      </c>
      <c r="D33" s="124" t="s">
        <v>108</v>
      </c>
      <c r="E33" s="124">
        <v>1.3</v>
      </c>
      <c r="F33" s="125" t="s">
        <v>109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109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185</v>
      </c>
      <c r="B35" s="123" t="s">
        <v>186</v>
      </c>
      <c r="C35" s="124">
        <v>0.5</v>
      </c>
      <c r="D35" s="124" t="s">
        <v>108</v>
      </c>
      <c r="E35" s="124">
        <v>1.56</v>
      </c>
      <c r="F35" s="125" t="s">
        <v>109</v>
      </c>
      <c r="G35" s="126">
        <v>0.43</v>
      </c>
      <c r="H35" s="124" t="s">
        <v>110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187</v>
      </c>
      <c r="B36" s="123" t="s">
        <v>188</v>
      </c>
      <c r="C36" s="124">
        <v>0.55000000000000004</v>
      </c>
      <c r="D36" s="124" t="s">
        <v>108</v>
      </c>
      <c r="E36" s="124">
        <v>1.56</v>
      </c>
      <c r="F36" s="125" t="s">
        <v>109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189</v>
      </c>
      <c r="B37" s="123" t="s">
        <v>190</v>
      </c>
      <c r="C37" s="124">
        <v>0.52</v>
      </c>
      <c r="D37" s="124" t="s">
        <v>108</v>
      </c>
      <c r="E37" s="124">
        <v>1.56</v>
      </c>
      <c r="F37" s="125" t="s">
        <v>109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191</v>
      </c>
      <c r="B38" s="123" t="s">
        <v>192</v>
      </c>
      <c r="C38" s="124">
        <v>0.52</v>
      </c>
      <c r="D38" s="124" t="s">
        <v>108</v>
      </c>
      <c r="E38" s="124">
        <v>1.56</v>
      </c>
      <c r="F38" s="125" t="s">
        <v>109</v>
      </c>
      <c r="G38" s="126">
        <v>0.43</v>
      </c>
      <c r="H38" s="124" t="s">
        <v>110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109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109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109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109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109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109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109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109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109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109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109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109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109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109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109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109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109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109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109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109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109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109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109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219</v>
      </c>
      <c r="B62" s="123" t="s">
        <v>220</v>
      </c>
      <c r="C62" s="124">
        <v>0.37</v>
      </c>
      <c r="D62" s="124" t="s">
        <v>108</v>
      </c>
      <c r="E62" s="124">
        <v>1.56</v>
      </c>
      <c r="F62" s="125" t="s">
        <v>109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221</v>
      </c>
      <c r="B63" s="123" t="s">
        <v>222</v>
      </c>
      <c r="C63" s="124">
        <v>0.45</v>
      </c>
      <c r="D63" s="124" t="s">
        <v>108</v>
      </c>
      <c r="E63" s="124">
        <v>1.3</v>
      </c>
      <c r="F63" s="125" t="s">
        <v>109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224</v>
      </c>
      <c r="B64" s="123" t="s">
        <v>225</v>
      </c>
      <c r="C64" s="124">
        <v>0.39</v>
      </c>
      <c r="D64" s="124" t="s">
        <v>108</v>
      </c>
      <c r="E64" s="124">
        <v>1.3</v>
      </c>
      <c r="F64" s="125" t="s">
        <v>109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226</v>
      </c>
      <c r="B65" s="123" t="s">
        <v>227</v>
      </c>
      <c r="C65" s="124">
        <v>0.44</v>
      </c>
      <c r="D65" s="124" t="s">
        <v>108</v>
      </c>
      <c r="E65" s="124">
        <v>1.3</v>
      </c>
      <c r="F65" s="125" t="s">
        <v>109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228</v>
      </c>
      <c r="B66" s="123" t="s">
        <v>229</v>
      </c>
      <c r="C66" s="124">
        <v>0.46</v>
      </c>
      <c r="D66" s="124" t="s">
        <v>108</v>
      </c>
      <c r="E66" s="124">
        <v>1.3</v>
      </c>
      <c r="F66" s="125" t="s">
        <v>109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230</v>
      </c>
      <c r="B67" s="123" t="s">
        <v>231</v>
      </c>
      <c r="C67" s="124">
        <v>0.46</v>
      </c>
      <c r="D67" s="124" t="s">
        <v>108</v>
      </c>
      <c r="E67" s="124">
        <v>1.3</v>
      </c>
      <c r="F67" s="125" t="s">
        <v>109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232</v>
      </c>
      <c r="B68" s="123" t="s">
        <v>233</v>
      </c>
      <c r="C68" s="124">
        <v>0.44</v>
      </c>
      <c r="D68" s="124" t="s">
        <v>108</v>
      </c>
      <c r="E68" s="124">
        <v>1.3</v>
      </c>
      <c r="F68" s="125" t="s">
        <v>109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234</v>
      </c>
      <c r="B69" s="123" t="s">
        <v>235</v>
      </c>
      <c r="C69" s="124">
        <v>0.46</v>
      </c>
      <c r="D69" s="124" t="s">
        <v>108</v>
      </c>
      <c r="E69" s="124">
        <v>1.3</v>
      </c>
      <c r="F69" s="125" t="s">
        <v>109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236</v>
      </c>
      <c r="B70" s="123" t="s">
        <v>237</v>
      </c>
      <c r="C70" s="124">
        <v>0.48</v>
      </c>
      <c r="D70" s="124" t="s">
        <v>108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109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242</v>
      </c>
      <c r="B72" s="123" t="s">
        <v>243</v>
      </c>
      <c r="C72" s="124">
        <v>0.44</v>
      </c>
      <c r="D72" s="124" t="s">
        <v>108</v>
      </c>
      <c r="E72" s="124">
        <v>1.3</v>
      </c>
      <c r="F72" s="125" t="s">
        <v>109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109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108</v>
      </c>
      <c r="E74" s="124">
        <v>1.3</v>
      </c>
      <c r="F74" s="125" t="s">
        <v>109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108</v>
      </c>
      <c r="E75" s="124">
        <v>1.56</v>
      </c>
      <c r="F75" s="125" t="s">
        <v>109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108</v>
      </c>
      <c r="E76" s="124">
        <v>1.56</v>
      </c>
      <c r="F76" s="125" t="s">
        <v>109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108</v>
      </c>
      <c r="E77" s="124">
        <v>1.3</v>
      </c>
      <c r="F77" s="125" t="s">
        <v>109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108</v>
      </c>
      <c r="E78" s="124">
        <v>1.3</v>
      </c>
      <c r="F78" s="125" t="s">
        <v>109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108</v>
      </c>
      <c r="E79" s="124">
        <v>1.3</v>
      </c>
      <c r="F79" s="125" t="s">
        <v>109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108</v>
      </c>
      <c r="E80" s="124">
        <v>1.3</v>
      </c>
      <c r="F80" s="125" t="s">
        <v>109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108</v>
      </c>
      <c r="E81" s="124">
        <v>1.56</v>
      </c>
      <c r="F81" s="125" t="s">
        <v>109</v>
      </c>
      <c r="G81" s="126">
        <v>0.43</v>
      </c>
      <c r="H81" s="124" t="s">
        <v>110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109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108</v>
      </c>
      <c r="E83" s="124">
        <v>1.3</v>
      </c>
      <c r="F83" s="125" t="s">
        <v>109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108</v>
      </c>
      <c r="E84" s="124">
        <v>1.3</v>
      </c>
      <c r="F84" s="125" t="s">
        <v>109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108</v>
      </c>
      <c r="E85" s="124">
        <v>1.56</v>
      </c>
      <c r="F85" s="125" t="s">
        <v>109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108</v>
      </c>
      <c r="E86" s="124">
        <v>1.56</v>
      </c>
      <c r="F86" s="125" t="s">
        <v>109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109</v>
      </c>
      <c r="G87" s="255">
        <v>0.43</v>
      </c>
      <c r="H87" s="253" t="s">
        <v>110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68</v>
      </c>
      <c r="B88" s="130"/>
      <c r="C88" s="124">
        <v>0.42</v>
      </c>
      <c r="D88" s="124" t="s">
        <v>108</v>
      </c>
      <c r="E88" s="124">
        <v>1.3</v>
      </c>
      <c r="F88" s="125" t="s">
        <v>109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108</v>
      </c>
      <c r="E89" s="135">
        <v>1.56</v>
      </c>
      <c r="F89" s="135" t="s">
        <v>109</v>
      </c>
      <c r="G89" s="134"/>
      <c r="H89" s="134"/>
      <c r="I89" s="137"/>
    </row>
    <row r="93" spans="1:14" x14ac:dyDescent="0.3">
      <c r="A93" s="122" t="s">
        <v>69</v>
      </c>
    </row>
    <row r="94" spans="1:14" x14ac:dyDescent="0.3">
      <c r="A94" s="122" t="s">
        <v>70</v>
      </c>
    </row>
    <row r="95" spans="1:14" x14ac:dyDescent="0.3">
      <c r="A95" s="122" t="s">
        <v>71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2" sqref="M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Charme</v>
      </c>
      <c r="B6" s="146">
        <f>'Données projet'!D9</f>
        <v>0.76423570969813726</v>
      </c>
      <c r="C6" s="147">
        <f ca="1">IF(OR('Données projet'!B9="",'Données projet'!C9="",'Données projet'!C9=0%),0,Calculateur!S3)</f>
        <v>457.88065872594228</v>
      </c>
      <c r="D6" s="147">
        <f>IF(OR('Données projet'!B9="",'Données projet'!C9="",'Données projet'!C9=0%),0,Calculateur!T3)</f>
        <v>204.62439362068329</v>
      </c>
      <c r="E6" s="147">
        <f ca="1">MIN(C6,D6)</f>
        <v>204.62439362068329</v>
      </c>
      <c r="F6" s="147">
        <f ca="1">E6*B6</f>
        <v>156.3812686802539</v>
      </c>
      <c r="G6" s="147">
        <f ca="1">F6*(100%-'Données projet'!$C$24)*(100%-'Données projet'!$C$25)*(100%-'Données projet'!$C$26)*(100%-'Données projet'!$C$27)</f>
        <v>126.66882763100567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126.66882763100567</v>
      </c>
      <c r="M6" s="23">
        <f t="shared" ref="M6:M11" ca="1" si="0">L6/B6</f>
        <v>165.74575883275349</v>
      </c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0.65050016056518944</v>
      </c>
      <c r="C7" s="147">
        <f ca="1">IF(OR('Données projet'!B10="",'Données projet'!C10="",'Données projet'!C10=0%),0,Calculateur!AN3)</f>
        <v>430.16825592717629</v>
      </c>
      <c r="D7" s="147">
        <f>IF(OR('Données projet'!B10="",'Données projet'!C10="",'Données projet'!C10=0%),0,Calculateur!AO3)</f>
        <v>192.87542067077248</v>
      </c>
      <c r="E7" s="147">
        <f t="shared" ref="E7:E15" ca="1" si="1">MIN(C7,D7)</f>
        <v>192.87542067077248</v>
      </c>
      <c r="F7" s="147">
        <f t="shared" ref="F7:F15" ca="1" si="2">E7*B7</f>
        <v>125.46549211541596</v>
      </c>
      <c r="G7" s="147">
        <f ca="1">F7*(100%-'Données projet'!$C$24)*(100%-'Données projet'!$C$25)*(100%-'Données projet'!$C$26)*(100%-'Données projet'!$C$27)</f>
        <v>101.62704861348693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3">G7+I7+K7</f>
        <v>101.62704861348693</v>
      </c>
      <c r="M7" s="23">
        <f t="shared" ca="1" si="0"/>
        <v>156.22909074332571</v>
      </c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pédonculé</v>
      </c>
      <c r="B8" s="154">
        <f>'Données projet'!D11</f>
        <v>0.50971539820166978</v>
      </c>
      <c r="C8" s="147">
        <f ca="1">IF(OR('Données projet'!B11="",'Données projet'!C11="",'Données projet'!C11=0%),0,Calculateur!BI3)</f>
        <v>243.94505553629301</v>
      </c>
      <c r="D8" s="147">
        <f>IF(OR('Données projet'!B11="",'Données projet'!C11="",'Données projet'!C11=0%),0,Calculateur!BJ3)</f>
        <v>173.05364940250229</v>
      </c>
      <c r="E8" s="147">
        <f t="shared" ca="1" si="1"/>
        <v>173.05364940250229</v>
      </c>
      <c r="F8" s="147">
        <f t="shared" ca="1" si="2"/>
        <v>88.208109815448609</v>
      </c>
      <c r="G8" s="147">
        <f ca="1">F8*(100%-'Données projet'!$C$24)*(100%-'Données projet'!$C$25)*(100%-'Données projet'!$C$26)*(100%-'Données projet'!$C$27)</f>
        <v>71.448568950513376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3"/>
        <v>71.448568950513376</v>
      </c>
      <c r="M8" s="23">
        <f t="shared" ca="1" si="0"/>
        <v>140.17345601602688</v>
      </c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Aulne glutineux</v>
      </c>
      <c r="B9" s="154">
        <f>'Données projet'!D12</f>
        <v>0.19590277777777779</v>
      </c>
      <c r="C9" s="147">
        <f ca="1">IF(OR('Données projet'!B12="",'Données projet'!C12="",'Données projet'!C12=0%),0,Calculateur!CD3)</f>
        <v>140.9558843244115</v>
      </c>
      <c r="D9" s="147">
        <f>IF(OR('Données projet'!B12="",'Données projet'!C12="",'Données projet'!C12=0%),0,Calculateur!CE3)</f>
        <v>158.88947216184619</v>
      </c>
      <c r="E9" s="147">
        <f t="shared" ca="1" si="1"/>
        <v>140.9558843244115</v>
      </c>
      <c r="F9" s="147">
        <f t="shared" ca="1" si="2"/>
        <v>27.613649283275336</v>
      </c>
      <c r="G9" s="147">
        <f ca="1">F9*(100%-'Données projet'!$C$24)*(100%-'Données projet'!$C$25)*(100%-'Données projet'!$C$26)*(100%-'Données projet'!$C$27)</f>
        <v>22.367055919453023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2.4977604166666669</v>
      </c>
      <c r="K9" s="151">
        <f>J9*(100%-'Données projet'!$C$24)*(100%-'Données projet'!$C$25)*(100%-'Données projet'!$C$26)*(100%-'Données projet'!$C$27)</f>
        <v>2.0231859375000001</v>
      </c>
      <c r="L9" s="152">
        <f t="shared" ca="1" si="3"/>
        <v>24.390241856953022</v>
      </c>
      <c r="M9" s="23">
        <f t="shared" ca="1" si="0"/>
        <v>124.50176630277331</v>
      </c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Alisier torminal</v>
      </c>
      <c r="B10" s="154">
        <f>'Données projet'!D13</f>
        <v>8.2829961464354507E-2</v>
      </c>
      <c r="C10" s="147">
        <f ca="1">IF(OR('Données projet'!B13="",'Données projet'!C13="",'Données projet'!C13=0%),0,Calculateur!CY3)</f>
        <v>467.11196088914556</v>
      </c>
      <c r="D10" s="147">
        <f>IF(OR('Données projet'!B13="",'Données projet'!C13="",'Données projet'!C13=0%),0,Calculateur!CZ3)</f>
        <v>208.53783609106262</v>
      </c>
      <c r="E10" s="147">
        <f t="shared" ca="1" si="1"/>
        <v>208.53783609106262</v>
      </c>
      <c r="F10" s="147">
        <f t="shared" ca="1" si="2"/>
        <v>17.273180927282592</v>
      </c>
      <c r="G10" s="147">
        <f ca="1">F10*(100%-'Données projet'!$C$24)*(100%-'Données projet'!$C$25)*(100%-'Données projet'!$C$26)*(100%-'Données projet'!$C$27)</f>
        <v>13.991276551098899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3"/>
        <v>13.991276551098899</v>
      </c>
      <c r="M10" s="23">
        <f t="shared" ca="1" si="0"/>
        <v>168.91564723376069</v>
      </c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Cormier</v>
      </c>
      <c r="B11" s="154">
        <f>'Données projet'!D14</f>
        <v>4.491329479768786E-2</v>
      </c>
      <c r="C11" s="147">
        <f ca="1">IF(OR('Données projet'!B14="",'Données projet'!C14="",'Données projet'!C14=0%),0,Calculateur!DT3)</f>
        <v>531.65020827367698</v>
      </c>
      <c r="D11" s="147">
        <f>IF(OR('Données projet'!B14="",'Données projet'!C14="",'Données projet'!C14=0%),0,Calculateur!DU3)</f>
        <v>235.89413420278396</v>
      </c>
      <c r="E11" s="147">
        <f t="shared" ca="1" si="1"/>
        <v>235.89413420278396</v>
      </c>
      <c r="F11" s="147">
        <f t="shared" ca="1" si="2"/>
        <v>10.594782790494978</v>
      </c>
      <c r="G11" s="147">
        <f ca="1">F11*(100%-'Données projet'!$C$24)*(100%-'Données projet'!$C$25)*(100%-'Données projet'!$C$26)*(100%-'Données projet'!$C$27)</f>
        <v>8.5817740603009334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3"/>
        <v>8.5817740603009334</v>
      </c>
      <c r="M11" s="23">
        <f t="shared" ca="1" si="0"/>
        <v>191.07424870425501</v>
      </c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1"/>
        <v>0</v>
      </c>
      <c r="F12" s="147">
        <f t="shared" si="2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3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1"/>
        <v>0</v>
      </c>
      <c r="F13" s="147">
        <f t="shared" si="2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3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1"/>
        <v>0</v>
      </c>
      <c r="F14" s="147">
        <f t="shared" si="2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3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1"/>
        <v>0</v>
      </c>
      <c r="F15" s="159">
        <f t="shared" si="2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3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4">SUM(F6:F15)</f>
        <v>425.53648361217137</v>
      </c>
      <c r="G16" s="166">
        <f t="shared" ca="1" si="4"/>
        <v>344.68455172585885</v>
      </c>
      <c r="H16" s="167">
        <f t="shared" si="4"/>
        <v>0</v>
      </c>
      <c r="I16" s="167">
        <f t="shared" si="4"/>
        <v>0</v>
      </c>
      <c r="J16" s="168">
        <f t="shared" si="4"/>
        <v>2.4977604166666669</v>
      </c>
      <c r="K16" s="168">
        <f t="shared" si="4"/>
        <v>2.0231859375000001</v>
      </c>
      <c r="L16" s="169">
        <f t="shared" ca="1" si="4"/>
        <v>346.70773766335884</v>
      </c>
      <c r="M16" s="23">
        <f ca="1">L16/SUM(B6:B15)</f>
        <v>154.22274528645141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Charme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0" zoomScale="80" zoomScaleNormal="80" workbookViewId="0">
      <selection activeCell="AQ25" sqref="AQ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293</v>
      </c>
      <c r="I4" s="258"/>
      <c r="K4" s="300" t="s">
        <v>294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54</v>
      </c>
      <c r="O7" s="247"/>
      <c r="P7" s="248"/>
      <c r="Q7" s="249"/>
      <c r="R7" s="292" t="s">
        <v>295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Charme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-5710.7654153311587</v>
      </c>
      <c r="U10" s="178">
        <f>'Données projet'!D9</f>
        <v>0.76423570969813726</v>
      </c>
      <c r="V10" s="177">
        <f>U10*T10</f>
        <v>-4364.3708601051858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-3151.2019327574176</v>
      </c>
      <c r="U11" s="178">
        <f>'Données projet'!D10</f>
        <v>0.65050016056518944</v>
      </c>
      <c r="V11" s="177">
        <f t="shared" ref="V11" si="0">U11*T11</f>
        <v>-2049.8573632320354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-5180.7361590740511</v>
      </c>
      <c r="U12" s="178">
        <f>'Données projet'!D11</f>
        <v>0.50971539820166978</v>
      </c>
      <c r="V12" s="177">
        <f t="shared" ref="V12:V19" si="1">U12*T12</f>
        <v>-2640.700994300219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379.9336319264799</v>
      </c>
      <c r="U13" s="178">
        <f>'Données projet'!D12</f>
        <v>0.19590277777777779</v>
      </c>
      <c r="V13" s="177">
        <f t="shared" si="1"/>
        <v>74.430053865597216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</v>
      </c>
      <c r="B14" s="174" t="str">
        <f>IF('Données projet'!$B$9="","",'Données projet'!$B$9)</f>
        <v>Charme</v>
      </c>
      <c r="C14" s="4"/>
      <c r="D14" s="4"/>
      <c r="E14" s="4"/>
      <c r="F14" s="230"/>
      <c r="G14" s="23"/>
      <c r="H14" s="36" t="s">
        <v>73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-7245.1076818732045</v>
      </c>
      <c r="U14" s="178">
        <f>'Données projet'!D13</f>
        <v>8.2829961464354507E-2</v>
      </c>
      <c r="V14" s="177">
        <f t="shared" si="1"/>
        <v>-600.11199009465633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-9556.1451393830503</v>
      </c>
      <c r="U15" s="178">
        <f>'Données projet'!D14</f>
        <v>4.491329479768786E-2</v>
      </c>
      <c r="V15" s="177">
        <f t="shared" si="1"/>
        <v>-429.1979637746029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45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03"/>
      <c r="H16" s="190"/>
      <c r="I16" s="191"/>
      <c r="J16" s="202"/>
      <c r="K16" s="208"/>
      <c r="L16" s="300" t="s">
        <v>312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F17" s="230"/>
      <c r="G17" s="303"/>
      <c r="J17" s="202"/>
      <c r="K17" s="208"/>
      <c r="L17" s="260" t="s">
        <v>313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194</v>
      </c>
      <c r="C18" s="198" t="s">
        <v>194</v>
      </c>
      <c r="D18" s="197" t="s">
        <v>194</v>
      </c>
      <c r="E18" s="193">
        <f>1600*(0.8+0.18+1.35)</f>
        <v>3728</v>
      </c>
      <c r="F18" s="230"/>
      <c r="G18" s="303"/>
      <c r="J18" s="202"/>
      <c r="K18" s="208"/>
      <c r="L18" s="260" t="s">
        <v>309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194</v>
      </c>
      <c r="C19" s="198" t="s">
        <v>194</v>
      </c>
      <c r="D19" s="197" t="s">
        <v>194</v>
      </c>
      <c r="E19" s="193">
        <f>220+430</f>
        <v>650</v>
      </c>
      <c r="F19" s="230"/>
      <c r="G19" s="303"/>
      <c r="H19" s="212" t="s">
        <v>73</v>
      </c>
      <c r="I19" s="212" t="s">
        <v>314</v>
      </c>
      <c r="J19" s="93"/>
      <c r="K19" s="173"/>
      <c r="L19" s="300" t="s">
        <v>315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194</v>
      </c>
      <c r="C20" s="198" t="s">
        <v>194</v>
      </c>
      <c r="D20" s="197" t="s">
        <v>194</v>
      </c>
      <c r="E20" s="193">
        <f>400+430+15%*E18</f>
        <v>1389.1999999999998</v>
      </c>
      <c r="F20" s="230"/>
      <c r="G20" s="303"/>
      <c r="H20" s="190">
        <v>1</v>
      </c>
      <c r="I20" s="191">
        <f>20+(400/SUM(U10:U19)+20)+(200/SUM(U10:U19)+10)+1500+600</f>
        <v>2416.8923624130875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194</v>
      </c>
      <c r="C21" s="198" t="s">
        <v>194</v>
      </c>
      <c r="D21" s="197" t="s">
        <v>194</v>
      </c>
      <c r="E21" s="193">
        <f>220+430</f>
        <v>650</v>
      </c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3</v>
      </c>
      <c r="I22" s="191">
        <f>20+200/SUM(U10:U19)+10</f>
        <v>118.96412080436251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5</v>
      </c>
      <c r="D23" s="182">
        <f>B23*C23</f>
        <v>216.05</v>
      </c>
      <c r="E23" s="193"/>
      <c r="F23" s="230"/>
      <c r="H23" s="190">
        <v>4</v>
      </c>
      <c r="I23" s="191">
        <v>20</v>
      </c>
      <c r="K23" s="208"/>
      <c r="L23" s="302" t="s">
        <v>316</v>
      </c>
      <c r="M23" s="302"/>
      <c r="N23" s="302"/>
      <c r="O23" s="23"/>
      <c r="P23" s="23"/>
      <c r="Q23" s="234"/>
      <c r="R23" s="23"/>
      <c r="S23" s="36" t="s">
        <v>317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-17902.442102611043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5</v>
      </c>
      <c r="D24" s="182">
        <f t="shared" ref="D24:D42" si="2">B24*C24</f>
        <v>177.89999999999998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510.45975636001327</v>
      </c>
      <c r="K24" s="208"/>
      <c r="O24" s="23"/>
      <c r="P24" s="23"/>
      <c r="Q24" s="234"/>
      <c r="R24" s="23"/>
      <c r="S24" s="36" t="s">
        <v>318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5</v>
      </c>
      <c r="D25" s="182">
        <f t="shared" si="2"/>
        <v>224.65</v>
      </c>
      <c r="E25" s="193"/>
      <c r="F25" s="233"/>
      <c r="H25" s="190">
        <v>6</v>
      </c>
      <c r="I25" s="191">
        <v>20</v>
      </c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299">
        <f ca="1">T23-T24</f>
        <v>-17902.442102611043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5</v>
      </c>
      <c r="D26" s="182">
        <f t="shared" si="2"/>
        <v>249.54999999999998</v>
      </c>
      <c r="E26" s="193"/>
      <c r="F26" s="233"/>
      <c r="G26" s="229"/>
      <c r="H26" s="190">
        <v>7</v>
      </c>
      <c r="I26" s="191">
        <v>20</v>
      </c>
      <c r="K26" s="208"/>
      <c r="L26" s="286" t="s">
        <v>321</v>
      </c>
      <c r="M26" s="287"/>
      <c r="N26" s="287"/>
      <c r="O26" s="287"/>
      <c r="P26" s="288"/>
      <c r="Q26" s="234"/>
      <c r="R26" s="23"/>
      <c r="S26" s="186" t="s">
        <v>322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18.5</v>
      </c>
      <c r="D27" s="182">
        <f t="shared" si="2"/>
        <v>876.9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323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18.5</v>
      </c>
      <c r="D28" s="182">
        <f t="shared" si="2"/>
        <v>1137.1949999999999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18.5</v>
      </c>
      <c r="D29" s="182">
        <f t="shared" si="2"/>
        <v>1144.2250000000001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18.5</v>
      </c>
      <c r="D30" s="182">
        <f t="shared" si="2"/>
        <v>1113.5149999999999</v>
      </c>
      <c r="E30" s="193"/>
      <c r="F30" s="233"/>
      <c r="G30" s="203"/>
      <c r="H30" s="190">
        <v>11</v>
      </c>
      <c r="I30" s="191">
        <v>20</v>
      </c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13782.515690751443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32</v>
      </c>
      <c r="D31" s="182">
        <f t="shared" si="2"/>
        <v>1794.24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5790.7760115606934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32</v>
      </c>
      <c r="D32" s="182">
        <f t="shared" si="2"/>
        <v>1680.96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73</v>
      </c>
      <c r="P32" s="85" t="s">
        <v>310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32</v>
      </c>
      <c r="D33" s="182">
        <f t="shared" si="2"/>
        <v>1758.4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27</v>
      </c>
      <c r="U33" s="1">
        <f>SUM(U30:U32)</f>
        <v>21073.291702312137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32</v>
      </c>
      <c r="D34" s="182">
        <f t="shared" si="2"/>
        <v>1792.32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32</v>
      </c>
      <c r="D35" s="182">
        <f t="shared" si="2"/>
        <v>1764.16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32</v>
      </c>
      <c r="D36" s="182">
        <f t="shared" si="2"/>
        <v>1906.56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32</v>
      </c>
      <c r="D37" s="182">
        <f t="shared" si="2"/>
        <v>6872.64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32</v>
      </c>
      <c r="D38" s="182">
        <f t="shared" si="2"/>
        <v>3686.08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32</v>
      </c>
      <c r="D39" s="182">
        <f t="shared" si="2"/>
        <v>2487.04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32</v>
      </c>
      <c r="D40" s="182">
        <f t="shared" si="2"/>
        <v>5432.32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>
        <v>32</v>
      </c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>
        <v>32</v>
      </c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45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194</v>
      </c>
      <c r="C49" s="198" t="s">
        <v>194</v>
      </c>
      <c r="D49" s="197" t="s">
        <v>194</v>
      </c>
      <c r="E49" s="193">
        <f>1600*(0.8+0.18+0.64)</f>
        <v>2592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194</v>
      </c>
      <c r="C50" s="198" t="s">
        <v>194</v>
      </c>
      <c r="D50" s="197" t="s">
        <v>194</v>
      </c>
      <c r="E50" s="193">
        <f>220+430</f>
        <v>650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194</v>
      </c>
      <c r="C51" s="198" t="s">
        <v>194</v>
      </c>
      <c r="D51" s="197" t="s">
        <v>194</v>
      </c>
      <c r="E51" s="193">
        <f>400+430+15%*E49</f>
        <v>1218.8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194</v>
      </c>
      <c r="C52" s="198" t="s">
        <v>194</v>
      </c>
      <c r="D52" s="197" t="s">
        <v>194</v>
      </c>
      <c r="E52" s="193">
        <f>220+430</f>
        <v>650</v>
      </c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58</v>
      </c>
      <c r="D54" s="179">
        <f>B54*C54</f>
        <v>2506.1799999999998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58</v>
      </c>
      <c r="D55" s="179">
        <f t="shared" ref="D55:D73" si="4">B55*C55</f>
        <v>2063.64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58</v>
      </c>
      <c r="D56" s="179">
        <f t="shared" si="4"/>
        <v>2605.94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106</v>
      </c>
      <c r="D57" s="179">
        <f t="shared" si="4"/>
        <v>5290.46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106</v>
      </c>
      <c r="D58" s="179">
        <f t="shared" si="4"/>
        <v>5024.3999999999996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106</v>
      </c>
      <c r="D59" s="179">
        <f t="shared" si="4"/>
        <v>6515.82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106</v>
      </c>
      <c r="D60" s="179">
        <f t="shared" si="4"/>
        <v>6556.1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106</v>
      </c>
      <c r="D61" s="179">
        <f t="shared" si="4"/>
        <v>6380.1399999999994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106</v>
      </c>
      <c r="D62" s="179">
        <f t="shared" si="4"/>
        <v>5943.42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106</v>
      </c>
      <c r="D63" s="179">
        <f t="shared" si="4"/>
        <v>5568.18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106</v>
      </c>
      <c r="D64" s="179">
        <f t="shared" si="4"/>
        <v>5824.7000000000007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106</v>
      </c>
      <c r="D65" s="179">
        <f t="shared" si="4"/>
        <v>5937.0599999999995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106</v>
      </c>
      <c r="D66" s="179">
        <f t="shared" si="4"/>
        <v>5843.7800000000007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106</v>
      </c>
      <c r="D67" s="179">
        <f t="shared" si="4"/>
        <v>6315.48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106</v>
      </c>
      <c r="D68" s="179">
        <f t="shared" si="4"/>
        <v>22765.620000000003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106</v>
      </c>
      <c r="D69" s="179">
        <f t="shared" si="4"/>
        <v>12210.14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106</v>
      </c>
      <c r="D70" s="179">
        <f t="shared" si="4"/>
        <v>8238.32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106</v>
      </c>
      <c r="D71" s="179">
        <f t="shared" si="4"/>
        <v>17994.559999999998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19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45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194</v>
      </c>
      <c r="C80" s="198" t="s">
        <v>194</v>
      </c>
      <c r="D80" s="197" t="s">
        <v>194</v>
      </c>
      <c r="E80" s="193">
        <f>1600*(0.8+0.18+1.43)</f>
        <v>3856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194</v>
      </c>
      <c r="C81" s="198" t="s">
        <v>194</v>
      </c>
      <c r="D81" s="197" t="s">
        <v>194</v>
      </c>
      <c r="E81" s="193">
        <f>220+430</f>
        <v>650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194</v>
      </c>
      <c r="C82" s="198" t="s">
        <v>194</v>
      </c>
      <c r="D82" s="197" t="s">
        <v>194</v>
      </c>
      <c r="E82" s="193">
        <f>400+430+15%*E80</f>
        <v>1408.4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194</v>
      </c>
      <c r="C83" s="198" t="s">
        <v>194</v>
      </c>
      <c r="D83" s="197" t="s">
        <v>194</v>
      </c>
      <c r="E83" s="193">
        <f>220+430</f>
        <v>650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38</v>
      </c>
      <c r="B85" s="181">
        <f>'Données projet'!D88</f>
        <v>69.08</v>
      </c>
      <c r="C85" s="191">
        <v>5</v>
      </c>
      <c r="D85" s="179">
        <f>B85*C85</f>
        <v>345.4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45</v>
      </c>
      <c r="B86" s="181">
        <f>'Données projet'!D89</f>
        <v>39.119999999999997</v>
      </c>
      <c r="C86" s="191">
        <v>5</v>
      </c>
      <c r="D86" s="179">
        <f t="shared" ref="D86:D104" si="6">B86*C86</f>
        <v>195.6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52</v>
      </c>
      <c r="B87" s="181">
        <f>'Données projet'!D90</f>
        <v>40.9</v>
      </c>
      <c r="C87" s="191">
        <v>5</v>
      </c>
      <c r="D87" s="179">
        <f t="shared" si="6"/>
        <v>204.5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59</v>
      </c>
      <c r="B88" s="181">
        <f>'Données projet'!D91</f>
        <v>38.119999999999997</v>
      </c>
      <c r="C88" s="191">
        <v>54.5</v>
      </c>
      <c r="D88" s="179">
        <f t="shared" si="6"/>
        <v>2077.54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67</v>
      </c>
      <c r="B89" s="181">
        <f>'Données projet'!D92</f>
        <v>38.229999999999997</v>
      </c>
      <c r="C89" s="191">
        <v>54.5</v>
      </c>
      <c r="D89" s="179">
        <f t="shared" si="6"/>
        <v>2083.5349999999999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75</v>
      </c>
      <c r="B90" s="181">
        <f>'Données projet'!D93</f>
        <v>38.909999999999997</v>
      </c>
      <c r="C90" s="191">
        <v>54.5</v>
      </c>
      <c r="D90" s="179">
        <f t="shared" si="6"/>
        <v>2120.5949999999998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83</v>
      </c>
      <c r="B91" s="181">
        <f>'Données projet'!D94</f>
        <v>44.22</v>
      </c>
      <c r="C91" s="191">
        <v>54.5</v>
      </c>
      <c r="D91" s="179">
        <f t="shared" si="6"/>
        <v>2409.9899999999998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93</v>
      </c>
      <c r="B92" s="181">
        <f>'Données projet'!D95</f>
        <v>59.26</v>
      </c>
      <c r="C92" s="191">
        <v>104</v>
      </c>
      <c r="D92" s="179">
        <f t="shared" si="6"/>
        <v>6163.04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103</v>
      </c>
      <c r="B93" s="181">
        <f>'Données projet'!D96</f>
        <v>58.98</v>
      </c>
      <c r="C93" s="191">
        <v>104</v>
      </c>
      <c r="D93" s="179">
        <f t="shared" si="6"/>
        <v>6133.92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113</v>
      </c>
      <c r="B94" s="181">
        <f>'Données projet'!D97</f>
        <v>59.52</v>
      </c>
      <c r="C94" s="191">
        <v>104</v>
      </c>
      <c r="D94" s="179">
        <f t="shared" si="6"/>
        <v>6190.08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123</v>
      </c>
      <c r="B95" s="181">
        <f>'Données projet'!D98</f>
        <v>175.3</v>
      </c>
      <c r="C95" s="191">
        <v>104</v>
      </c>
      <c r="D95" s="179">
        <f t="shared" si="6"/>
        <v>18231.2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125</v>
      </c>
      <c r="B96" s="181">
        <f>'Données projet'!D99</f>
        <v>60.7</v>
      </c>
      <c r="C96" s="191">
        <v>104</v>
      </c>
      <c r="D96" s="179">
        <f t="shared" si="6"/>
        <v>6312.8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127</v>
      </c>
      <c r="B97" s="181">
        <f>'Données projet'!D100</f>
        <v>39.56</v>
      </c>
      <c r="C97" s="191">
        <v>104</v>
      </c>
      <c r="D97" s="179">
        <f t="shared" si="6"/>
        <v>4114.24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130</v>
      </c>
      <c r="B98" s="181">
        <f>'Données projet'!D101</f>
        <v>96.57</v>
      </c>
      <c r="C98" s="191">
        <v>104</v>
      </c>
      <c r="D98" s="179">
        <f t="shared" si="6"/>
        <v>10043.279999999999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>
        <v>104</v>
      </c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>
        <v>104</v>
      </c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>
        <v>104</v>
      </c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>
        <v>104</v>
      </c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>
        <v>104</v>
      </c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20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45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194</v>
      </c>
      <c r="C111" s="198" t="s">
        <v>194</v>
      </c>
      <c r="D111" s="197" t="s">
        <v>194</v>
      </c>
      <c r="E111" s="193">
        <f>1600*(0.8+0.18+0.68)</f>
        <v>2656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194</v>
      </c>
      <c r="C112" s="198" t="s">
        <v>194</v>
      </c>
      <c r="D112" s="197" t="s">
        <v>194</v>
      </c>
      <c r="E112" s="193">
        <f>220+430</f>
        <v>650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194</v>
      </c>
      <c r="C113" s="198" t="s">
        <v>194</v>
      </c>
      <c r="D113" s="197" t="s">
        <v>194</v>
      </c>
      <c r="E113" s="193">
        <f>400+430+15%*E111</f>
        <v>1228.4000000000001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194</v>
      </c>
      <c r="C114" s="198" t="s">
        <v>194</v>
      </c>
      <c r="D114" s="197" t="s">
        <v>194</v>
      </c>
      <c r="E114" s="193">
        <f>220+430</f>
        <v>650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1</v>
      </c>
      <c r="C116" s="191">
        <v>5</v>
      </c>
      <c r="D116" s="179">
        <f>B116*C116</f>
        <v>5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3</v>
      </c>
      <c r="C117" s="191">
        <v>5</v>
      </c>
      <c r="D117" s="179">
        <f t="shared" ref="D117:D135" si="8">B117*C117</f>
        <v>15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20</v>
      </c>
      <c r="B118" s="181">
        <f>'Données projet'!D116</f>
        <v>9</v>
      </c>
      <c r="C118" s="191">
        <v>5</v>
      </c>
      <c r="D118" s="179">
        <f t="shared" si="8"/>
        <v>45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25</v>
      </c>
      <c r="B119" s="181">
        <f>'Données projet'!D117</f>
        <v>18</v>
      </c>
      <c r="C119" s="191">
        <v>5</v>
      </c>
      <c r="D119" s="179">
        <f t="shared" si="8"/>
        <v>90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30</v>
      </c>
      <c r="B120" s="181">
        <f>'Données projet'!D118</f>
        <v>20</v>
      </c>
      <c r="C120" s="191">
        <v>5</v>
      </c>
      <c r="D120" s="179">
        <f t="shared" si="8"/>
        <v>100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35</v>
      </c>
      <c r="B121" s="181">
        <f>'Données projet'!D119</f>
        <v>21</v>
      </c>
      <c r="C121" s="191">
        <v>5</v>
      </c>
      <c r="D121" s="179">
        <f t="shared" si="8"/>
        <v>105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40</v>
      </c>
      <c r="B122" s="181">
        <f>'Données projet'!D120</f>
        <v>22</v>
      </c>
      <c r="C122" s="191">
        <v>5</v>
      </c>
      <c r="D122" s="179">
        <f t="shared" si="8"/>
        <v>110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45</v>
      </c>
      <c r="B123" s="181">
        <f>'Données projet'!D121</f>
        <v>22</v>
      </c>
      <c r="C123" s="191">
        <v>12.5</v>
      </c>
      <c r="D123" s="179">
        <f t="shared" si="8"/>
        <v>275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50</v>
      </c>
      <c r="B124" s="181">
        <f>'Données projet'!D122</f>
        <v>21</v>
      </c>
      <c r="C124" s="191">
        <v>12.5</v>
      </c>
      <c r="D124" s="179">
        <f t="shared" si="8"/>
        <v>262.5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str">
        <f>IF(O123+1&lt;=MIN('Données projet'!$E$9:$E$18),O123+1,"STOP")</f>
        <v>STOP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55</v>
      </c>
      <c r="B125" s="181">
        <f>'Données projet'!D123</f>
        <v>20</v>
      </c>
      <c r="C125" s="191">
        <v>12.5</v>
      </c>
      <c r="D125" s="179">
        <f t="shared" si="8"/>
        <v>250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60</v>
      </c>
      <c r="B126" s="181">
        <f>'Données projet'!D124</f>
        <v>19</v>
      </c>
      <c r="C126" s="191">
        <v>12.5</v>
      </c>
      <c r="D126" s="179">
        <f t="shared" si="8"/>
        <v>237.5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65</v>
      </c>
      <c r="B127" s="181">
        <f>'Données projet'!D125</f>
        <v>18</v>
      </c>
      <c r="C127" s="191">
        <v>20</v>
      </c>
      <c r="D127" s="179">
        <f t="shared" si="8"/>
        <v>360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70</v>
      </c>
      <c r="B128" s="181">
        <f>'Données projet'!D126</f>
        <v>17</v>
      </c>
      <c r="C128" s="191">
        <v>20</v>
      </c>
      <c r="D128" s="179">
        <f t="shared" si="8"/>
        <v>340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75</v>
      </c>
      <c r="B129" s="181">
        <f>'Données projet'!D127</f>
        <v>16</v>
      </c>
      <c r="C129" s="191">
        <v>20</v>
      </c>
      <c r="D129" s="179">
        <f t="shared" si="8"/>
        <v>320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80</v>
      </c>
      <c r="B130" s="181">
        <f>'Données projet'!D128</f>
        <v>15</v>
      </c>
      <c r="C130" s="191">
        <v>20</v>
      </c>
      <c r="D130" s="179">
        <f t="shared" si="8"/>
        <v>300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85</v>
      </c>
      <c r="B131" s="181">
        <f>'Données projet'!D129</f>
        <v>14</v>
      </c>
      <c r="C131" s="191">
        <v>20</v>
      </c>
      <c r="D131" s="179">
        <f t="shared" si="8"/>
        <v>280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90</v>
      </c>
      <c r="B132" s="181">
        <f>'Données projet'!D130</f>
        <v>217</v>
      </c>
      <c r="C132" s="191">
        <v>20</v>
      </c>
      <c r="D132" s="179">
        <f t="shared" si="8"/>
        <v>4340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21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45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194</v>
      </c>
      <c r="C142" s="198" t="s">
        <v>194</v>
      </c>
      <c r="D142" s="197" t="s">
        <v>194</v>
      </c>
      <c r="E142" s="193">
        <f>1600*(0.8+0.18+2.6)</f>
        <v>5728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194</v>
      </c>
      <c r="C143" s="198" t="s">
        <v>194</v>
      </c>
      <c r="D143" s="197" t="s">
        <v>194</v>
      </c>
      <c r="E143" s="193">
        <f>220+430</f>
        <v>650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194</v>
      </c>
      <c r="C144" s="198" t="s">
        <v>194</v>
      </c>
      <c r="D144" s="197" t="s">
        <v>194</v>
      </c>
      <c r="E144" s="193">
        <f>400+430+15%*E142</f>
        <v>1689.1999999999998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194</v>
      </c>
      <c r="C145" s="198" t="s">
        <v>194</v>
      </c>
      <c r="D145" s="197" t="s">
        <v>194</v>
      </c>
      <c r="E145" s="193">
        <f>220+430</f>
        <v>650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42</v>
      </c>
      <c r="B147" s="175">
        <f>'Données projet'!D140</f>
        <v>43.21</v>
      </c>
      <c r="C147" s="191">
        <v>5</v>
      </c>
      <c r="D147" s="182">
        <f>B147*C147</f>
        <v>216.05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50</v>
      </c>
      <c r="B148" s="175">
        <f>'Données projet'!D141</f>
        <v>35.58</v>
      </c>
      <c r="C148" s="191">
        <v>5</v>
      </c>
      <c r="D148" s="182">
        <f t="shared" ref="D148:D166" si="10">B148*C148</f>
        <v>177.89999999999998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58</v>
      </c>
      <c r="B149" s="175">
        <f>'Données projet'!D142</f>
        <v>44.93</v>
      </c>
      <c r="C149" s="191">
        <v>5</v>
      </c>
      <c r="D149" s="182">
        <f t="shared" si="10"/>
        <v>224.65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66</v>
      </c>
      <c r="B150" s="175">
        <f>'Données projet'!D143</f>
        <v>49.91</v>
      </c>
      <c r="C150" s="191">
        <v>5</v>
      </c>
      <c r="D150" s="182">
        <f t="shared" si="10"/>
        <v>249.54999999999998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74</v>
      </c>
      <c r="B151" s="175">
        <f>'Données projet'!D144</f>
        <v>47.4</v>
      </c>
      <c r="C151" s="191">
        <v>5</v>
      </c>
      <c r="D151" s="182">
        <f t="shared" si="10"/>
        <v>237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84</v>
      </c>
      <c r="B152" s="175">
        <f>'Données projet'!D145</f>
        <v>61.47</v>
      </c>
      <c r="C152" s="191">
        <v>33.5</v>
      </c>
      <c r="D152" s="182">
        <f t="shared" si="10"/>
        <v>2059.2449999999999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94</v>
      </c>
      <c r="B153" s="175">
        <f>'Données projet'!D146</f>
        <v>61.85</v>
      </c>
      <c r="C153" s="191">
        <v>33.5</v>
      </c>
      <c r="D153" s="182">
        <f t="shared" si="10"/>
        <v>2071.9749999999999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104</v>
      </c>
      <c r="B154" s="175">
        <f>'Données projet'!D147</f>
        <v>60.19</v>
      </c>
      <c r="C154" s="191">
        <v>33.5</v>
      </c>
      <c r="D154" s="182">
        <f t="shared" si="10"/>
        <v>2016.365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114</v>
      </c>
      <c r="B155" s="175">
        <f>'Données projet'!D148</f>
        <v>56.07</v>
      </c>
      <c r="C155" s="191">
        <v>33.5</v>
      </c>
      <c r="D155" s="182">
        <f t="shared" si="10"/>
        <v>1878.345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124</v>
      </c>
      <c r="B156" s="175">
        <f>'Données projet'!D149</f>
        <v>52.53</v>
      </c>
      <c r="C156" s="191">
        <v>62</v>
      </c>
      <c r="D156" s="182">
        <f t="shared" si="10"/>
        <v>3256.86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134</v>
      </c>
      <c r="B157" s="175">
        <f>'Données projet'!D150</f>
        <v>54.95</v>
      </c>
      <c r="C157" s="191">
        <v>62</v>
      </c>
      <c r="D157" s="182">
        <f t="shared" si="10"/>
        <v>3406.9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144</v>
      </c>
      <c r="B158" s="175">
        <f>'Données projet'!D151</f>
        <v>56.01</v>
      </c>
      <c r="C158" s="191">
        <v>62</v>
      </c>
      <c r="D158" s="182">
        <f t="shared" si="10"/>
        <v>3472.62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154</v>
      </c>
      <c r="B159" s="175">
        <f>'Données projet'!D152</f>
        <v>55.13</v>
      </c>
      <c r="C159" s="191">
        <v>62</v>
      </c>
      <c r="D159" s="182">
        <f t="shared" si="10"/>
        <v>3418.06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164</v>
      </c>
      <c r="B160" s="175">
        <f>'Données projet'!D153</f>
        <v>59.58</v>
      </c>
      <c r="C160" s="191">
        <v>62</v>
      </c>
      <c r="D160" s="182">
        <f t="shared" si="10"/>
        <v>3693.96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174</v>
      </c>
      <c r="B161" s="175">
        <f>'Données projet'!D154</f>
        <v>214.77</v>
      </c>
      <c r="C161" s="191">
        <v>62</v>
      </c>
      <c r="D161" s="182">
        <f t="shared" si="10"/>
        <v>13315.74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177</v>
      </c>
      <c r="B162" s="175">
        <f>'Données projet'!D155</f>
        <v>115.19</v>
      </c>
      <c r="C162" s="191">
        <v>62</v>
      </c>
      <c r="D162" s="182">
        <f t="shared" si="10"/>
        <v>7141.78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180</v>
      </c>
      <c r="B163" s="175">
        <f>'Données projet'!D156</f>
        <v>77.72</v>
      </c>
      <c r="C163" s="191">
        <v>62</v>
      </c>
      <c r="D163" s="182">
        <f t="shared" si="10"/>
        <v>4818.6400000000003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183</v>
      </c>
      <c r="B164" s="175">
        <f>'Données projet'!D157</f>
        <v>169.76</v>
      </c>
      <c r="C164" s="191">
        <v>62</v>
      </c>
      <c r="D164" s="182">
        <f t="shared" si="10"/>
        <v>10525.119999999999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>
        <v>62</v>
      </c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>
        <v>62</v>
      </c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22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45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194</v>
      </c>
      <c r="C173" s="198" t="s">
        <v>194</v>
      </c>
      <c r="D173" s="197" t="s">
        <v>194</v>
      </c>
      <c r="E173" s="193">
        <f>1600*(0.8+0.18+3.55)</f>
        <v>7247.9999999999991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194</v>
      </c>
      <c r="C174" s="198" t="s">
        <v>194</v>
      </c>
      <c r="D174" s="197" t="s">
        <v>194</v>
      </c>
      <c r="E174" s="193">
        <f>220+430</f>
        <v>650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194</v>
      </c>
      <c r="C175" s="198" t="s">
        <v>194</v>
      </c>
      <c r="D175" s="197" t="s">
        <v>194</v>
      </c>
      <c r="E175" s="193">
        <f>400+430+15%*E173</f>
        <v>1917.1999999999998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194</v>
      </c>
      <c r="C176" s="198" t="s">
        <v>194</v>
      </c>
      <c r="D176" s="197" t="s">
        <v>194</v>
      </c>
      <c r="E176" s="193">
        <f>220+430</f>
        <v>650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42</v>
      </c>
      <c r="B178" s="181">
        <f>'Données projet'!D166</f>
        <v>43.21</v>
      </c>
      <c r="C178" s="193">
        <v>5</v>
      </c>
      <c r="D178" s="179">
        <f>B178*C178</f>
        <v>216.05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50</v>
      </c>
      <c r="B179" s="181">
        <f>'Données projet'!D167</f>
        <v>35.58</v>
      </c>
      <c r="C179" s="193">
        <v>5</v>
      </c>
      <c r="D179" s="179">
        <f t="shared" ref="D179:D197" si="11">B179*C179</f>
        <v>177.89999999999998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58</v>
      </c>
      <c r="B180" s="181">
        <f>'Données projet'!D168</f>
        <v>44.93</v>
      </c>
      <c r="C180" s="193">
        <v>5</v>
      </c>
      <c r="D180" s="179">
        <f t="shared" si="11"/>
        <v>224.65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66</v>
      </c>
      <c r="B181" s="181">
        <f>'Données projet'!D169</f>
        <v>49.91</v>
      </c>
      <c r="C181" s="193">
        <v>5</v>
      </c>
      <c r="D181" s="179">
        <f t="shared" si="11"/>
        <v>249.54999999999998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74</v>
      </c>
      <c r="B182" s="181">
        <f>'Données projet'!D170</f>
        <v>47.4</v>
      </c>
      <c r="C182" s="193">
        <v>5</v>
      </c>
      <c r="D182" s="179">
        <f t="shared" si="11"/>
        <v>237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84</v>
      </c>
      <c r="B183" s="181">
        <f>'Données projet'!D171</f>
        <v>61.47</v>
      </c>
      <c r="C183" s="193">
        <v>21.5</v>
      </c>
      <c r="D183" s="179">
        <f t="shared" si="11"/>
        <v>1321.605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94</v>
      </c>
      <c r="B184" s="181">
        <f>'Données projet'!D172</f>
        <v>61.85</v>
      </c>
      <c r="C184" s="193">
        <v>21.5</v>
      </c>
      <c r="D184" s="179">
        <f t="shared" si="11"/>
        <v>1329.7750000000001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104</v>
      </c>
      <c r="B185" s="181">
        <f>'Données projet'!D173</f>
        <v>60.19</v>
      </c>
      <c r="C185" s="193">
        <v>21.5</v>
      </c>
      <c r="D185" s="179">
        <f t="shared" si="11"/>
        <v>1294.085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114</v>
      </c>
      <c r="B186" s="181">
        <f>'Données projet'!D174</f>
        <v>56.07</v>
      </c>
      <c r="C186" s="193">
        <v>21.5</v>
      </c>
      <c r="D186" s="179">
        <f t="shared" si="11"/>
        <v>1205.5050000000001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124</v>
      </c>
      <c r="B187" s="181">
        <f>'Données projet'!D175</f>
        <v>52.53</v>
      </c>
      <c r="C187" s="193">
        <v>38</v>
      </c>
      <c r="D187" s="179">
        <f t="shared" si="11"/>
        <v>1996.14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134</v>
      </c>
      <c r="B188" s="181">
        <f>'Données projet'!D176</f>
        <v>54.95</v>
      </c>
      <c r="C188" s="193">
        <v>38</v>
      </c>
      <c r="D188" s="179">
        <f t="shared" si="11"/>
        <v>2088.1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144</v>
      </c>
      <c r="B189" s="181">
        <f>'Données projet'!D177</f>
        <v>56.01</v>
      </c>
      <c r="C189" s="193">
        <v>38</v>
      </c>
      <c r="D189" s="179">
        <f t="shared" si="11"/>
        <v>2128.38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154</v>
      </c>
      <c r="B190" s="181">
        <f>'Données projet'!D178</f>
        <v>55.13</v>
      </c>
      <c r="C190" s="193">
        <v>38</v>
      </c>
      <c r="D190" s="179">
        <f t="shared" si="11"/>
        <v>2094.94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164</v>
      </c>
      <c r="B191" s="181">
        <f>'Données projet'!D179</f>
        <v>59.58</v>
      </c>
      <c r="C191" s="193">
        <v>38</v>
      </c>
      <c r="D191" s="179">
        <f t="shared" si="11"/>
        <v>2264.04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174</v>
      </c>
      <c r="B192" s="181">
        <f>'Données projet'!D180</f>
        <v>214.77</v>
      </c>
      <c r="C192" s="193">
        <v>38</v>
      </c>
      <c r="D192" s="179">
        <f t="shared" si="11"/>
        <v>8161.26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177</v>
      </c>
      <c r="B193" s="181">
        <f>'Données projet'!D181</f>
        <v>115.19</v>
      </c>
      <c r="C193" s="193">
        <v>38</v>
      </c>
      <c r="D193" s="179">
        <f t="shared" si="11"/>
        <v>4377.22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180</v>
      </c>
      <c r="B194" s="181">
        <f>'Données projet'!D182</f>
        <v>77.72</v>
      </c>
      <c r="C194" s="193">
        <v>38</v>
      </c>
      <c r="D194" s="179">
        <f t="shared" si="11"/>
        <v>2953.36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183</v>
      </c>
      <c r="B195" s="181">
        <f>'Données projet'!D183</f>
        <v>169.76</v>
      </c>
      <c r="C195" s="193">
        <v>38</v>
      </c>
      <c r="D195" s="179">
        <f t="shared" si="11"/>
        <v>6450.8799999999992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45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>
        <v>5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>
        <v>5</v>
      </c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>
        <v>5</v>
      </c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>
        <v>5</v>
      </c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>
        <v>5</v>
      </c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>
        <v>21.5</v>
      </c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>
        <v>21.5</v>
      </c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>
        <v>21.5</v>
      </c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>
        <v>21.5</v>
      </c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>
        <v>38</v>
      </c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>
        <v>38</v>
      </c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>
        <v>38</v>
      </c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>
        <v>38</v>
      </c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>
        <v>38</v>
      </c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>
        <v>38</v>
      </c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>
        <v>38</v>
      </c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>
        <v>38</v>
      </c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>
        <v>38</v>
      </c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45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45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45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7edffb7d4e9dabfd78fd8c3eb30367c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a9159a79c62be9832a137a358e0df793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889E93-5B51-4F15-AE41-7F81C9074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Aurélien Blond</cp:lastModifiedBy>
  <cp:revision/>
  <dcterms:created xsi:type="dcterms:W3CDTF">2021-02-01T08:22:39Z</dcterms:created>
  <dcterms:modified xsi:type="dcterms:W3CDTF">2026-01-14T18:40:31Z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