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a4a3636af90c1be/Documents/Prestations/Reboisement/La Séguinière/LBC/"/>
    </mc:Choice>
  </mc:AlternateContent>
  <xr:revisionPtr revIDLastSave="22" documentId="14_{8DA87F0D-C04A-4974-909E-AB6F2E7A9BC6}" xr6:coauthVersionLast="47" xr6:coauthVersionMax="47" xr10:uidLastSave="{52D42D8F-EF44-4067-B4B6-368C1A999E3C}"/>
  <bookViews>
    <workbookView xWindow="2868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H20" i="2"/>
  <c r="FS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FS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I57" i="2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HG113" i="2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FS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HH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AB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EY154" i="2"/>
  <c r="EW155" i="2"/>
  <c r="ED154" i="2"/>
  <c r="EX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FS156" i="2"/>
  <c r="HH156" i="2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X161" i="2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B162" i="2"/>
  <c r="EY161" i="2"/>
  <c r="ED161" i="2"/>
  <c r="EW162" i="2"/>
  <c r="DI161" i="2"/>
  <c r="HH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D162" i="2"/>
  <c r="HH163" i="2"/>
  <c r="EY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D163" i="2"/>
  <c r="EA164" i="2"/>
  <c r="EY163" i="2"/>
  <c r="FR164" i="2"/>
  <c r="HH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HH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Y166" i="2"/>
  <c r="FR167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HH168" i="2"/>
  <c r="HI168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Y171" i="2"/>
  <c r="EA172" i="2"/>
  <c r="HI172" i="2"/>
  <c r="ED171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C177" i="2"/>
  <c r="HH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A178" i="2"/>
  <c r="EB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EY184" i="2"/>
  <c r="HI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S186" i="2"/>
  <c r="EA186" i="2"/>
  <c r="HG186" i="2"/>
  <c r="HH186" i="2"/>
  <c r="EW186" i="2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HH189" i="2"/>
  <c r="AA189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Y189" i="2"/>
  <c r="HG190" i="2"/>
  <c r="ED189" i="2"/>
  <c r="EV190" i="2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D190" i="2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B194" i="2"/>
  <c r="HI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Y194" i="2"/>
  <c r="EX195" i="2"/>
  <c r="HI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Y196" i="2"/>
  <c r="FS197" i="2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V199" i="2"/>
  <c r="EY198" i="2"/>
  <c r="FS199" i="2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HJ199" i="2" l="1"/>
  <c r="EW200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HG201" i="2"/>
  <c r="DI200" i="2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 l="1"/>
  <c r="EW202" i="2"/>
  <c r="FS202" i="2"/>
  <c r="HI202" i="2"/>
  <c r="ED201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152" i="2" a="1"/>
  <c r="DN152" i="2" s="1"/>
  <c r="DN113" i="2" a="1"/>
  <c r="DN113" i="2" s="1"/>
  <c r="DN50" i="2" a="1"/>
  <c r="DN50" i="2" s="1"/>
  <c r="DN129" i="2" a="1"/>
  <c r="DN129" i="2" s="1"/>
  <c r="DN170" i="2" a="1"/>
  <c r="DN170" i="2" s="1"/>
  <c r="DN150" i="2" a="1"/>
  <c r="DN150" i="2" s="1"/>
  <c r="DN103" i="2" a="1"/>
  <c r="DN103" i="2" s="1"/>
  <c r="DN114" i="2" a="1"/>
  <c r="DN114" i="2" s="1"/>
  <c r="CS77" i="2" a="1"/>
  <c r="CS77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31" i="2" a="1"/>
  <c r="BC31" i="2" s="1"/>
  <c r="BC143" i="2" a="1"/>
  <c r="BC143" i="2" s="1"/>
  <c r="BC185" i="2" a="1"/>
  <c r="BC185" i="2" s="1"/>
  <c r="BC7" i="2" a="1"/>
  <c r="BC7" i="2" s="1"/>
  <c r="DN63" i="2" a="1"/>
  <c r="DN63" i="2" s="1"/>
  <c r="EI38" i="2" a="1"/>
  <c r="EI38" i="2" s="1"/>
  <c r="EI113" i="2" a="1"/>
  <c r="EI113" i="2" s="1"/>
  <c r="EI16" i="2" a="1"/>
  <c r="EI16" i="2" s="1"/>
  <c r="EI170" i="2" a="1"/>
  <c r="EI170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70" i="2" a="1"/>
  <c r="DN70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FD82" i="2" a="1"/>
  <c r="FD82" i="2" s="1"/>
  <c r="AX200" i="2"/>
  <c r="HJ202" i="2" l="1"/>
  <c r="EI37" i="2" a="1"/>
  <c r="EI37" i="2" s="1"/>
  <c r="EI35" i="2" a="1"/>
  <c r="EI35" i="2" s="1"/>
  <c r="EI139" i="2" a="1"/>
  <c r="EI139" i="2" s="1"/>
  <c r="EI67" i="2" a="1"/>
  <c r="EI67" i="2" s="1"/>
  <c r="DN25" i="2" a="1"/>
  <c r="DN25" i="2" s="1"/>
  <c r="DN65" i="2" a="1"/>
  <c r="DN65" i="2" s="1"/>
  <c r="DN123" i="2" a="1"/>
  <c r="DN123" i="2" s="1"/>
  <c r="DN184" i="2" a="1"/>
  <c r="DN184" i="2" s="1"/>
  <c r="DN55" i="2" a="1"/>
  <c r="DN55" i="2" s="1"/>
  <c r="DN168" i="2" a="1"/>
  <c r="DN168" i="2" s="1"/>
  <c r="DN192" i="2" a="1"/>
  <c r="DN192" i="2" s="1"/>
  <c r="DN29" i="2" a="1"/>
  <c r="DN29" i="2" s="1"/>
  <c r="DN187" i="2" a="1"/>
  <c r="DN187" i="2" s="1"/>
  <c r="DN110" i="2" a="1"/>
  <c r="DN110" i="2" s="1"/>
  <c r="DN66" i="2" a="1"/>
  <c r="DN66" i="2" s="1"/>
  <c r="DN41" i="2" a="1"/>
  <c r="DN41" i="2" s="1"/>
  <c r="DN45" i="2" a="1"/>
  <c r="DN45" i="2" s="1"/>
  <c r="DN31" i="2" a="1"/>
  <c r="DN31" i="2" s="1"/>
  <c r="DN177" i="2" a="1"/>
  <c r="DN177" i="2" s="1"/>
  <c r="DN43" i="2" a="1"/>
  <c r="DN43" i="2" s="1"/>
  <c r="DN132" i="2" a="1"/>
  <c r="DN132" i="2" s="1"/>
  <c r="DN167" i="2" a="1"/>
  <c r="DN167" i="2" s="1"/>
  <c r="DN115" i="2" a="1"/>
  <c r="DN115" i="2" s="1"/>
  <c r="DN186" i="2" a="1"/>
  <c r="DN186" i="2" s="1"/>
  <c r="DN30" i="2" a="1"/>
  <c r="DN30" i="2" s="1"/>
  <c r="DN16" i="2" a="1"/>
  <c r="DN16" i="2" s="1"/>
  <c r="DN153" i="2" a="1"/>
  <c r="DN153" i="2" s="1"/>
  <c r="CS137" i="2" a="1"/>
  <c r="CS137" i="2" s="1"/>
  <c r="CS116" i="2" a="1"/>
  <c r="CS116" i="2" s="1"/>
  <c r="CS24" i="2" a="1"/>
  <c r="CS24" i="2" s="1"/>
  <c r="BC32" i="2" a="1"/>
  <c r="BC32" i="2" s="1"/>
  <c r="BC84" i="2" a="1"/>
  <c r="BC84" i="2" s="1"/>
  <c r="BC18" i="2" a="1"/>
  <c r="BC18" i="2" s="1"/>
  <c r="BC38" i="2" a="1"/>
  <c r="BC38" i="2" s="1"/>
  <c r="BC83" i="2" a="1"/>
  <c r="BC83" i="2" s="1"/>
  <c r="BC117" i="2" a="1"/>
  <c r="BC117" i="2" s="1"/>
  <c r="BC151" i="2" a="1"/>
  <c r="BC151" i="2" s="1"/>
  <c r="BC181" i="2" a="1"/>
  <c r="BC181" i="2" s="1"/>
  <c r="EY202" i="2"/>
  <c r="FY142" i="2" a="1"/>
  <c r="FY142" i="2" s="1"/>
  <c r="FD188" i="2" a="1"/>
  <c r="FD188" i="2" s="1"/>
  <c r="EI128" i="2" a="1"/>
  <c r="EI128" i="2" s="1"/>
  <c r="EI57" i="2" a="1"/>
  <c r="EI57" i="2" s="1"/>
  <c r="EI106" i="2" a="1"/>
  <c r="EI106" i="2" s="1"/>
  <c r="EI195" i="2" a="1"/>
  <c r="EI195" i="2" s="1"/>
  <c r="EI71" i="2" a="1"/>
  <c r="EI71" i="2" s="1"/>
  <c r="EI36" i="2" a="1"/>
  <c r="EI36" i="2" s="1"/>
  <c r="EI166" i="2" a="1"/>
  <c r="EI166" i="2" s="1"/>
  <c r="EI20" i="2" a="1"/>
  <c r="EI20" i="2" s="1"/>
  <c r="EI165" i="2" a="1"/>
  <c r="EI165" i="2" s="1"/>
  <c r="EI87" i="2" a="1"/>
  <c r="EI87" i="2" s="1"/>
  <c r="EI34" i="2" a="1"/>
  <c r="EI34" i="2" s="1"/>
  <c r="EI142" i="2" a="1"/>
  <c r="EI142" i="2" s="1"/>
  <c r="EI109" i="2" a="1"/>
  <c r="EI109" i="2" s="1"/>
  <c r="CS129" i="2" a="1"/>
  <c r="CS129" i="2" s="1"/>
  <c r="CS56" i="2" a="1"/>
  <c r="CS56" i="2" s="1"/>
  <c r="CS185" i="2" a="1"/>
  <c r="CS185" i="2" s="1"/>
  <c r="CS52" i="2" a="1"/>
  <c r="CS52" i="2" s="1"/>
  <c r="CS38" i="2" a="1"/>
  <c r="CS38" i="2" s="1"/>
  <c r="CS66" i="2" a="1"/>
  <c r="CS66" i="2" s="1"/>
  <c r="CS105" i="2" a="1"/>
  <c r="CS105" i="2" s="1"/>
  <c r="CS120" i="2" a="1"/>
  <c r="CS120" i="2" s="1"/>
  <c r="CS72" i="2" a="1"/>
  <c r="CS72" i="2" s="1"/>
  <c r="CS134" i="2" a="1"/>
  <c r="CS134" i="2" s="1"/>
  <c r="CS161" i="2" a="1"/>
  <c r="CS161" i="2" s="1"/>
  <c r="BX107" i="2" a="1"/>
  <c r="BX107" i="2" s="1"/>
  <c r="BC65" i="2" a="1"/>
  <c r="BC65" i="2" s="1"/>
  <c r="BC114" i="2" a="1"/>
  <c r="BC114" i="2" s="1"/>
  <c r="BC126" i="2" a="1"/>
  <c r="BC126" i="2" s="1"/>
  <c r="BC55" i="2" a="1"/>
  <c r="BC55" i="2" s="1"/>
  <c r="BC47" i="2" a="1"/>
  <c r="BC47" i="2" s="1"/>
  <c r="BC164" i="2" a="1"/>
  <c r="BC164" i="2" s="1"/>
  <c r="BC192" i="2" a="1"/>
  <c r="BC192" i="2" s="1"/>
  <c r="BC82" i="2" a="1"/>
  <c r="BC82" i="2" s="1"/>
  <c r="BC130" i="2" a="1"/>
  <c r="BC130" i="2" s="1"/>
  <c r="BC58" i="2" a="1"/>
  <c r="BC58" i="2" s="1"/>
  <c r="AH163" i="2" a="1"/>
  <c r="AH163" i="2" s="1"/>
  <c r="AH62" i="2" a="1"/>
  <c r="AH62" i="2" s="1"/>
  <c r="AH199" i="2" a="1"/>
  <c r="AH199" i="2" s="1"/>
  <c r="FY50" i="2" a="1"/>
  <c r="FY50" i="2" s="1"/>
  <c r="GT15" i="2" a="1"/>
  <c r="GT15" i="2" s="1"/>
  <c r="GT11" i="2" a="1"/>
  <c r="GT11" i="2" s="1"/>
  <c r="GT33" i="2" a="1"/>
  <c r="GT33" i="2" s="1"/>
  <c r="GT191" i="2" a="1"/>
  <c r="GT191" i="2" s="1"/>
  <c r="FY30" i="2" a="1"/>
  <c r="FY30" i="2" s="1"/>
  <c r="GT133" i="2" a="1"/>
  <c r="GT133" i="2" s="1"/>
  <c r="BC68" i="2" a="1"/>
  <c r="BC68" i="2" s="1"/>
  <c r="GT121" i="2" a="1"/>
  <c r="GT121" i="2" s="1"/>
  <c r="GT138" i="2" a="1"/>
  <c r="GT138" i="2" s="1"/>
  <c r="GT152" i="2" a="1"/>
  <c r="GT152" i="2" s="1"/>
  <c r="GT38" i="2" a="1"/>
  <c r="GT38" i="2" s="1"/>
  <c r="FY196" i="2" a="1"/>
  <c r="FY196" i="2" s="1"/>
  <c r="GT126" i="2" a="1"/>
  <c r="GT126" i="2" s="1"/>
  <c r="DN188" i="2" a="1"/>
  <c r="DN188" i="2" s="1"/>
  <c r="DN137" i="2" a="1"/>
  <c r="DN137" i="2" s="1"/>
  <c r="GT122" i="2" a="1"/>
  <c r="GT122" i="2" s="1"/>
  <c r="BC34" i="2" a="1"/>
  <c r="BC34" i="2" s="1"/>
  <c r="FS203" i="2"/>
  <c r="GT102" i="2" a="1"/>
  <c r="GT102" i="2" s="1"/>
  <c r="GT147" i="2" a="1"/>
  <c r="GT147" i="2" s="1"/>
  <c r="GT174" i="2" a="1"/>
  <c r="GT174" i="2" s="1"/>
  <c r="GT190" i="2" a="1"/>
  <c r="GT190" i="2" s="1"/>
  <c r="GT74" i="2" a="1"/>
  <c r="GT74" i="2" s="1"/>
  <c r="DN86" i="2" a="1"/>
  <c r="DN86" i="2" s="1"/>
  <c r="GT51" i="2" a="1"/>
  <c r="GT51" i="2" s="1"/>
  <c r="FY104" i="2" a="1"/>
  <c r="FY104" i="2" s="1"/>
  <c r="GT178" i="2" a="1"/>
  <c r="GT178" i="2" s="1"/>
  <c r="GT68" i="2" a="1"/>
  <c r="GT68" i="2" s="1"/>
  <c r="FY190" i="2" a="1"/>
  <c r="FY190" i="2" s="1"/>
  <c r="GT189" i="2" a="1"/>
  <c r="GT189" i="2" s="1"/>
  <c r="DN124" i="2" a="1"/>
  <c r="DN124" i="2" s="1"/>
  <c r="GT181" i="2" a="1"/>
  <c r="GT181" i="2" s="1"/>
  <c r="AH92" i="2" a="1"/>
  <c r="AH92" i="2" s="1"/>
  <c r="GT107" i="2" a="1"/>
  <c r="GT107" i="2" s="1"/>
  <c r="GT198" i="2" a="1"/>
  <c r="GT198" i="2" s="1"/>
  <c r="GT184" i="2" a="1"/>
  <c r="GT184" i="2" s="1"/>
  <c r="FY78" i="2" a="1"/>
  <c r="FY78" i="2" s="1"/>
  <c r="GT21" i="2" a="1"/>
  <c r="GT21" i="2" s="1"/>
  <c r="DN155" i="2" a="1"/>
  <c r="DN155" i="2" s="1"/>
  <c r="GT115" i="2" a="1"/>
  <c r="GT115" i="2" s="1"/>
  <c r="FY186" i="2" a="1"/>
  <c r="FY186" i="2" s="1"/>
  <c r="GT12" i="2" a="1"/>
  <c r="GT12" i="2" s="1"/>
  <c r="DN56" i="2" a="1"/>
  <c r="DN56" i="2" s="1"/>
  <c r="FY69" i="2" a="1"/>
  <c r="FY69" i="2" s="1"/>
  <c r="FY35" i="2" a="1"/>
  <c r="FY3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EY203" i="2"/>
  <c r="FT203" i="2"/>
  <c r="DI203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D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202" i="2" l="1"/>
  <c r="GE6" i="2"/>
  <c r="GE11" i="2"/>
  <c r="GE186" i="2"/>
  <c r="GE193" i="2"/>
  <c r="GE51" i="2"/>
  <c r="GE12" i="2"/>
  <c r="GE57" i="2"/>
  <c r="GE122" i="2"/>
  <c r="GE7" i="2"/>
  <c r="GE111" i="2"/>
  <c r="GE41" i="2"/>
  <c r="GE65" i="2"/>
  <c r="GE140" i="2"/>
  <c r="GE149" i="2"/>
  <c r="GE138" i="2"/>
  <c r="GE77" i="2"/>
  <c r="GE60" i="2"/>
  <c r="GE62" i="2"/>
  <c r="GE85" i="2"/>
  <c r="GE25" i="2"/>
  <c r="GE195" i="2"/>
  <c r="GE54" i="2"/>
  <c r="GE145" i="2"/>
  <c r="GE121" i="2"/>
  <c r="GE26" i="2"/>
  <c r="GE160" i="2"/>
  <c r="GE155" i="2"/>
  <c r="GE9" i="2"/>
  <c r="GE168" i="2"/>
  <c r="GE23" i="2"/>
  <c r="GE141" i="2"/>
  <c r="GE21" i="2"/>
  <c r="GE161" i="2"/>
  <c r="GE34" i="2"/>
  <c r="GE114" i="2"/>
  <c r="GE197" i="2"/>
  <c r="GE144" i="2"/>
  <c r="GE71" i="2"/>
  <c r="GE98" i="2"/>
  <c r="GE55" i="2"/>
  <c r="GE115" i="2"/>
  <c r="GE30" i="2"/>
  <c r="GE68" i="2"/>
  <c r="GE187" i="2"/>
  <c r="GE152" i="2"/>
  <c r="GE33" i="2"/>
  <c r="GE81" i="2"/>
  <c r="GE201" i="2"/>
  <c r="GE118" i="2"/>
  <c r="GE86" i="2"/>
  <c r="GE42" i="2"/>
  <c r="GE190" i="2"/>
  <c r="GE105" i="2"/>
  <c r="GE127" i="2"/>
  <c r="GE88" i="2"/>
  <c r="GE184" i="2"/>
  <c r="GE97" i="2"/>
  <c r="GE148" i="2"/>
  <c r="GE84" i="2"/>
  <c r="GE16" i="2"/>
  <c r="GE22" i="2"/>
  <c r="GE170" i="2"/>
  <c r="GE129" i="2"/>
  <c r="GE113" i="2"/>
  <c r="GE96" i="2"/>
  <c r="GE90" i="2"/>
  <c r="GE198" i="2"/>
  <c r="GE200" i="2"/>
  <c r="GE14" i="2"/>
  <c r="GE39" i="2"/>
  <c r="GE40" i="2"/>
  <c r="GE17" i="2"/>
  <c r="GE63" i="2"/>
  <c r="GE64" i="2"/>
  <c r="GE137" i="2"/>
  <c r="GE45" i="2"/>
  <c r="GE73" i="2"/>
  <c r="GE107" i="2"/>
  <c r="GE194" i="2"/>
  <c r="GE132" i="2"/>
  <c r="GE125" i="2"/>
  <c r="GE93" i="2"/>
  <c r="GE150" i="2"/>
  <c r="GE158" i="2"/>
  <c r="GE37" i="2"/>
  <c r="GE91" i="2"/>
  <c r="GE75" i="2"/>
  <c r="GE36" i="2"/>
  <c r="GE203" i="2"/>
  <c r="GE104" i="2"/>
  <c r="GE48" i="2"/>
  <c r="GE44" i="2"/>
  <c r="GE83" i="2"/>
  <c r="GE103" i="2"/>
  <c r="GE72" i="2"/>
  <c r="GE174" i="2"/>
  <c r="GE159" i="2"/>
  <c r="GE24" i="2"/>
  <c r="GE164" i="2"/>
  <c r="GE124" i="2"/>
  <c r="GE66" i="2"/>
  <c r="GE172" i="2"/>
  <c r="GE126" i="2"/>
  <c r="GE46" i="2"/>
  <c r="GE109" i="2"/>
  <c r="GE100" i="2"/>
  <c r="GE61" i="2"/>
  <c r="GE133" i="2"/>
  <c r="GE74" i="2"/>
  <c r="GE49" i="2"/>
  <c r="GE156" i="2"/>
  <c r="GE134" i="2"/>
  <c r="GE78" i="2"/>
  <c r="GE199" i="2"/>
  <c r="GE130" i="2"/>
  <c r="GE180" i="2"/>
  <c r="GE183" i="2"/>
  <c r="GE58" i="2"/>
  <c r="GE8" i="2"/>
  <c r="GE192" i="2"/>
  <c r="GE35" i="2"/>
  <c r="GE80" i="2"/>
  <c r="GE70" i="2"/>
  <c r="GE128" i="2"/>
  <c r="GE179" i="2"/>
  <c r="GE181" i="2"/>
  <c r="GE50" i="2"/>
  <c r="GE43" i="2"/>
  <c r="GE47" i="2"/>
  <c r="GE196" i="2"/>
  <c r="GE38" i="2"/>
  <c r="GE5" i="2"/>
  <c r="GE142" i="2"/>
  <c r="GE136" i="2"/>
  <c r="GE101" i="2"/>
  <c r="GE120" i="2"/>
  <c r="GE102" i="2"/>
  <c r="GE95" i="2"/>
  <c r="GE112" i="2"/>
  <c r="GE94" i="2"/>
  <c r="GE110" i="2"/>
  <c r="GE176" i="2"/>
  <c r="GE27" i="2"/>
  <c r="GE191" i="2"/>
  <c r="GE89" i="2"/>
  <c r="GE117" i="2"/>
  <c r="GE154" i="2"/>
  <c r="GE131" i="2"/>
  <c r="GE106" i="2"/>
  <c r="GE4" i="2"/>
  <c r="GE185" i="2"/>
  <c r="GE157" i="2"/>
  <c r="GE56" i="2"/>
  <c r="GE18" i="2"/>
  <c r="GE116" i="2"/>
  <c r="GE28" i="2"/>
  <c r="GE29" i="2"/>
  <c r="GE67" i="2"/>
  <c r="GE119" i="2"/>
  <c r="GE182" i="2"/>
  <c r="GE166" i="2"/>
  <c r="GE69" i="2"/>
  <c r="GE189" i="2"/>
  <c r="GE31" i="2"/>
  <c r="GE146" i="2"/>
  <c r="GE135" i="2"/>
  <c r="GE177" i="2"/>
  <c r="GE92" i="2"/>
  <c r="GE82" i="2"/>
  <c r="GE3" i="2"/>
  <c r="C14" i="4" s="1"/>
  <c r="E14" i="4" s="1"/>
  <c r="F14" i="4" s="1"/>
  <c r="G14" i="4" s="1"/>
  <c r="L14" i="4" s="1"/>
  <c r="GE99" i="2"/>
  <c r="GE178" i="2"/>
  <c r="GE53" i="2"/>
  <c r="GE163" i="2"/>
  <c r="GE169" i="2"/>
  <c r="GE52" i="2"/>
  <c r="GE162" i="2"/>
  <c r="GE167" i="2"/>
  <c r="GE147" i="2"/>
  <c r="GE87" i="2"/>
  <c r="GE173" i="2"/>
  <c r="GE108" i="2"/>
  <c r="GE171" i="2"/>
  <c r="GE59" i="2"/>
  <c r="GE20" i="2"/>
  <c r="GE143" i="2"/>
  <c r="GE32" i="2"/>
  <c r="GE10" i="2"/>
  <c r="GE188" i="2"/>
  <c r="GE76" i="2"/>
  <c r="GE19" i="2"/>
  <c r="GE79" i="2"/>
  <c r="GE139" i="2"/>
  <c r="GE175" i="2"/>
  <c r="GE151" i="2"/>
  <c r="GE13" i="2"/>
  <c r="GE123" i="2"/>
  <c r="GE153" i="2"/>
  <c r="GE15" i="2"/>
  <c r="GE165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Y51" i="2" l="1"/>
  <c r="CY122" i="2"/>
  <c r="CY181" i="2"/>
  <c r="CY152" i="2"/>
  <c r="CY144" i="2"/>
  <c r="CY46" i="2"/>
  <c r="CY126" i="2"/>
  <c r="CY139" i="2"/>
  <c r="CY104" i="2"/>
  <c r="CY148" i="2"/>
  <c r="CY119" i="2"/>
  <c r="CY58" i="2"/>
  <c r="CY24" i="2"/>
  <c r="CY149" i="2"/>
  <c r="CY15" i="2"/>
  <c r="CY19" i="2"/>
  <c r="CY130" i="2"/>
  <c r="CY45" i="2"/>
  <c r="CY156" i="2"/>
  <c r="CY48" i="2"/>
  <c r="CY67" i="2"/>
  <c r="CY7" i="2"/>
  <c r="CY107" i="2"/>
  <c r="CY160" i="2"/>
  <c r="CY83" i="2"/>
  <c r="CY200" i="2"/>
  <c r="CY33" i="2"/>
  <c r="CY100" i="2"/>
  <c r="CY82" i="2"/>
  <c r="CY80" i="2"/>
  <c r="CY75" i="2"/>
  <c r="CY155" i="2"/>
  <c r="CY10" i="2"/>
  <c r="CY66" i="2"/>
  <c r="CY22" i="2"/>
  <c r="CY98" i="2"/>
  <c r="CY88" i="2"/>
  <c r="CY62" i="2"/>
  <c r="CY43" i="2"/>
  <c r="CY120" i="2"/>
  <c r="CY173" i="2"/>
  <c r="CY145" i="2"/>
  <c r="CY118" i="2"/>
  <c r="CY121" i="2"/>
  <c r="CY96" i="2"/>
  <c r="CY125" i="2"/>
  <c r="CY161" i="2"/>
  <c r="CY78" i="2"/>
  <c r="CY85" i="2"/>
  <c r="CY157" i="2"/>
  <c r="CY32" i="2"/>
  <c r="CY116" i="2"/>
  <c r="CY68" i="2"/>
  <c r="CY112" i="2"/>
  <c r="CY166" i="2"/>
  <c r="CY72" i="2"/>
  <c r="CY106" i="2"/>
  <c r="CY163" i="2"/>
  <c r="CY101" i="2"/>
  <c r="CY27" i="2"/>
  <c r="CY167" i="2"/>
  <c r="CY60" i="2"/>
  <c r="CY189" i="2"/>
  <c r="CY16" i="2"/>
  <c r="CY134" i="2"/>
  <c r="CY190" i="2"/>
  <c r="CY140" i="2"/>
  <c r="CY142" i="2"/>
  <c r="CY201" i="2"/>
  <c r="CY172" i="2"/>
  <c r="CY63" i="2"/>
  <c r="CY162" i="2"/>
  <c r="CY91" i="2"/>
  <c r="CY158" i="2"/>
  <c r="CY13" i="2"/>
  <c r="CY4" i="2"/>
  <c r="CY69" i="2"/>
  <c r="CY197" i="2"/>
  <c r="CY186" i="2"/>
  <c r="CY86" i="2"/>
  <c r="CY47" i="2"/>
  <c r="CY203" i="2"/>
  <c r="CY179" i="2"/>
  <c r="CY25" i="2"/>
  <c r="CY141" i="2"/>
  <c r="CY79" i="2"/>
  <c r="CY137" i="2"/>
  <c r="CY188" i="2"/>
  <c r="CY196" i="2"/>
  <c r="CY111" i="2"/>
  <c r="CY21" i="2"/>
  <c r="CY114" i="2"/>
  <c r="CY170" i="2"/>
  <c r="CY31" i="2"/>
  <c r="CY14" i="2"/>
  <c r="CY9" i="2"/>
  <c r="CY55" i="2"/>
  <c r="CY199" i="2"/>
  <c r="CY102" i="2"/>
  <c r="CY34" i="2"/>
  <c r="CY182" i="2"/>
  <c r="CY89" i="2"/>
  <c r="CY171" i="2"/>
  <c r="CY202" i="2"/>
  <c r="CY49" i="2"/>
  <c r="CY95" i="2"/>
  <c r="CY165" i="2"/>
  <c r="CY105" i="2"/>
  <c r="CY146" i="2"/>
  <c r="CY150" i="2"/>
  <c r="CY28" i="2"/>
  <c r="CY132" i="2"/>
  <c r="CY135" i="2"/>
  <c r="CY94" i="2"/>
  <c r="CY29" i="2"/>
  <c r="CY65" i="2"/>
  <c r="CY56" i="2"/>
  <c r="CY198" i="2"/>
  <c r="CY6" i="2"/>
  <c r="CY39" i="2"/>
  <c r="CY178" i="2"/>
  <c r="CY115" i="2"/>
  <c r="CY183" i="2"/>
  <c r="CY38" i="2"/>
  <c r="CY109" i="2"/>
  <c r="CY35" i="2"/>
  <c r="CY110" i="2"/>
  <c r="CY194" i="2"/>
  <c r="CY76" i="2"/>
  <c r="CY169" i="2"/>
  <c r="CY84" i="2"/>
  <c r="CY129" i="2"/>
  <c r="CY117" i="2"/>
  <c r="CY18" i="2"/>
  <c r="CY147" i="2"/>
  <c r="CY195" i="2"/>
  <c r="CY127" i="2"/>
  <c r="CY191" i="2"/>
  <c r="CY177" i="2"/>
  <c r="CY23" i="2"/>
  <c r="CY136" i="2"/>
  <c r="CY185" i="2"/>
  <c r="CY59" i="2"/>
  <c r="CY128" i="2"/>
  <c r="CY64" i="2"/>
  <c r="CY164" i="2"/>
  <c r="CY11" i="2"/>
  <c r="CY61" i="2"/>
  <c r="CY108" i="2"/>
  <c r="CY74" i="2"/>
  <c r="CY17" i="2"/>
  <c r="CY143" i="2"/>
  <c r="CY42" i="2"/>
  <c r="CY187" i="2"/>
  <c r="CY93" i="2"/>
  <c r="CY103" i="2"/>
  <c r="CY123" i="2"/>
  <c r="CY159" i="2"/>
  <c r="CY70" i="2"/>
  <c r="CY97" i="2"/>
  <c r="CY30" i="2"/>
  <c r="CY77" i="2"/>
  <c r="CY71" i="2"/>
  <c r="CY40" i="2"/>
  <c r="CY138" i="2"/>
  <c r="CY20" i="2"/>
  <c r="CY87" i="2"/>
  <c r="CY26" i="2"/>
  <c r="CY131" i="2"/>
  <c r="CY174" i="2"/>
  <c r="CY8" i="2"/>
  <c r="CY176" i="2"/>
  <c r="CY192" i="2"/>
  <c r="CY50" i="2"/>
  <c r="CY124" i="2"/>
  <c r="CY3" i="2"/>
  <c r="C10" i="4" s="1"/>
  <c r="E10" i="4" s="1"/>
  <c r="F10" i="4" s="1"/>
  <c r="G10" i="4" s="1"/>
  <c r="L10" i="4" s="1"/>
  <c r="CY12" i="2"/>
  <c r="CY41" i="2"/>
  <c r="CY37" i="2"/>
  <c r="CY168" i="2"/>
  <c r="CY92" i="2"/>
  <c r="CY184" i="2"/>
  <c r="CY52" i="2"/>
  <c r="CY99" i="2"/>
  <c r="CY5" i="2"/>
  <c r="CY53" i="2"/>
  <c r="CY154" i="2"/>
  <c r="CY54" i="2"/>
  <c r="CY180" i="2"/>
  <c r="CY133" i="2"/>
  <c r="CY175" i="2"/>
  <c r="CY113" i="2"/>
  <c r="CY73" i="2"/>
  <c r="CY44" i="2"/>
  <c r="CY90" i="2"/>
  <c r="CY36" i="2"/>
  <c r="CY57" i="2"/>
  <c r="CY153" i="2"/>
  <c r="CY81" i="2"/>
  <c r="CY193" i="2"/>
  <c r="CY151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28" i="2" l="1"/>
  <c r="AN139" i="2"/>
  <c r="AN90" i="2"/>
  <c r="AN105" i="2"/>
  <c r="AN76" i="2"/>
  <c r="AN39" i="2"/>
  <c r="AN100" i="2"/>
  <c r="AN145" i="2"/>
  <c r="AN92" i="2"/>
  <c r="AN101" i="2"/>
  <c r="AN113" i="2"/>
  <c r="AN67" i="2"/>
  <c r="AN177" i="2"/>
  <c r="AN41" i="2"/>
  <c r="AN108" i="2"/>
  <c r="AN40" i="2"/>
  <c r="AN50" i="2"/>
  <c r="AN16" i="2"/>
  <c r="AN62" i="2"/>
  <c r="AN126" i="2"/>
  <c r="AN93" i="2"/>
  <c r="AN51" i="2"/>
  <c r="AN152" i="2"/>
  <c r="AN138" i="2"/>
  <c r="AN156" i="2"/>
  <c r="AN104" i="2"/>
  <c r="AN70" i="2"/>
  <c r="AN144" i="2"/>
  <c r="AN172" i="2"/>
  <c r="AN87" i="2"/>
  <c r="AN5" i="2"/>
  <c r="AN54" i="2"/>
  <c r="AN18" i="2"/>
  <c r="AN159" i="2"/>
  <c r="AN171" i="2"/>
  <c r="AN30" i="2"/>
  <c r="AN173" i="2"/>
  <c r="AN23" i="2"/>
  <c r="AN48" i="2"/>
  <c r="AN122" i="2"/>
  <c r="AN37" i="2"/>
  <c r="AN85" i="2"/>
  <c r="AN98" i="2"/>
  <c r="AN84" i="2"/>
  <c r="AN20" i="2"/>
  <c r="AN182" i="2"/>
  <c r="AN127" i="2"/>
  <c r="AN46" i="2"/>
  <c r="AN45" i="2"/>
  <c r="AN83" i="2"/>
  <c r="AN166" i="2"/>
  <c r="AN180" i="2"/>
  <c r="AN183" i="2"/>
  <c r="AN97" i="2"/>
  <c r="AN52" i="2"/>
  <c r="AN154" i="2"/>
  <c r="AN167" i="2"/>
  <c r="AN91" i="2"/>
  <c r="AN21" i="2"/>
  <c r="AN158" i="2"/>
  <c r="AN190" i="2"/>
  <c r="AN25" i="2"/>
  <c r="AN29" i="2"/>
  <c r="AN179" i="2"/>
  <c r="AN128" i="2"/>
  <c r="AN121" i="2"/>
  <c r="AN181" i="2"/>
  <c r="AN31" i="2"/>
  <c r="AN141" i="2"/>
  <c r="AN57" i="2"/>
  <c r="AN43" i="2"/>
  <c r="AN10" i="2"/>
  <c r="AN192" i="2"/>
  <c r="AN81" i="2"/>
  <c r="AN117" i="2"/>
  <c r="AN56" i="2"/>
  <c r="AN110" i="2"/>
  <c r="AN150" i="2"/>
  <c r="AN12" i="2"/>
  <c r="AN202" i="2"/>
  <c r="AN99" i="2"/>
  <c r="AN185" i="2"/>
  <c r="AN160" i="2"/>
  <c r="AN82" i="2"/>
  <c r="AN69" i="2"/>
  <c r="AN120" i="2"/>
  <c r="AN123" i="2"/>
  <c r="AN8" i="2"/>
  <c r="AN199" i="2"/>
  <c r="AN49" i="2"/>
  <c r="AN96" i="2"/>
  <c r="AN7" i="2"/>
  <c r="AN9" i="2"/>
  <c r="AN11" i="2"/>
  <c r="AN184" i="2"/>
  <c r="AN203" i="2"/>
  <c r="AN164" i="2"/>
  <c r="AN191" i="2"/>
  <c r="AN106" i="2"/>
  <c r="AN107" i="2"/>
  <c r="AN95" i="2"/>
  <c r="AN168" i="2"/>
  <c r="AN155" i="2"/>
  <c r="AN34" i="2"/>
  <c r="AN174" i="2"/>
  <c r="AN112" i="2"/>
  <c r="AN143" i="2"/>
  <c r="AN187" i="2"/>
  <c r="AN86" i="2"/>
  <c r="AN22" i="2"/>
  <c r="AN4" i="2"/>
  <c r="AN115" i="2"/>
  <c r="AN142" i="2"/>
  <c r="AN125" i="2"/>
  <c r="AN17" i="2"/>
  <c r="AN60" i="2"/>
  <c r="AN75" i="2"/>
  <c r="AN149" i="2"/>
  <c r="AN194" i="2"/>
  <c r="AN13" i="2"/>
  <c r="AN195" i="2"/>
  <c r="AN140" i="2"/>
  <c r="AN130" i="2"/>
  <c r="AN116" i="2"/>
  <c r="AN137" i="2"/>
  <c r="AN161" i="2"/>
  <c r="AN151" i="2"/>
  <c r="AN6" i="2"/>
  <c r="AN124" i="2"/>
  <c r="AN3" i="2"/>
  <c r="C7" i="4" s="1"/>
  <c r="E7" i="4" s="1"/>
  <c r="F7" i="4" s="1"/>
  <c r="G7" i="4" s="1"/>
  <c r="L7" i="4" s="1"/>
  <c r="AN14" i="2"/>
  <c r="AN42" i="2"/>
  <c r="AN61" i="2"/>
  <c r="AN66" i="2"/>
  <c r="AN169" i="2"/>
  <c r="AN136" i="2"/>
  <c r="AN196" i="2"/>
  <c r="AN200" i="2"/>
  <c r="AN55" i="2"/>
  <c r="AN27" i="2"/>
  <c r="AN89" i="2"/>
  <c r="AN58" i="2"/>
  <c r="AN36" i="2"/>
  <c r="AN74" i="2"/>
  <c r="AN102" i="2"/>
  <c r="AN178" i="2"/>
  <c r="AN157" i="2"/>
  <c r="AN59" i="2"/>
  <c r="AN73" i="2"/>
  <c r="AN26" i="2"/>
  <c r="AN78" i="2"/>
  <c r="AN53" i="2"/>
  <c r="AN198" i="2"/>
  <c r="AN103" i="2"/>
  <c r="AN146" i="2"/>
  <c r="AN79" i="2"/>
  <c r="AN133" i="2"/>
  <c r="AN135" i="2"/>
  <c r="AN176" i="2"/>
  <c r="AN193" i="2"/>
  <c r="AN148" i="2"/>
  <c r="AN44" i="2"/>
  <c r="AN77" i="2"/>
  <c r="AN162" i="2"/>
  <c r="AN47" i="2"/>
  <c r="AN71" i="2"/>
  <c r="AN19" i="2"/>
  <c r="AN119" i="2"/>
  <c r="AN94" i="2"/>
  <c r="AN147" i="2"/>
  <c r="AN129" i="2"/>
  <c r="AN175" i="2"/>
  <c r="AN32" i="2"/>
  <c r="AN132" i="2"/>
  <c r="AN188" i="2"/>
  <c r="AN64" i="2"/>
  <c r="AN131" i="2"/>
  <c r="AN163" i="2"/>
  <c r="AN165" i="2"/>
  <c r="AN111" i="2"/>
  <c r="AN35" i="2"/>
  <c r="AN201" i="2"/>
  <c r="AN134" i="2"/>
  <c r="AN189" i="2"/>
  <c r="AN80" i="2"/>
  <c r="AN38" i="2"/>
  <c r="AN170" i="2"/>
  <c r="AN109" i="2"/>
  <c r="AN114" i="2"/>
  <c r="AN72" i="2"/>
  <c r="AN88" i="2"/>
  <c r="AN63" i="2"/>
  <c r="AN68" i="2"/>
  <c r="AN33" i="2"/>
  <c r="AN24" i="2"/>
  <c r="AN65" i="2"/>
  <c r="AN153" i="2"/>
  <c r="AN15" i="2"/>
  <c r="AN118" i="2"/>
  <c r="AN197" i="2"/>
  <c r="AN186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DT183" i="2" l="1"/>
  <c r="DT77" i="2"/>
  <c r="DT33" i="2"/>
  <c r="DT73" i="2"/>
  <c r="DT174" i="2"/>
  <c r="DT201" i="2"/>
  <c r="DT177" i="2"/>
  <c r="DT184" i="2"/>
  <c r="DT196" i="2"/>
  <c r="DT62" i="2"/>
  <c r="DT114" i="2"/>
  <c r="DT34" i="2"/>
  <c r="DT13" i="2"/>
  <c r="DT189" i="2"/>
  <c r="DT6" i="2"/>
  <c r="FE195" i="2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DT159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DT185" i="2" l="1"/>
  <c r="DT171" i="2"/>
  <c r="DT95" i="2"/>
  <c r="DT139" i="2"/>
  <c r="DT133" i="2"/>
  <c r="DT138" i="2"/>
  <c r="DT122" i="2"/>
  <c r="DT19" i="2"/>
  <c r="DT8" i="2"/>
  <c r="DT80" i="2"/>
  <c r="DT186" i="2"/>
  <c r="DT53" i="2"/>
  <c r="DT108" i="2"/>
  <c r="DT71" i="2"/>
  <c r="DT11" i="2"/>
  <c r="DT188" i="2"/>
  <c r="DT97" i="2"/>
  <c r="DT154" i="2"/>
  <c r="DT47" i="2"/>
  <c r="DT192" i="2"/>
  <c r="DT63" i="2"/>
  <c r="DT86" i="2"/>
  <c r="DT175" i="2"/>
  <c r="DT69" i="2"/>
  <c r="DT141" i="2"/>
  <c r="DT28" i="2"/>
  <c r="DT58" i="2"/>
  <c r="DT45" i="2"/>
  <c r="DT142" i="2"/>
  <c r="DT87" i="2"/>
  <c r="DT121" i="2"/>
  <c r="DT49" i="2"/>
  <c r="DT50" i="2"/>
  <c r="DT9" i="2"/>
  <c r="DT169" i="2"/>
  <c r="DT118" i="2"/>
  <c r="DT68" i="2"/>
  <c r="DT98" i="2"/>
  <c r="DT52" i="2"/>
  <c r="DT162" i="2"/>
  <c r="DT75" i="2"/>
  <c r="DT124" i="2"/>
  <c r="DT15" i="2"/>
  <c r="DT30" i="2"/>
  <c r="DT131" i="2"/>
  <c r="DT20" i="2"/>
  <c r="DT193" i="2"/>
  <c r="DT129" i="2"/>
  <c r="DT23" i="2"/>
  <c r="DT91" i="2"/>
  <c r="DT42" i="2"/>
  <c r="DT120" i="2"/>
  <c r="DT203" i="2"/>
  <c r="DT140" i="2"/>
  <c r="DT112" i="2"/>
  <c r="DT27" i="2"/>
  <c r="DT83" i="2"/>
  <c r="DT7" i="2"/>
  <c r="DT37" i="2"/>
  <c r="DT3" i="2"/>
  <c r="C11" i="4" s="1"/>
  <c r="E11" i="4" s="1"/>
  <c r="F11" i="4" s="1"/>
  <c r="G11" i="4" s="1"/>
  <c r="L11" i="4" s="1"/>
  <c r="DT149" i="2"/>
  <c r="DT44" i="2"/>
  <c r="DT128" i="2"/>
  <c r="DT17" i="2"/>
  <c r="DT22" i="2"/>
  <c r="DT100" i="2"/>
  <c r="DT117" i="2"/>
  <c r="DT102" i="2"/>
  <c r="DT170" i="2"/>
  <c r="DT101" i="2"/>
  <c r="DT88" i="2"/>
  <c r="DT48" i="2"/>
  <c r="DT187" i="2"/>
  <c r="DT165" i="2"/>
  <c r="DT144" i="2"/>
  <c r="DT14" i="2"/>
  <c r="DT107" i="2"/>
  <c r="DT113" i="2"/>
  <c r="DT26" i="2"/>
  <c r="DT41" i="2"/>
  <c r="DT202" i="2"/>
  <c r="DT31" i="2"/>
  <c r="DT76" i="2"/>
  <c r="DT164" i="2"/>
  <c r="DT99" i="2"/>
  <c r="DT191" i="2"/>
  <c r="DT51" i="2"/>
  <c r="DT178" i="2"/>
  <c r="DT180" i="2"/>
  <c r="DT126" i="2"/>
  <c r="DT72" i="2"/>
  <c r="DT176" i="2"/>
  <c r="DT54" i="2"/>
  <c r="DT109" i="2"/>
  <c r="DT105" i="2"/>
  <c r="DT39" i="2"/>
  <c r="DT61" i="2"/>
  <c r="DT160" i="2"/>
  <c r="DT111" i="2"/>
  <c r="DT10" i="2"/>
  <c r="DT130" i="2"/>
  <c r="DT93" i="2"/>
  <c r="DT12" i="2"/>
  <c r="DT151" i="2"/>
  <c r="DT103" i="2"/>
  <c r="DT168" i="2"/>
  <c r="DT85" i="2"/>
  <c r="DT148" i="2"/>
  <c r="DT195" i="2"/>
  <c r="DT35" i="2"/>
  <c r="DT78" i="2"/>
  <c r="DT173" i="2"/>
  <c r="DT156" i="2"/>
  <c r="DT25" i="2"/>
  <c r="DT152" i="2"/>
  <c r="DT38" i="2"/>
  <c r="DT146" i="2"/>
  <c r="DT200" i="2"/>
  <c r="DT197" i="2"/>
  <c r="DT4" i="2"/>
  <c r="CD104" i="2"/>
  <c r="CD201" i="2"/>
  <c r="CD152" i="2"/>
  <c r="CD110" i="2"/>
  <c r="CD203" i="2"/>
  <c r="CD75" i="2"/>
  <c r="CD194" i="2"/>
  <c r="CD94" i="2"/>
  <c r="CD153" i="2"/>
  <c r="CD150" i="2"/>
  <c r="CD100" i="2"/>
  <c r="CD89" i="2"/>
  <c r="CD6" i="2"/>
  <c r="CD169" i="2"/>
  <c r="CD195" i="2"/>
  <c r="CD62" i="2"/>
  <c r="CD177" i="2"/>
  <c r="CD58" i="2"/>
  <c r="CD196" i="2"/>
  <c r="CD38" i="2"/>
  <c r="CD88" i="2"/>
  <c r="CD91" i="2"/>
  <c r="CD112" i="2"/>
  <c r="CD51" i="2"/>
  <c r="CD20" i="2"/>
  <c r="CD97" i="2"/>
  <c r="CD164" i="2"/>
  <c r="CD173" i="2"/>
  <c r="CD24" i="2"/>
  <c r="CD19" i="2"/>
  <c r="CD165" i="2"/>
  <c r="CD198" i="2"/>
  <c r="CD17" i="2"/>
  <c r="CD123" i="2"/>
  <c r="CD98" i="2"/>
  <c r="CD22" i="2"/>
  <c r="CD41" i="2"/>
  <c r="CD200" i="2"/>
  <c r="CD157" i="2"/>
  <c r="CD84" i="2"/>
  <c r="CD147" i="2"/>
  <c r="CD111" i="2"/>
  <c r="CD163" i="2"/>
  <c r="CD42" i="2"/>
  <c r="CD49" i="2"/>
  <c r="CD143" i="2"/>
  <c r="CD102" i="2"/>
  <c r="CD121" i="2"/>
  <c r="CD29" i="2"/>
  <c r="CD26" i="2"/>
  <c r="CD105" i="2"/>
  <c r="CD190" i="2"/>
  <c r="CD140" i="2"/>
  <c r="CD178" i="2"/>
  <c r="CD50" i="2"/>
  <c r="CD82" i="2"/>
  <c r="CD161" i="2"/>
  <c r="CD78" i="2"/>
  <c r="CD185" i="2"/>
  <c r="CD31" i="2"/>
  <c r="CD53" i="2"/>
  <c r="CD193" i="2"/>
  <c r="CD106" i="2"/>
  <c r="CD122" i="2"/>
  <c r="CD44" i="2"/>
  <c r="CD139" i="2"/>
  <c r="CD154" i="2"/>
  <c r="CD10" i="2"/>
  <c r="CD55" i="2"/>
  <c r="CD199" i="2"/>
  <c r="CD46" i="2"/>
  <c r="CD202" i="2"/>
  <c r="CD76" i="2"/>
  <c r="CD59" i="2"/>
  <c r="CD107" i="2"/>
  <c r="CD182" i="2"/>
  <c r="CD13" i="2"/>
  <c r="CD64" i="2"/>
  <c r="CD189" i="2"/>
  <c r="CD96" i="2"/>
  <c r="CD21" i="2"/>
  <c r="CD60" i="2"/>
  <c r="CD109" i="2"/>
  <c r="CD74" i="2"/>
  <c r="CD158" i="2"/>
  <c r="CD159" i="2"/>
  <c r="CD70" i="2"/>
  <c r="CD115" i="2"/>
  <c r="CD138" i="2"/>
  <c r="CD129" i="2"/>
  <c r="CD93" i="2"/>
  <c r="CD174" i="2"/>
  <c r="CD86" i="2"/>
  <c r="CD4" i="2"/>
  <c r="CD8" i="2"/>
  <c r="CD156" i="2"/>
  <c r="CD145" i="2"/>
  <c r="CD151" i="2"/>
  <c r="CD28" i="2"/>
  <c r="CD69" i="2"/>
  <c r="CD45" i="2"/>
  <c r="CD68" i="2"/>
  <c r="CD191" i="2"/>
  <c r="CD172" i="2"/>
  <c r="CD83" i="2"/>
  <c r="CD37" i="2"/>
  <c r="CD118" i="2"/>
  <c r="CD181" i="2"/>
  <c r="CD171" i="2"/>
  <c r="CD148" i="2"/>
  <c r="CD7" i="2"/>
  <c r="CD162" i="2"/>
  <c r="CD136" i="2"/>
  <c r="CD47" i="2"/>
  <c r="CD12" i="2"/>
  <c r="CD132" i="2"/>
  <c r="CD127" i="2"/>
  <c r="CD131" i="2"/>
  <c r="CD134" i="2"/>
  <c r="CD11" i="2"/>
  <c r="CD63" i="2"/>
  <c r="CD71" i="2"/>
  <c r="CD9" i="2"/>
  <c r="CD52" i="2"/>
  <c r="CD179" i="2"/>
  <c r="CD67" i="2"/>
  <c r="CD15" i="2"/>
  <c r="CD80" i="2"/>
  <c r="CD92" i="2"/>
  <c r="CD95" i="2"/>
  <c r="CD119" i="2"/>
  <c r="CD48" i="2"/>
  <c r="CD65" i="2"/>
  <c r="CD56" i="2"/>
  <c r="CD90" i="2"/>
  <c r="CD126" i="2"/>
  <c r="CD168" i="2"/>
  <c r="CD186" i="2"/>
  <c r="CD23" i="2"/>
  <c r="CD77" i="2"/>
  <c r="CD3" i="2"/>
  <c r="C9" i="4" s="1"/>
  <c r="E9" i="4" s="1"/>
  <c r="F9" i="4" s="1"/>
  <c r="G9" i="4" s="1"/>
  <c r="L9" i="4" s="1"/>
  <c r="CD34" i="2"/>
  <c r="CD133" i="2"/>
  <c r="CD79" i="2"/>
  <c r="CD16" i="2"/>
  <c r="CD141" i="2"/>
  <c r="CD57" i="2"/>
  <c r="CD61" i="2"/>
  <c r="CD108" i="2"/>
  <c r="CD66" i="2"/>
  <c r="CD18" i="2"/>
  <c r="CD103" i="2"/>
  <c r="CD85" i="2"/>
  <c r="CD142" i="2"/>
  <c r="CD81" i="2"/>
  <c r="CD27" i="2"/>
  <c r="CD137" i="2"/>
  <c r="CD160" i="2"/>
  <c r="CD5" i="2"/>
  <c r="CD130" i="2"/>
  <c r="CD125" i="2"/>
  <c r="CD113" i="2"/>
  <c r="CD54" i="2"/>
  <c r="CD99" i="2"/>
  <c r="CD33" i="2"/>
  <c r="CD117" i="2"/>
  <c r="CD36" i="2"/>
  <c r="CD155" i="2"/>
  <c r="CD149" i="2"/>
  <c r="CD167" i="2"/>
  <c r="CD87" i="2"/>
  <c r="CD166" i="2"/>
  <c r="CD39" i="2"/>
  <c r="CD170" i="2"/>
  <c r="CD180" i="2"/>
  <c r="CD14" i="2"/>
  <c r="CD72" i="2"/>
  <c r="CD187" i="2"/>
  <c r="CD25" i="2"/>
  <c r="CD146" i="2"/>
  <c r="CD120" i="2"/>
  <c r="CD144" i="2"/>
  <c r="CD183" i="2"/>
  <c r="CD175" i="2"/>
  <c r="CD73" i="2"/>
  <c r="CD184" i="2"/>
  <c r="CD116" i="2"/>
  <c r="CD40" i="2"/>
  <c r="CD188" i="2"/>
  <c r="CD197" i="2"/>
  <c r="CD32" i="2"/>
  <c r="CD124" i="2"/>
  <c r="CD128" i="2"/>
  <c r="CD43" i="2"/>
  <c r="CD35" i="2"/>
  <c r="CD135" i="2"/>
  <c r="CD114" i="2"/>
  <c r="CD192" i="2"/>
  <c r="CD30" i="2"/>
  <c r="CD176" i="2"/>
  <c r="CD101" i="2"/>
  <c r="DT125" i="2"/>
  <c r="DT110" i="2"/>
  <c r="DT79" i="2"/>
  <c r="DT166" i="2"/>
  <c r="DT70" i="2"/>
  <c r="DT16" i="2"/>
  <c r="DT64" i="2"/>
  <c r="DT18" i="2"/>
  <c r="DT106" i="2"/>
  <c r="DT136" i="2"/>
  <c r="DT59" i="2"/>
  <c r="DT147" i="2"/>
  <c r="DT82" i="2"/>
  <c r="DT198" i="2"/>
  <c r="DT158" i="2"/>
  <c r="DT32" i="2"/>
  <c r="DT36" i="2"/>
  <c r="DT167" i="2"/>
  <c r="DT199" i="2"/>
  <c r="DT172" i="2"/>
  <c r="DT161" i="2"/>
  <c r="DT194" i="2"/>
  <c r="DT137" i="2"/>
  <c r="DT143" i="2"/>
  <c r="DT43" i="2"/>
  <c r="DT56" i="2"/>
  <c r="DT96" i="2"/>
  <c r="DT57" i="2"/>
  <c r="DT127" i="2"/>
  <c r="DT157" i="2"/>
  <c r="DT46" i="2"/>
  <c r="DT181" i="2"/>
  <c r="DT116" i="2"/>
  <c r="DT155" i="2"/>
  <c r="DT67" i="2"/>
  <c r="DT104" i="2"/>
  <c r="DT190" i="2"/>
  <c r="DT94" i="2"/>
  <c r="DT55" i="2"/>
  <c r="DT153" i="2"/>
  <c r="DT66" i="2"/>
  <c r="DT135" i="2"/>
  <c r="DT60" i="2"/>
  <c r="DT74" i="2"/>
  <c r="DT84" i="2"/>
  <c r="DT90" i="2"/>
  <c r="DT132" i="2"/>
  <c r="DT89" i="2"/>
  <c r="DT92" i="2"/>
  <c r="DT145" i="2"/>
  <c r="DT40" i="2"/>
  <c r="DT163" i="2"/>
  <c r="DT21" i="2"/>
  <c r="DT134" i="2"/>
  <c r="DT81" i="2"/>
  <c r="DT182" i="2"/>
  <c r="DT115" i="2"/>
  <c r="DT65" i="2"/>
  <c r="DT123" i="2"/>
  <c r="DT5" i="2"/>
  <c r="DT29" i="2"/>
  <c r="DT150" i="2"/>
  <c r="DT179" i="2"/>
  <c r="DT24" i="2"/>
  <c r="DT119" i="2"/>
  <c r="FJ156" i="2"/>
  <c r="FJ145" i="2"/>
  <c r="FJ191" i="2"/>
  <c r="FJ94" i="2"/>
  <c r="FJ41" i="2"/>
  <c r="FJ190" i="2"/>
  <c r="FJ92" i="2"/>
  <c r="FJ56" i="2"/>
  <c r="FJ141" i="2"/>
  <c r="FJ13" i="2"/>
  <c r="FJ117" i="2"/>
  <c r="FJ87" i="2"/>
  <c r="FJ120" i="2"/>
  <c r="FJ115" i="2"/>
  <c r="FJ80" i="2"/>
  <c r="FJ30" i="2"/>
  <c r="FJ70" i="2"/>
  <c r="FJ46" i="2"/>
  <c r="FJ171" i="2"/>
  <c r="FJ203" i="2"/>
  <c r="FJ113" i="2"/>
  <c r="FJ76" i="2"/>
  <c r="FJ196" i="2"/>
  <c r="FJ102" i="2"/>
  <c r="FJ159" i="2"/>
  <c r="FJ147" i="2"/>
  <c r="FJ119" i="2"/>
  <c r="FJ75" i="2"/>
  <c r="FJ165" i="2"/>
  <c r="FJ15" i="2"/>
  <c r="FJ179" i="2"/>
  <c r="FJ61" i="2"/>
  <c r="FJ98" i="2"/>
  <c r="FJ66" i="2"/>
  <c r="FJ201" i="2"/>
  <c r="FJ109" i="2"/>
  <c r="FJ111" i="2"/>
  <c r="FJ23" i="2"/>
  <c r="FJ124" i="2"/>
  <c r="FJ26" i="2"/>
  <c r="FJ187" i="2"/>
  <c r="FJ114" i="2"/>
  <c r="FJ132" i="2"/>
  <c r="FJ167" i="2"/>
  <c r="FJ188" i="2"/>
  <c r="FJ71" i="2"/>
  <c r="FJ197" i="2"/>
  <c r="FJ35" i="2"/>
  <c r="FJ172" i="2"/>
  <c r="FJ121" i="2"/>
  <c r="FJ185" i="2"/>
  <c r="FJ192" i="2"/>
  <c r="FJ100" i="2"/>
  <c r="FJ176" i="2"/>
  <c r="FJ42" i="2"/>
  <c r="FJ43" i="2"/>
  <c r="FJ82" i="2"/>
  <c r="FJ140" i="2"/>
  <c r="FJ130" i="2"/>
  <c r="FJ104" i="2"/>
  <c r="FJ22" i="2"/>
  <c r="FJ157" i="2"/>
  <c r="FJ175" i="2"/>
  <c r="FJ152" i="2"/>
  <c r="FJ155" i="2"/>
  <c r="FJ108" i="2"/>
  <c r="FJ137" i="2"/>
  <c r="FJ162" i="2"/>
  <c r="FJ34" i="2"/>
  <c r="FJ143" i="2"/>
  <c r="FJ200" i="2"/>
  <c r="FJ101" i="2"/>
  <c r="FJ95" i="2"/>
  <c r="FJ19" i="2"/>
  <c r="FJ99" i="2"/>
  <c r="FJ50" i="2"/>
  <c r="FJ58" i="2"/>
  <c r="FJ52" i="2"/>
  <c r="FJ32" i="2"/>
  <c r="FJ59" i="2"/>
  <c r="FJ77" i="2"/>
  <c r="FJ105" i="2"/>
  <c r="FJ33" i="2"/>
  <c r="FJ28" i="2"/>
  <c r="FJ195" i="2"/>
  <c r="FJ45" i="2"/>
  <c r="FJ54" i="2"/>
  <c r="FJ180" i="2"/>
  <c r="FJ67" i="2"/>
  <c r="FJ178" i="2"/>
  <c r="FJ68" i="2"/>
  <c r="FJ103" i="2"/>
  <c r="FJ65" i="2"/>
  <c r="FJ11" i="2"/>
  <c r="FJ21" i="2"/>
  <c r="FJ133" i="2"/>
  <c r="FJ154" i="2"/>
  <c r="FJ128" i="2"/>
  <c r="FJ64" i="2"/>
  <c r="FJ90" i="2"/>
  <c r="FJ83" i="2"/>
  <c r="FJ27" i="2"/>
  <c r="FJ20" i="2"/>
  <c r="FJ149" i="2"/>
  <c r="FJ106" i="2"/>
  <c r="FJ29" i="2"/>
  <c r="FJ122" i="2"/>
  <c r="FJ24" i="2"/>
  <c r="FJ183" i="2"/>
  <c r="FJ186" i="2"/>
  <c r="FJ91" i="2"/>
  <c r="FJ18" i="2"/>
  <c r="FJ4" i="2"/>
  <c r="FJ78" i="2"/>
  <c r="FJ14" i="2"/>
  <c r="FJ79" i="2"/>
  <c r="FJ146" i="2"/>
  <c r="FJ25" i="2"/>
  <c r="FJ12" i="2"/>
  <c r="FJ88" i="2"/>
  <c r="FJ173" i="2"/>
  <c r="FJ169" i="2"/>
  <c r="FJ96" i="2"/>
  <c r="FJ139" i="2"/>
  <c r="FJ131" i="2"/>
  <c r="FJ107" i="2"/>
  <c r="FJ93" i="2"/>
  <c r="FJ6" i="2"/>
  <c r="FJ144" i="2"/>
  <c r="FJ3" i="2"/>
  <c r="C13" i="4" s="1"/>
  <c r="E13" i="4" s="1"/>
  <c r="F13" i="4" s="1"/>
  <c r="G13" i="4" s="1"/>
  <c r="L13" i="4" s="1"/>
  <c r="FJ57" i="2"/>
  <c r="FJ125" i="2"/>
  <c r="FJ153" i="2"/>
  <c r="FJ181" i="2"/>
  <c r="FJ123" i="2"/>
  <c r="FJ118" i="2"/>
  <c r="FJ53" i="2"/>
  <c r="FJ182" i="2"/>
  <c r="FJ112" i="2"/>
  <c r="FJ89" i="2"/>
  <c r="FJ184" i="2"/>
  <c r="FJ199" i="2"/>
  <c r="FJ161" i="2"/>
  <c r="FJ69" i="2"/>
  <c r="FJ7" i="2"/>
  <c r="FJ163" i="2"/>
  <c r="FJ142" i="2"/>
  <c r="FJ63" i="2"/>
  <c r="FJ138" i="2"/>
  <c r="FJ62" i="2"/>
  <c r="FJ72" i="2"/>
  <c r="FJ170" i="2"/>
  <c r="FJ193" i="2"/>
  <c r="FJ158" i="2"/>
  <c r="FJ151" i="2"/>
  <c r="FJ110" i="2"/>
  <c r="FJ49" i="2"/>
  <c r="FJ85" i="2"/>
  <c r="FJ84" i="2"/>
  <c r="FJ127" i="2"/>
  <c r="FJ189" i="2"/>
  <c r="FJ36" i="2"/>
  <c r="FJ177" i="2"/>
  <c r="FJ129" i="2"/>
  <c r="FJ47" i="2"/>
  <c r="FJ44" i="2"/>
  <c r="FJ10" i="2"/>
  <c r="FJ168" i="2"/>
  <c r="FJ5" i="2"/>
  <c r="FJ202" i="2"/>
  <c r="FJ48" i="2"/>
  <c r="FJ86" i="2"/>
  <c r="FJ97" i="2"/>
  <c r="FJ150" i="2"/>
  <c r="FJ148" i="2"/>
  <c r="FJ134" i="2"/>
  <c r="FJ40" i="2"/>
  <c r="FJ39" i="2"/>
  <c r="FJ16" i="2"/>
  <c r="FJ74" i="2"/>
  <c r="FJ174" i="2"/>
  <c r="FJ194" i="2"/>
  <c r="FJ116" i="2"/>
  <c r="FJ73" i="2"/>
  <c r="FJ160" i="2"/>
  <c r="FJ81" i="2"/>
  <c r="FJ198" i="2"/>
  <c r="FJ37" i="2"/>
  <c r="FJ135" i="2"/>
  <c r="FJ55" i="2"/>
  <c r="FJ8" i="2"/>
  <c r="FJ17" i="2"/>
  <c r="FJ166" i="2"/>
  <c r="FJ51" i="2"/>
  <c r="FJ38" i="2"/>
  <c r="FJ136" i="2"/>
  <c r="FJ31" i="2"/>
  <c r="FJ60" i="2"/>
  <c r="FJ9" i="2"/>
  <c r="FJ126" i="2"/>
  <c r="FJ164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51" i="2" l="1"/>
  <c r="BI200" i="2"/>
  <c r="BI146" i="2"/>
  <c r="BI151" i="2"/>
  <c r="BI156" i="2"/>
  <c r="BI101" i="2"/>
  <c r="BI60" i="2"/>
  <c r="BI47" i="2"/>
  <c r="BI85" i="2"/>
  <c r="BI173" i="2"/>
  <c r="BI37" i="2"/>
  <c r="BI172" i="2"/>
  <c r="BI57" i="2"/>
  <c r="BI166" i="2"/>
  <c r="BI20" i="2"/>
  <c r="BI155" i="2"/>
  <c r="BI137" i="2"/>
  <c r="BI25" i="2"/>
  <c r="BI125" i="2"/>
  <c r="BI88" i="2"/>
  <c r="BI152" i="2"/>
  <c r="BI129" i="2"/>
  <c r="BI171" i="2"/>
  <c r="BI39" i="2"/>
  <c r="BI66" i="2"/>
  <c r="BI159" i="2"/>
  <c r="BI116" i="2"/>
  <c r="BI127" i="2"/>
  <c r="BI100" i="2"/>
  <c r="BI41" i="2"/>
  <c r="BI161" i="2"/>
  <c r="BI169" i="2"/>
  <c r="BI167" i="2"/>
  <c r="BI63" i="2"/>
  <c r="BI36" i="2"/>
  <c r="BI74" i="2"/>
  <c r="BI78" i="2"/>
  <c r="BI168" i="2"/>
  <c r="BI133" i="2"/>
  <c r="BI59" i="2"/>
  <c r="BI86" i="2"/>
  <c r="BI62" i="2"/>
  <c r="BI34" i="2"/>
  <c r="BI50" i="2"/>
  <c r="BI52" i="2"/>
  <c r="BI170" i="2"/>
  <c r="BI72" i="2"/>
  <c r="BI11" i="2"/>
  <c r="BI12" i="2"/>
  <c r="BI147" i="2"/>
  <c r="BI76" i="2"/>
  <c r="BI8" i="2"/>
  <c r="BI46" i="2"/>
  <c r="BI23" i="2"/>
  <c r="BI38" i="2"/>
  <c r="BI196" i="2"/>
  <c r="BI4" i="2"/>
  <c r="BI124" i="2"/>
  <c r="BI29" i="2"/>
  <c r="BI13" i="2"/>
  <c r="BI198" i="2"/>
  <c r="BI160" i="2"/>
  <c r="BI10" i="2"/>
  <c r="BI148" i="2"/>
  <c r="BI202" i="2"/>
  <c r="BI143" i="2"/>
  <c r="BI14" i="2"/>
  <c r="BI149" i="2"/>
  <c r="BI183" i="2"/>
  <c r="BI140" i="2"/>
  <c r="BI98" i="2"/>
  <c r="BI126" i="2"/>
  <c r="BI189" i="2"/>
  <c r="BI188" i="2"/>
  <c r="BI111" i="2"/>
  <c r="BI55" i="2"/>
  <c r="BI48" i="2"/>
  <c r="BI130" i="2"/>
  <c r="BI68" i="2"/>
  <c r="BI49" i="2"/>
  <c r="BI16" i="2"/>
  <c r="BI203" i="2"/>
  <c r="BI43" i="2"/>
  <c r="BI77" i="2"/>
  <c r="BI3" i="2"/>
  <c r="C8" i="4" s="1"/>
  <c r="E8" i="4" s="1"/>
  <c r="F8" i="4" s="1"/>
  <c r="G8" i="4" s="1"/>
  <c r="L8" i="4" s="1"/>
  <c r="BI178" i="2"/>
  <c r="BI107" i="2"/>
  <c r="BI193" i="2"/>
  <c r="BI67" i="2"/>
  <c r="BI73" i="2"/>
  <c r="BI195" i="2"/>
  <c r="BI112" i="2"/>
  <c r="BI102" i="2"/>
  <c r="BI180" i="2"/>
  <c r="BI165" i="2"/>
  <c r="BI92" i="2"/>
  <c r="BI110" i="2"/>
  <c r="BI192" i="2"/>
  <c r="BI69" i="2"/>
  <c r="BI199" i="2"/>
  <c r="BI135" i="2"/>
  <c r="BI30" i="2"/>
  <c r="BI162" i="2"/>
  <c r="BI109" i="2"/>
  <c r="BI108" i="2"/>
  <c r="BI15" i="2"/>
  <c r="BI95" i="2"/>
  <c r="BI134" i="2"/>
  <c r="BI118" i="2"/>
  <c r="BI28" i="2"/>
  <c r="BI114" i="2"/>
  <c r="BI93" i="2"/>
  <c r="BI106" i="2"/>
  <c r="BI99" i="2"/>
  <c r="BI18" i="2"/>
  <c r="BI163" i="2"/>
  <c r="BI201" i="2"/>
  <c r="BI175" i="2"/>
  <c r="BI157" i="2"/>
  <c r="BI61" i="2"/>
  <c r="BI71" i="2"/>
  <c r="BI131" i="2"/>
  <c r="BI96" i="2"/>
  <c r="BI138" i="2"/>
  <c r="BI82" i="2"/>
  <c r="BI103" i="2"/>
  <c r="BI187" i="2"/>
  <c r="BI104" i="2"/>
  <c r="BI139" i="2"/>
  <c r="BI191" i="2"/>
  <c r="BI56" i="2"/>
  <c r="BI186" i="2"/>
  <c r="BI32" i="2"/>
  <c r="BI128" i="2"/>
  <c r="BI120" i="2"/>
  <c r="BI176" i="2"/>
  <c r="BI6" i="2"/>
  <c r="BI179" i="2"/>
  <c r="BI53" i="2"/>
  <c r="BI153" i="2"/>
  <c r="BI190" i="2"/>
  <c r="BI24" i="2"/>
  <c r="BI184" i="2"/>
  <c r="BI121" i="2"/>
  <c r="BI141" i="2"/>
  <c r="BI40" i="2"/>
  <c r="BI80" i="2"/>
  <c r="BI19" i="2"/>
  <c r="BI185" i="2"/>
  <c r="BI182" i="2"/>
  <c r="BI9" i="2"/>
  <c r="BI75" i="2"/>
  <c r="BI136" i="2"/>
  <c r="BI181" i="2"/>
  <c r="BI65" i="2"/>
  <c r="BI64" i="2"/>
  <c r="BI197" i="2"/>
  <c r="BI44" i="2"/>
  <c r="BI194" i="2"/>
  <c r="BI79" i="2"/>
  <c r="BI97" i="2"/>
  <c r="BI105" i="2"/>
  <c r="BI132" i="2"/>
  <c r="BI154" i="2"/>
  <c r="BI174" i="2"/>
  <c r="BI58" i="2"/>
  <c r="BI94" i="2"/>
  <c r="BI54" i="2"/>
  <c r="BI158" i="2"/>
  <c r="BI177" i="2"/>
  <c r="BI81" i="2"/>
  <c r="BI17" i="2"/>
  <c r="BI145" i="2"/>
  <c r="BI45" i="2"/>
  <c r="BI89" i="2"/>
  <c r="BI122" i="2"/>
  <c r="BI91" i="2"/>
  <c r="BI21" i="2"/>
  <c r="BI27" i="2"/>
  <c r="BI142" i="2"/>
  <c r="BI117" i="2"/>
  <c r="BI84" i="2"/>
  <c r="BI26" i="2"/>
  <c r="BI5" i="2"/>
  <c r="BI22" i="2"/>
  <c r="BI7" i="2"/>
  <c r="BI164" i="2"/>
  <c r="BI42" i="2"/>
  <c r="BI90" i="2"/>
  <c r="BI31" i="2"/>
  <c r="BI70" i="2"/>
  <c r="BI87" i="2"/>
  <c r="BI83" i="2"/>
  <c r="BI33" i="2"/>
  <c r="BI150" i="2"/>
  <c r="BI35" i="2"/>
  <c r="BI123" i="2"/>
  <c r="BI113" i="2"/>
  <c r="BI144" i="2"/>
  <c r="BI119" i="2"/>
  <c r="BI11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<sst xmlns="http://schemas.openxmlformats.org/spreadsheetml/2006/main" count="1185" uniqueCount="330">
  <si>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</si>
  <si>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</si>
  <si>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</si>
  <si>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</si>
  <si>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</si>
  <si>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</si>
  <si>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</si>
  <si>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</si>
  <si>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</si>
  <si>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</si>
  <si>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</si>
  <si>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</si>
  <si>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</si>
  <si>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</si>
  <si>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</si>
  <si>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</si>
  <si>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</si>
  <si>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</si>
  <si>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</si>
  <si>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</si>
  <si>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</si>
  <si>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</si>
  <si>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</si>
  <si>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</si>
  <si>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</si>
  <si>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</si>
  <si>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</si>
  <si>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</si>
  <si>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</si>
  <si>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</si>
  <si>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</si>
  <si>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</si>
  <si>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</si>
  <si>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</si>
  <si>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</si>
  <si>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</si>
  <si>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</si>
  <si>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</si>
  <si>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</si>
  <si>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</si>
  <si>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</si>
  <si>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</si>
  <si>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</si>
  <si>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</si>
  <si>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</si>
  <si>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</si>
  <si>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</si>
  <si>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</si>
  <si>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</si>
  <si>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</si>
  <si>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</si>
  <si>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</si>
  <si>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</si>
  <si>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</si>
  <si>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</si>
  <si>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</si>
  <si>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</si>
  <si>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</si>
  <si>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</si>
  <si>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</si>
  <si>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</si>
  <si>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</si>
  <si>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</si>
  <si>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</si>
  <si>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</si>
  <si>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</si>
  <si>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</si>
  <si>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</si>
  <si>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</si>
  <si>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</si>
  <si>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</si>
  <si>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</si>
  <si>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</si>
  <si>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</si>
  <si>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</si>
  <si>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</si>
  <si>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</si>
  <si>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</si>
  <si>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</si>
  <si>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</si>
  <si>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</si>
  <si>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</si>
  <si>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</si>
  <si>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</si>
  <si>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</si>
  <si>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</si>
  <si>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</si>
  <si>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</si>
  <si>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</si>
  <si>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</si>
  <si>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</si>
  <si>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</si>
  <si>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</si>
  <si>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</si>
  <si>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</si>
  <si>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</si>
  <si>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</si>
  <si>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</si>
  <si>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</si>
  <si>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</si>
  <si>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</si>
  <si>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</si>
  <si>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</si>
  <si>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</si>
  <si>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</si>
  <si>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</si>
  <si>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</si>
  <si>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</si>
  <si>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</si>
  <si>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</si>
  <si>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</si>
  <si>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</si>
  <si>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</si>
  <si>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</si>
  <si>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</si>
  <si>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</si>
  <si>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</si>
  <si>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</si>
  <si>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</si>
  <si>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</si>
  <si>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</si>
  <si>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</si>
  <si>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</si>
  <si>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</si>
  <si>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</si>
  <si>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</si>
  <si>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</si>
  <si>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</si>
  <si>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</si>
  <si>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</si>
  <si>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</si>
  <si>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</si>
  <si>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</si>
  <si>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</si>
  <si>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</si>
  <si>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</si>
  <si>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</si>
  <si>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</si>
  <si>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</si>
  <si>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</si>
  <si>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</si>
  <si>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</si>
  <si>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</si>
  <si>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</si>
  <si>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</si>
  <si>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</si>
  <si>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</si>
  <si>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</si>
  <si>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</si>
  <si>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</si>
  <si>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</si>
  <si>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</si>
  <si>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</si>
  <si>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</si>
  <si>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</si>
  <si>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</si>
  <si>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</si>
  <si>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</si>
  <si>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</si>
  <si>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</si>
  <si>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</si>
  <si>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</si>
  <si>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</si>
  <si>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</si>
  <si>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</si>
  <si>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</si>
  <si>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</si>
  <si>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</si>
  <si>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</si>
  <si>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</si>
  <si>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</si>
  <si>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</si>
  <si>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</si>
  <si>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</si>
  <si>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</si>
  <si>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</si>
  <si>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</si>
  <si>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</si>
  <si>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</si>
  <si>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</si>
  <si>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</si>
  <si>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</si>
  <si>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</si>
  <si>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</si>
  <si>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</si>
  <si>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</si>
  <si>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</si>
  <si>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</si>
  <si>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</si>
  <si>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</si>
  <si>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</si>
  <si>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</si>
  <si>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</si>
  <si>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</si>
  <si>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</si>
  <si>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</si>
  <si>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</si>
  <si>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</si>
  <si>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</si>
  <si>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</si>
  <si>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</si>
  <si>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</si>
  <si>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</si>
  <si>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</si>
  <si>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</si>
  <si>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</si>
  <si>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</si>
  <si>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</si>
  <si>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</si>
  <si>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</si>
  <si>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</si>
  <si>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</si>
  <si>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</si>
  <si>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</si>
  <si>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</si>
  <si>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</si>
  <si>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</si>
  <si>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</si>
  <si>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</si>
  <si>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</si>
  <si>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</si>
  <si>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</si>
  <si>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</si>
  <si>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</si>
  <si>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</si>
  <si>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</si>
  <si>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</si>
  <si>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</si>
  <si>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</si>
  <si>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</si>
  <si>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</si>
  <si>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</si>
  <si>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</si>
  <si>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</si>
  <si>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</si>
  <si>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</si>
  <si>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</si>
  <si>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</si>
  <si>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</si>
  <si>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</si>
  <si>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</si>
  <si>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</si>
  <si>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</si>
  <si>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</si>
  <si>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</si>
  <si>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</si>
  <si>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</si>
  <si>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</si>
  <si>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</si>
  <si>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</si>
  <si>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</si>
  <si>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</si>
  <si>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</si>
  <si>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</si>
  <si>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</si>
  <si>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</si>
  <si>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</si>
  <si>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</si>
  <si>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</si>
  <si>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</si>
  <si>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</si>
  <si>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</si>
  <si>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</si>
  <si>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</si>
  <si>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</si>
  <si>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</si>
  <si>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</si>
  <si>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</si>
  <si>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</si>
  <si>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</si>
  <si>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</si>
  <si>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</si>
  <si>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</si>
  <si>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</si>
  <si>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</si>
  <si>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</si>
  <si>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</si>
  <si>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</si>
  <si>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</si>
  <si>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</si>
  <si>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</si>
  <si>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</si>
  <si>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</si>
  <si>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</si>
  <si>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</si>
  <si>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</si>
  <si>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</si>
  <si>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</si>
  <si>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</si>
  <si>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</si>
  <si>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</si>
  <si>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</si>
  <si>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</si>
  <si>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</si>
  <si>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</si>
  <si>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</si>
  <si>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</si>
  <si>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</si>
  <si>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</si>
  <si>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</si>
  <si>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</si>
  <si>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</si>
  <si>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</si>
  <si>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</si>
  <si>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</si>
  <si>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</si>
  <si>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</si>
  <si>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</si>
  <si>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</si>
  <si>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</si>
  <si>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</si>
  <si>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</si>
  <si>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</si>
  <si>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</si>
  <si>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</si>
  <si>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</si>
  <si>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</si>
  <si>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</si>
  <si>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</si>
  <si>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</si>
  <si>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</si>
  <si>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</si>
  <si>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</si>
  <si>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</si>
  <si>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ONF_F2</t>
  </si>
  <si>
    <t>ONF_F3</t>
  </si>
  <si>
    <t>CHS_F3</t>
  </si>
  <si>
    <t>Ch. Rouge _ F6*</t>
  </si>
  <si>
    <t>CHP_F2</t>
  </si>
  <si>
    <t>UK_SAB_F8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</si>
</sst>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2.0372769670101483</c:v>
                </c:pt>
                <c:pt idx="2">
                  <c:v>2.676486199143135</c:v>
                </c:pt>
                <c:pt idx="3">
                  <c:v>3.5170759077395513</c:v>
                </c:pt>
                <c:pt idx="4">
                  <c:v>4.6227351394646172</c:v>
                </c:pt>
                <c:pt idx="5">
                  <c:v>6.0773678328619782</c:v>
                </c:pt>
                <c:pt idx="6">
                  <c:v>7.9915303734957925</c:v>
                </c:pt>
                <c:pt idx="7">
                  <c:v>10.510925497936862</c:v>
                </c:pt>
                <c:pt idx="8">
                  <c:v>13.827611241534122</c:v>
                </c:pt>
                <c:pt idx="9">
                  <c:v>18.194795155280449</c:v>
                </c:pt>
                <c:pt idx="10">
                  <c:v>23.946363633196558</c:v>
                </c:pt>
                <c:pt idx="11">
                  <c:v>31.522665853656651</c:v>
                </c:pt>
                <c:pt idx="12">
                  <c:v>41.504560602143492</c:v>
                </c:pt>
                <c:pt idx="13">
                  <c:v>54.658380558021626</c:v>
                </c:pt>
                <c:pt idx="14">
                  <c:v>71.995323377039924</c:v>
                </c:pt>
                <c:pt idx="15">
                  <c:v>94.849909428740133</c:v>
                </c:pt>
                <c:pt idx="16">
                  <c:v>124.98364149297942</c:v>
                </c:pt>
                <c:pt idx="17">
                  <c:v>164.72198008050322</c:v>
                </c:pt>
                <c:pt idx="18">
                  <c:v>134.28250989030781</c:v>
                </c:pt>
                <c:pt idx="19">
                  <c:v>157.45506117882073</c:v>
                </c:pt>
                <c:pt idx="20">
                  <c:v>180.54657390777126</c:v>
                </c:pt>
                <c:pt idx="21">
                  <c:v>203.56888236001612</c:v>
                </c:pt>
                <c:pt idx="22">
                  <c:v>226.53091750255075</c:v>
                </c:pt>
                <c:pt idx="23">
                  <c:v>249.43964844709606</c:v>
                </c:pt>
                <c:pt idx="24">
                  <c:v>198.2631718527642</c:v>
                </c:pt>
                <c:pt idx="25">
                  <c:v>222.37968742634794</c:v>
                </c:pt>
                <c:pt idx="26">
                  <c:v>246.4361891457107</c:v>
                </c:pt>
                <c:pt idx="27">
                  <c:v>270.43935829312153</c:v>
                </c:pt>
                <c:pt idx="28">
                  <c:v>294.39459227178389</c:v>
                </c:pt>
                <c:pt idx="29">
                  <c:v>318.30633801047736</c:v>
                </c:pt>
                <c:pt idx="30">
                  <c:v>270.68449172782698</c:v>
                </c:pt>
                <c:pt idx="31">
                  <c:v>293.51930351408345</c:v>
                </c:pt>
                <c:pt idx="32">
                  <c:v>316.31447172414227</c:v>
                </c:pt>
                <c:pt idx="33">
                  <c:v>339.07325336996888</c:v>
                </c:pt>
                <c:pt idx="34">
                  <c:v>361.7984326115573</c:v>
                </c:pt>
                <c:pt idx="35">
                  <c:v>384.49241541397896</c:v>
                </c:pt>
                <c:pt idx="36">
                  <c:v>407.15730067263689</c:v>
                </c:pt>
                <c:pt idx="37">
                  <c:v>330.75137896983284</c:v>
                </c:pt>
                <c:pt idx="38">
                  <c:v>351.93090381479277</c:v>
                </c:pt>
                <c:pt idx="39">
                  <c:v>373.08249524821412</c:v>
                </c:pt>
                <c:pt idx="40">
                  <c:v>394.20795870969431</c:v>
                </c:pt>
                <c:pt idx="41">
                  <c:v>415.30889042922746</c:v>
                </c:pt>
                <c:pt idx="42">
                  <c:v>436.38671128579443</c:v>
                </c:pt>
                <c:pt idx="43">
                  <c:v>457.44269378262044</c:v>
                </c:pt>
                <c:pt idx="44">
                  <c:v>478.47798379712521</c:v>
                </c:pt>
                <c:pt idx="45">
                  <c:v>397.753227063145</c:v>
                </c:pt>
                <c:pt idx="46">
                  <c:v>416.44223811477758</c:v>
                </c:pt>
                <c:pt idx="47">
                  <c:v>435.11317365477458</c:v>
                </c:pt>
                <c:pt idx="48">
                  <c:v>453.76691805289994</c:v>
                </c:pt>
                <c:pt idx="49">
                  <c:v>472.40427707439738</c:v>
                </c:pt>
                <c:pt idx="50">
                  <c:v>491.0259877555323</c:v>
                </c:pt>
                <c:pt idx="51">
                  <c:v>509.63272670342303</c:v>
                </c:pt>
                <c:pt idx="52">
                  <c:v>528.22511712105825</c:v>
                </c:pt>
                <c:pt idx="53">
                  <c:v>448.98126779829232</c:v>
                </c:pt>
                <c:pt idx="54">
                  <c:v>465.70732350694396</c:v>
                </c:pt>
                <c:pt idx="55">
                  <c:v>482.42057605284941</c:v>
                </c:pt>
                <c:pt idx="56">
                  <c:v>499.12153124405523</c:v>
                </c:pt>
                <c:pt idx="57">
                  <c:v>515.81065829469196</c:v>
                </c:pt>
                <c:pt idx="58">
                  <c:v>532.48839359517024</c:v>
                </c:pt>
                <c:pt idx="59">
                  <c:v>549.15514398564108</c:v>
                </c:pt>
                <c:pt idx="60">
                  <c:v>565.81128961154946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8.8464909557520901</c:v>
                </c:pt>
                <c:pt idx="2">
                  <c:v>17.303572811012511</c:v>
                </c:pt>
                <c:pt idx="3">
                  <c:v>25.634895073928181</c:v>
                </c:pt>
                <c:pt idx="4">
                  <c:v>33.888696198019623</c:v>
                </c:pt>
                <c:pt idx="5">
                  <c:v>42.086839431783375</c:v>
                </c:pt>
                <c:pt idx="6">
                  <c:v>50.241796484978039</c:v>
                </c:pt>
                <c:pt idx="7">
                  <c:v>58.361607386659266</c:v>
                </c:pt>
                <c:pt idx="8">
                  <c:v>66.451872334484463</c:v>
                </c:pt>
                <c:pt idx="9">
                  <c:v>74.51670754497205</c:v>
                </c:pt>
                <c:pt idx="10">
                  <c:v>82.559260857996719</c:v>
                </c:pt>
                <c:pt idx="11">
                  <c:v>90.582014114042082</c:v>
                </c:pt>
                <c:pt idx="12">
                  <c:v>98.586972028011871</c:v>
                </c:pt>
                <c:pt idx="13">
                  <c:v>106.5757861427755</c:v>
                </c:pt>
                <c:pt idx="14">
                  <c:v>114.54983948410518</c:v>
                </c:pt>
                <c:pt idx="15">
                  <c:v>122.51030630712535</c:v>
                </c:pt>
                <c:pt idx="16">
                  <c:v>130.45819544187259</c:v>
                </c:pt>
                <c:pt idx="17">
                  <c:v>138.39438248722183</c:v>
                </c:pt>
                <c:pt idx="18">
                  <c:v>146.31963421121341</c:v>
                </c:pt>
                <c:pt idx="19">
                  <c:v>154.23462737363312</c:v>
                </c:pt>
                <c:pt idx="20">
                  <c:v>162.13996347289819</c:v>
                </c:pt>
                <c:pt idx="21">
                  <c:v>170.03618045975017</c:v>
                </c:pt>
                <c:pt idx="22">
                  <c:v>177.92376215655057</c:v>
                </c:pt>
                <c:pt idx="23">
                  <c:v>185.80314591556689</c:v>
                </c:pt>
                <c:pt idx="24">
                  <c:v>193.67472890780064</c:v>
                </c:pt>
                <c:pt idx="25">
                  <c:v>201.53887333414332</c:v>
                </c:pt>
                <c:pt idx="26">
                  <c:v>209.39591077927696</c:v>
                </c:pt>
                <c:pt idx="27">
                  <c:v>217.2461458769034</c:v>
                </c:pt>
                <c:pt idx="28">
                  <c:v>225.08985941671213</c:v>
                </c:pt>
                <c:pt idx="29">
                  <c:v>232.92731099502291</c:v>
                </c:pt>
                <c:pt idx="30">
                  <c:v>240.7587412895509</c:v>
                </c:pt>
                <c:pt idx="31">
                  <c:v>248.58437402234924</c:v>
                </c:pt>
                <c:pt idx="32">
                  <c:v>256.40441766235483</c:v>
                </c:pt>
                <c:pt idx="33">
                  <c:v>264.21906690913573</c:v>
                </c:pt>
                <c:pt idx="34">
                  <c:v>272.02850399173889</c:v>
                </c:pt>
                <c:pt idx="35">
                  <c:v>279.83289981043765</c:v>
                </c:pt>
                <c:pt idx="36">
                  <c:v>287.63241494432572</c:v>
                </c:pt>
                <c:pt idx="37">
                  <c:v>295.42720054381022</c:v>
                </c:pt>
                <c:pt idx="38">
                  <c:v>303.21739912390404</c:v>
                </c:pt>
                <c:pt idx="39">
                  <c:v>311.00314527166626</c:v>
                </c:pt>
                <c:pt idx="40">
                  <c:v>318.78456627904137</c:v>
                </c:pt>
                <c:pt idx="41">
                  <c:v>326.56178271063499</c:v>
                </c:pt>
                <c:pt idx="42">
                  <c:v>334.33490891453494</c:v>
                </c:pt>
                <c:pt idx="43">
                  <c:v>342.10405348311491</c:v>
                </c:pt>
                <c:pt idx="44">
                  <c:v>349.86931966976226</c:v>
                </c:pt>
                <c:pt idx="45">
                  <c:v>357.63080576665556</c:v>
                </c:pt>
                <c:pt idx="46">
                  <c:v>365.388605448014</c:v>
                </c:pt>
                <c:pt idx="47">
                  <c:v>373.14280808265738</c:v>
                </c:pt>
                <c:pt idx="48">
                  <c:v>380.89349901921491</c:v>
                </c:pt>
                <c:pt idx="49">
                  <c:v>388.64075984689515</c:v>
                </c:pt>
                <c:pt idx="50">
                  <c:v>396.38466863436787</c:v>
                </c:pt>
                <c:pt idx="51">
                  <c:v>404.12530014899545</c:v>
                </c:pt>
                <c:pt idx="52">
                  <c:v>243.00679329612822</c:v>
                </c:pt>
                <c:pt idx="53">
                  <c:v>256.09037952376985</c:v>
                </c:pt>
                <c:pt idx="54">
                  <c:v>269.15884737867697</c:v>
                </c:pt>
                <c:pt idx="55">
                  <c:v>282.21303454018255</c:v>
                </c:pt>
                <c:pt idx="56">
                  <c:v>295.25369482966408</c:v>
                </c:pt>
                <c:pt idx="57">
                  <c:v>308.28151001738462</c:v>
                </c:pt>
                <c:pt idx="58">
                  <c:v>321.29709952785942</c:v>
                </c:pt>
                <c:pt idx="59">
                  <c:v>334.30102848950258</c:v>
                </c:pt>
                <c:pt idx="60">
                  <c:v>347.2938144657457</c:v>
                </c:pt>
                <c:pt idx="61">
                  <c:v>360.27593312585913</c:v>
                </c:pt>
                <c:pt idx="62">
                  <c:v>270.79703667962025</c:v>
                </c:pt>
                <c:pt idx="63">
                  <c:v>282.84435609647596</c:v>
                </c:pt>
                <c:pt idx="64">
                  <c:v>294.88018287968566</c:v>
                </c:pt>
                <c:pt idx="65">
                  <c:v>306.90505238979614</c:v>
                </c:pt>
                <c:pt idx="66">
                  <c:v>318.91945459246426</c:v>
                </c:pt>
                <c:pt idx="67">
                  <c:v>330.92383950930258</c:v>
                </c:pt>
                <c:pt idx="68">
                  <c:v>342.91862183607765</c:v>
                </c:pt>
                <c:pt idx="69">
                  <c:v>354.90418488072902</c:v>
                </c:pt>
                <c:pt idx="70">
                  <c:v>366.88088394144347</c:v>
                </c:pt>
                <c:pt idx="71">
                  <c:v>378.84904922045786</c:v>
                </c:pt>
                <c:pt idx="72">
                  <c:v>390.80898835034759</c:v>
                </c:pt>
                <c:pt idx="73">
                  <c:v>402.76098859486609</c:v>
                </c:pt>
                <c:pt idx="74">
                  <c:v>310.77912179652327</c:v>
                </c:pt>
                <c:pt idx="75">
                  <c:v>321.90958893090192</c:v>
                </c:pt>
                <c:pt idx="76">
                  <c:v>333.03154610648761</c:v>
                </c:pt>
                <c:pt idx="77">
                  <c:v>344.14531769432386</c:v>
                </c:pt>
                <c:pt idx="78">
                  <c:v>355.25120539665227</c:v>
                </c:pt>
                <c:pt idx="79">
                  <c:v>366.34949050546987</c:v>
                </c:pt>
                <c:pt idx="80">
                  <c:v>377.44043587301621</c:v>
                </c:pt>
                <c:pt idx="81">
                  <c:v>388.52428763849611</c:v>
                </c:pt>
                <c:pt idx="82">
                  <c:v>399.60127674742472</c:v>
                </c:pt>
                <c:pt idx="83">
                  <c:v>410.67162029368404</c:v>
                </c:pt>
                <c:pt idx="84">
                  <c:v>421.73552270929196</c:v>
                </c:pt>
                <c:pt idx="85">
                  <c:v>432.79317682279242</c:v>
                </c:pt>
                <c:pt idx="86">
                  <c:v>347.55507847487706</c:v>
                </c:pt>
                <c:pt idx="87">
                  <c:v>357.73505677049843</c:v>
                </c:pt>
                <c:pt idx="88">
                  <c:v>367.90869587276711</c:v>
                </c:pt>
                <c:pt idx="89">
                  <c:v>378.07619586602806</c:v>
                </c:pt>
                <c:pt idx="90">
                  <c:v>388.23774519032082</c:v>
                </c:pt>
                <c:pt idx="91">
                  <c:v>398.39352161264304</c:v>
                </c:pt>
                <c:pt idx="92">
                  <c:v>408.54369309398299</c:v>
                </c:pt>
                <c:pt idx="93">
                  <c:v>418.68841856567104</c:v>
                </c:pt>
                <c:pt idx="94">
                  <c:v>428.82784862654739</c:v>
                </c:pt>
                <c:pt idx="95">
                  <c:v>438.96212617074298</c:v>
                </c:pt>
                <c:pt idx="96">
                  <c:v>449.09138695445449</c:v>
                </c:pt>
                <c:pt idx="97">
                  <c:v>459.21576010891323</c:v>
                </c:pt>
                <c:pt idx="98">
                  <c:v>378.209162331713</c:v>
                </c:pt>
                <c:pt idx="99">
                  <c:v>387.36480059909928</c:v>
                </c:pt>
                <c:pt idx="100">
                  <c:v>396.51574057777526</c:v>
                </c:pt>
                <c:pt idx="101">
                  <c:v>405.6621060387227</c:v>
                </c:pt>
                <c:pt idx="102">
                  <c:v>414.80401471367298</c:v>
                </c:pt>
                <c:pt idx="103">
                  <c:v>423.94157871927513</c:v>
                </c:pt>
                <c:pt idx="104">
                  <c:v>433.0749049427771</c:v>
                </c:pt>
                <c:pt idx="105">
                  <c:v>442.20409539346821</c:v>
                </c:pt>
                <c:pt idx="106">
                  <c:v>451.32924752357991</c:v>
                </c:pt>
                <c:pt idx="107">
                  <c:v>460.45045452187622</c:v>
                </c:pt>
                <c:pt idx="108">
                  <c:v>469.567805582765</c:v>
                </c:pt>
                <c:pt idx="109">
                  <c:v>478.6813861534161</c:v>
                </c:pt>
                <c:pt idx="110">
                  <c:v>395.20068110200162</c:v>
                </c:pt>
                <c:pt idx="111">
                  <c:v>403.39834364064762</c:v>
                </c:pt>
                <c:pt idx="112">
                  <c:v>411.59240379298285</c:v>
                </c:pt>
                <c:pt idx="113">
                  <c:v>419.78294343103568</c:v>
                </c:pt>
                <c:pt idx="114">
                  <c:v>427.97004096956312</c:v>
                </c:pt>
                <c:pt idx="115">
                  <c:v>436.15377157683184</c:v>
                </c:pt>
                <c:pt idx="116">
                  <c:v>444.33420736875161</c:v>
                </c:pt>
                <c:pt idx="117">
                  <c:v>452.51141758795944</c:v>
                </c:pt>
                <c:pt idx="118">
                  <c:v>460.68546876928417</c:v>
                </c:pt>
                <c:pt idx="119">
                  <c:v>468.85642489285124</c:v>
                </c:pt>
                <c:pt idx="120">
                  <c:v>477.02434752595531</c:v>
                </c:pt>
                <c:pt idx="121">
                  <c:v>485.18929595470814</c:v>
                </c:pt>
                <c:pt idx="122">
                  <c:v>254.46571105530847</c:v>
                </c:pt>
                <c:pt idx="123">
                  <c:v>260.23198096229737</c:v>
                </c:pt>
                <c:pt idx="124">
                  <c:v>265.99536493740356</c:v>
                </c:pt>
                <c:pt idx="125">
                  <c:v>271.75593442925316</c:v>
                </c:pt>
                <c:pt idx="126">
                  <c:v>277.5137576056257</c:v>
                </c:pt>
                <c:pt idx="127">
                  <c:v>283.26889957059507</c:v>
                </c:pt>
                <c:pt idx="128">
                  <c:v>289.02142256308201</c:v>
                </c:pt>
                <c:pt idx="129">
                  <c:v>294.77138613875337</c:v>
                </c:pt>
                <c:pt idx="130">
                  <c:v>300.51884733697273</c:v>
                </c:pt>
                <c:pt idx="131">
                  <c:v>306.26386083429691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3.4410738171973398</c:v>
                </c:pt>
                <c:pt idx="2">
                  <c:v>4.4608209455466667</c:v>
                </c:pt>
                <c:pt idx="3">
                  <c:v>5.7839593618286251</c:v>
                </c:pt>
                <c:pt idx="4">
                  <c:v>7.5010867058128019</c:v>
                </c:pt>
                <c:pt idx="5">
                  <c:v>9.7299475504541739</c:v>
                </c:pt>
                <c:pt idx="6">
                  <c:v>12.62359359108882</c:v>
                </c:pt>
                <c:pt idx="7">
                  <c:v>16.381003870746099</c:v>
                </c:pt>
                <c:pt idx="8">
                  <c:v>21.260908631465579</c:v>
                </c:pt>
                <c:pt idx="9">
                  <c:v>27.599785685746742</c:v>
                </c:pt>
                <c:pt idx="10">
                  <c:v>35.835291920925037</c:v>
                </c:pt>
                <c:pt idx="11">
                  <c:v>46.985024019618947</c:v>
                </c:pt>
                <c:pt idx="12">
                  <c:v>58.063766046335616</c:v>
                </c:pt>
                <c:pt idx="13">
                  <c:v>69.087081703584502</c:v>
                </c:pt>
                <c:pt idx="14">
                  <c:v>80.065105012179131</c:v>
                </c:pt>
                <c:pt idx="15">
                  <c:v>91.004942333925854</c:v>
                </c:pt>
                <c:pt idx="16">
                  <c:v>105.14870185419373</c:v>
                </c:pt>
                <c:pt idx="17">
                  <c:v>119.24545723284972</c:v>
                </c:pt>
                <c:pt idx="18">
                  <c:v>133.30155764202001</c:v>
                </c:pt>
                <c:pt idx="19">
                  <c:v>147.32189924742238</c:v>
                </c:pt>
                <c:pt idx="20">
                  <c:v>161.31036772442937</c:v>
                </c:pt>
                <c:pt idx="21">
                  <c:v>114.84485279709075</c:v>
                </c:pt>
                <c:pt idx="22">
                  <c:v>128.32767279839109</c:v>
                </c:pt>
                <c:pt idx="23">
                  <c:v>141.77618935167845</c:v>
                </c:pt>
                <c:pt idx="24">
                  <c:v>155.19411815315803</c:v>
                </c:pt>
                <c:pt idx="25">
                  <c:v>168.58447853302872</c:v>
                </c:pt>
                <c:pt idx="26">
                  <c:v>148.19707636008866</c:v>
                </c:pt>
                <c:pt idx="27">
                  <c:v>161.31036772442937</c:v>
                </c:pt>
                <c:pt idx="28">
                  <c:v>174.3984236178724</c:v>
                </c:pt>
                <c:pt idx="29">
                  <c:v>187.46340594209792</c:v>
                </c:pt>
                <c:pt idx="30">
                  <c:v>200.50715025518221</c:v>
                </c:pt>
                <c:pt idx="31">
                  <c:v>177.88459399640385</c:v>
                </c:pt>
                <c:pt idx="32">
                  <c:v>190.07380002073521</c:v>
                </c:pt>
                <c:pt idx="33">
                  <c:v>202.24479885360915</c:v>
                </c:pt>
                <c:pt idx="34">
                  <c:v>214.39884125727303</c:v>
                </c:pt>
                <c:pt idx="35">
                  <c:v>226.5370244687019</c:v>
                </c:pt>
                <c:pt idx="36">
                  <c:v>203.11349326743414</c:v>
                </c:pt>
                <c:pt idx="37">
                  <c:v>214.39884125727303</c:v>
                </c:pt>
                <c:pt idx="38">
                  <c:v>225.67051599369438</c:v>
                </c:pt>
                <c:pt idx="39">
                  <c:v>236.92929712202124</c:v>
                </c:pt>
                <c:pt idx="40">
                  <c:v>248.17588407773692</c:v>
                </c:pt>
                <c:pt idx="41">
                  <c:v>225.09280133418588</c:v>
                </c:pt>
                <c:pt idx="42">
                  <c:v>235.19798731677477</c:v>
                </c:pt>
                <c:pt idx="43">
                  <c:v>245.29327027921784</c:v>
                </c:pt>
                <c:pt idx="44">
                  <c:v>255.37911556611809</c:v>
                </c:pt>
                <c:pt idx="45">
                  <c:v>265.45594873287132</c:v>
                </c:pt>
                <c:pt idx="46">
                  <c:v>243.2749829854902</c:v>
                </c:pt>
                <c:pt idx="47">
                  <c:v>252.78648962904825</c:v>
                </c:pt>
                <c:pt idx="48">
                  <c:v>262.28989082672678</c:v>
                </c:pt>
                <c:pt idx="49">
                  <c:v>271.78552190976148</c:v>
                </c:pt>
                <c:pt idx="50">
                  <c:v>281.27369284448542</c:v>
                </c:pt>
                <c:pt idx="51">
                  <c:v>259.98676180657628</c:v>
                </c:pt>
                <c:pt idx="52">
                  <c:v>268.90885950185276</c:v>
                </c:pt>
                <c:pt idx="53">
                  <c:v>277.8242934335666</c:v>
                </c:pt>
                <c:pt idx="54">
                  <c:v>286.7333077859592</c:v>
                </c:pt>
                <c:pt idx="55">
                  <c:v>295.63613031709275</c:v>
                </c:pt>
                <c:pt idx="56">
                  <c:v>274.3739322618332</c:v>
                </c:pt>
                <c:pt idx="57">
                  <c:v>281.8485001937197</c:v>
                </c:pt>
                <c:pt idx="58">
                  <c:v>289.31862636311035</c:v>
                </c:pt>
                <c:pt idx="59">
                  <c:v>296.78444175729186</c:v>
                </c:pt>
                <c:pt idx="60">
                  <c:v>304.24607022840337</c:v>
                </c:pt>
                <c:pt idx="61">
                  <c:v>285.58411013783456</c:v>
                </c:pt>
                <c:pt idx="62">
                  <c:v>292.76491531563642</c:v>
                </c:pt>
                <c:pt idx="63">
                  <c:v>299.94178861650374</c:v>
                </c:pt>
                <c:pt idx="64">
                  <c:v>307.11483749581919</c:v>
                </c:pt>
                <c:pt idx="65">
                  <c:v>314.28416397433648</c:v>
                </c:pt>
                <c:pt idx="66">
                  <c:v>296.49737320370497</c:v>
                </c:pt>
                <c:pt idx="67">
                  <c:v>303.09839513833816</c:v>
                </c:pt>
                <c:pt idx="68">
                  <c:v>309.69621867977315</c:v>
                </c:pt>
                <c:pt idx="69">
                  <c:v>316.29092165981257</c:v>
                </c:pt>
                <c:pt idx="70">
                  <c:v>322.88257839605922</c:v>
                </c:pt>
                <c:pt idx="71">
                  <c:v>305.39364900712422</c:v>
                </c:pt>
                <c:pt idx="72">
                  <c:v>310.84334557443191</c:v>
                </c:pt>
                <c:pt idx="73">
                  <c:v>316.29092165981257</c:v>
                </c:pt>
                <c:pt idx="74">
                  <c:v>321.73641898783791</c:v>
                </c:pt>
                <c:pt idx="75">
                  <c:v>327.17987775354368</c:v>
                </c:pt>
                <c:pt idx="76">
                  <c:v>312.27712208414272</c:v>
                </c:pt>
                <c:pt idx="77">
                  <c:v>317.43751352960959</c:v>
                </c:pt>
                <c:pt idx="78">
                  <c:v>322.59604699390326</c:v>
                </c:pt>
                <c:pt idx="79">
                  <c:v>327.7527564208786</c:v>
                </c:pt>
                <c:pt idx="80">
                  <c:v>332.90767459767238</c:v>
                </c:pt>
                <c:pt idx="81">
                  <c:v>318.87062439138862</c:v>
                </c:pt>
                <c:pt idx="82">
                  <c:v>323.45562433486742</c:v>
                </c:pt>
                <c:pt idx="83">
                  <c:v>328.0391874593783</c:v>
                </c:pt>
                <c:pt idx="84">
                  <c:v>332.62133670359054</c:v>
                </c:pt>
                <c:pt idx="85">
                  <c:v>337.20209432169565</c:v>
                </c:pt>
                <c:pt idx="86">
                  <c:v>324.31515116468773</c:v>
                </c:pt>
                <c:pt idx="87">
                  <c:v>328.61203297364347</c:v>
                </c:pt>
                <c:pt idx="88">
                  <c:v>332.90767459767216</c:v>
                </c:pt>
                <c:pt idx="89">
                  <c:v>337.20209432169548</c:v>
                </c:pt>
                <c:pt idx="90">
                  <c:v>341.49530992621681</c:v>
                </c:pt>
                <c:pt idx="91">
                  <c:v>329.75765790514163</c:v>
                </c:pt>
                <c:pt idx="92">
                  <c:v>333.76665571836884</c:v>
                </c:pt>
                <c:pt idx="93">
                  <c:v>337.7745922579382</c:v>
                </c:pt>
                <c:pt idx="94">
                  <c:v>341.78148191306553</c:v>
                </c:pt>
                <c:pt idx="95">
                  <c:v>345.78733870754724</c:v>
                </c:pt>
                <c:pt idx="96">
                  <c:v>334.33928271745089</c:v>
                </c:pt>
                <c:pt idx="97">
                  <c:v>338.63329911701209</c:v>
                </c:pt>
                <c:pt idx="98">
                  <c:v>342.92611721533939</c:v>
                </c:pt>
                <c:pt idx="99">
                  <c:v>347.21775415165695</c:v>
                </c:pt>
                <c:pt idx="100">
                  <c:v>351.50822660633276</c:v>
                </c:pt>
                <c:pt idx="101">
                  <c:v>2.5184749408430782E-12</c:v>
                </c:pt>
                <c:pt idx="102">
                  <c:v>2.5184749408430782E-12</c:v>
                </c:pt>
                <c:pt idx="103">
                  <c:v>2.5184749408430782E-12</c:v>
                </c:pt>
                <c:pt idx="104">
                  <c:v>2.5184749408430782E-12</c:v>
                </c:pt>
                <c:pt idx="105">
                  <c:v>2.5184749408430782E-12</c:v>
                </c:pt>
                <c:pt idx="106">
                  <c:v>2.5184749408430782E-12</c:v>
                </c:pt>
                <c:pt idx="107">
                  <c:v>2.5184749408430782E-12</c:v>
                </c:pt>
                <c:pt idx="108">
                  <c:v>2.5184749408430782E-12</c:v>
                </c:pt>
                <c:pt idx="109">
                  <c:v>2.5184749408430782E-12</c:v>
                </c:pt>
                <c:pt idx="110">
                  <c:v>2.5184749408430782E-12</c:v>
                </c:pt>
                <c:pt idx="111">
                  <c:v>2.5184749408430782E-12</c:v>
                </c:pt>
                <c:pt idx="112">
                  <c:v>2.5184749408430782E-12</c:v>
                </c:pt>
                <c:pt idx="113">
                  <c:v>2.5184749408430782E-12</c:v>
                </c:pt>
                <c:pt idx="114">
                  <c:v>2.5184749408430782E-12</c:v>
                </c:pt>
                <c:pt idx="115">
                  <c:v>2.5184749408430782E-12</c:v>
                </c:pt>
                <c:pt idx="116">
                  <c:v>2.5184749408430782E-12</c:v>
                </c:pt>
                <c:pt idx="117">
                  <c:v>2.5184749408430782E-12</c:v>
                </c:pt>
                <c:pt idx="118">
                  <c:v>2.5184749408430782E-12</c:v>
                </c:pt>
                <c:pt idx="119">
                  <c:v>2.5184749408430782E-12</c:v>
                </c:pt>
                <c:pt idx="120">
                  <c:v>2.5184749408430782E-12</c:v>
                </c:pt>
                <c:pt idx="121">
                  <c:v>2.5184749408430782E-12</c:v>
                </c:pt>
                <c:pt idx="122">
                  <c:v>2.5184749408430782E-12</c:v>
                </c:pt>
                <c:pt idx="123">
                  <c:v>2.5184749408430782E-12</c:v>
                </c:pt>
                <c:pt idx="124">
                  <c:v>2.5184749408430782E-12</c:v>
                </c:pt>
                <c:pt idx="125">
                  <c:v>2.5184749408430782E-12</c:v>
                </c:pt>
                <c:pt idx="126">
                  <c:v>2.5184749408430782E-12</c:v>
                </c:pt>
                <c:pt idx="127">
                  <c:v>2.5184749408430782E-12</c:v>
                </c:pt>
                <c:pt idx="128">
                  <c:v>2.5184749408430782E-12</c:v>
                </c:pt>
                <c:pt idx="129">
                  <c:v>2.5184749408430782E-12</c:v>
                </c:pt>
                <c:pt idx="130">
                  <c:v>2.5184749408430782E-12</c:v>
                </c:pt>
                <c:pt idx="131">
                  <c:v>2.5184749408430782E-12</c:v>
                </c:pt>
                <c:pt idx="132">
                  <c:v>2.5184749408430782E-12</c:v>
                </c:pt>
                <c:pt idx="133">
                  <c:v>2.5184749408430782E-12</c:v>
                </c:pt>
                <c:pt idx="134">
                  <c:v>2.5184749408430782E-12</c:v>
                </c:pt>
                <c:pt idx="135">
                  <c:v>2.5184749408430782E-12</c:v>
                </c:pt>
                <c:pt idx="136">
                  <c:v>2.5184749408430782E-12</c:v>
                </c:pt>
                <c:pt idx="137">
                  <c:v>2.5184749408430782E-12</c:v>
                </c:pt>
                <c:pt idx="138">
                  <c:v>2.5184749408430782E-12</c:v>
                </c:pt>
                <c:pt idx="139">
                  <c:v>2.5184749408430782E-12</c:v>
                </c:pt>
                <c:pt idx="140">
                  <c:v>2.5184749408430782E-12</c:v>
                </c:pt>
                <c:pt idx="141">
                  <c:v>2.5184749408430782E-12</c:v>
                </c:pt>
                <c:pt idx="142">
                  <c:v>2.5184749408430782E-12</c:v>
                </c:pt>
                <c:pt idx="143">
                  <c:v>2.5184749408430782E-12</c:v>
                </c:pt>
                <c:pt idx="144">
                  <c:v>2.5184749408430782E-12</c:v>
                </c:pt>
                <c:pt idx="145">
                  <c:v>2.5184749408430782E-12</c:v>
                </c:pt>
                <c:pt idx="146">
                  <c:v>2.5184749408430782E-12</c:v>
                </c:pt>
                <c:pt idx="147">
                  <c:v>2.5184749408430782E-12</c:v>
                </c:pt>
                <c:pt idx="148">
                  <c:v>2.5184749408430782E-12</c:v>
                </c:pt>
                <c:pt idx="149">
                  <c:v>2.5184749408430782E-12</c:v>
                </c:pt>
                <c:pt idx="150">
                  <c:v>2.5184749408430782E-12</c:v>
                </c:pt>
                <c:pt idx="151">
                  <c:v>2.5184749408430782E-12</c:v>
                </c:pt>
                <c:pt idx="152">
                  <c:v>2.5184749408430782E-12</c:v>
                </c:pt>
                <c:pt idx="153">
                  <c:v>2.5184749408430782E-12</c:v>
                </c:pt>
                <c:pt idx="154">
                  <c:v>2.5184749408430782E-12</c:v>
                </c:pt>
                <c:pt idx="155">
                  <c:v>2.5184749408430782E-12</c:v>
                </c:pt>
                <c:pt idx="156">
                  <c:v>2.5184749408430782E-12</c:v>
                </c:pt>
                <c:pt idx="157">
                  <c:v>2.5184749408430782E-12</c:v>
                </c:pt>
                <c:pt idx="158">
                  <c:v>2.5184749408430782E-12</c:v>
                </c:pt>
                <c:pt idx="159">
                  <c:v>2.5184749408430782E-12</c:v>
                </c:pt>
                <c:pt idx="160">
                  <c:v>2.5184749408430782E-12</c:v>
                </c:pt>
                <c:pt idx="161">
                  <c:v>2.5184749408430782E-12</c:v>
                </c:pt>
                <c:pt idx="162">
                  <c:v>2.5184749408430782E-12</c:v>
                </c:pt>
                <c:pt idx="163">
                  <c:v>2.5184749408430782E-12</c:v>
                </c:pt>
                <c:pt idx="164">
                  <c:v>2.5184749408430782E-12</c:v>
                </c:pt>
                <c:pt idx="165">
                  <c:v>2.5184749408430782E-12</c:v>
                </c:pt>
                <c:pt idx="166">
                  <c:v>2.5184749408430782E-12</c:v>
                </c:pt>
                <c:pt idx="167">
                  <c:v>2.5184749408430782E-12</c:v>
                </c:pt>
                <c:pt idx="168">
                  <c:v>2.5184749408430782E-12</c:v>
                </c:pt>
                <c:pt idx="169">
                  <c:v>2.5184749408430782E-12</c:v>
                </c:pt>
                <c:pt idx="170">
                  <c:v>2.5184749408430782E-12</c:v>
                </c:pt>
                <c:pt idx="171">
                  <c:v>2.5184749408430782E-12</c:v>
                </c:pt>
                <c:pt idx="172">
                  <c:v>2.5184749408430782E-12</c:v>
                </c:pt>
                <c:pt idx="173">
                  <c:v>2.5184749408430782E-12</c:v>
                </c:pt>
                <c:pt idx="174">
                  <c:v>2.5184749408430782E-12</c:v>
                </c:pt>
                <c:pt idx="175">
                  <c:v>2.5184749408430782E-12</c:v>
                </c:pt>
                <c:pt idx="176">
                  <c:v>2.5184749408430782E-12</c:v>
                </c:pt>
                <c:pt idx="177">
                  <c:v>2.5184749408430782E-12</c:v>
                </c:pt>
                <c:pt idx="178">
                  <c:v>2.5184749408430782E-12</c:v>
                </c:pt>
                <c:pt idx="179">
                  <c:v>2.5184749408430782E-12</c:v>
                </c:pt>
                <c:pt idx="180">
                  <c:v>2.5184749408430782E-12</c:v>
                </c:pt>
                <c:pt idx="181">
                  <c:v>2.5184749408430782E-12</c:v>
                </c:pt>
                <c:pt idx="182">
                  <c:v>2.5184749408430782E-12</c:v>
                </c:pt>
                <c:pt idx="183">
                  <c:v>2.5184749408430782E-12</c:v>
                </c:pt>
                <c:pt idx="184">
                  <c:v>2.5184749408430782E-12</c:v>
                </c:pt>
                <c:pt idx="185">
                  <c:v>2.5184749408430782E-12</c:v>
                </c:pt>
                <c:pt idx="186">
                  <c:v>2.5184749408430782E-12</c:v>
                </c:pt>
                <c:pt idx="187">
                  <c:v>2.5184749408430782E-12</c:v>
                </c:pt>
                <c:pt idx="188">
                  <c:v>2.5184749408430782E-12</c:v>
                </c:pt>
                <c:pt idx="189">
                  <c:v>2.5184749408430782E-12</c:v>
                </c:pt>
                <c:pt idx="190">
                  <c:v>2.5184749408430782E-12</c:v>
                </c:pt>
                <c:pt idx="191">
                  <c:v>2.5184749408430782E-12</c:v>
                </c:pt>
                <c:pt idx="192">
                  <c:v>2.5184749408430782E-12</c:v>
                </c:pt>
                <c:pt idx="193">
                  <c:v>2.5184749408430782E-12</c:v>
                </c:pt>
                <c:pt idx="194">
                  <c:v>2.5184749408430782E-12</c:v>
                </c:pt>
                <c:pt idx="195">
                  <c:v>2.5184749408430782E-12</c:v>
                </c:pt>
                <c:pt idx="196">
                  <c:v>2.5184749408430782E-12</c:v>
                </c:pt>
                <c:pt idx="197">
                  <c:v>2.5184749408430782E-12</c:v>
                </c:pt>
                <c:pt idx="198">
                  <c:v>2.5184749408430782E-12</c:v>
                </c:pt>
                <c:pt idx="199">
                  <c:v>2.5184749408430782E-12</c:v>
                </c:pt>
                <c:pt idx="200">
                  <c:v>2.5184749408430782E-12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2.9205980688266564</c:v>
                </c:pt>
                <c:pt idx="2">
                  <c:v>3.8193886180668186</c:v>
                </c:pt>
                <c:pt idx="3">
                  <c:v>4.9958857422955205</c:v>
                </c:pt>
                <c:pt idx="4">
                  <c:v>6.5362176188514516</c:v>
                </c:pt>
                <c:pt idx="5">
                  <c:v>8.5533177888034189</c:v>
                </c:pt>
                <c:pt idx="6">
                  <c:v>11.195294658284743</c:v>
                </c:pt>
                <c:pt idx="7">
                  <c:v>14.656421978560983</c:v>
                </c:pt>
                <c:pt idx="8">
                  <c:v>19.191573306246756</c:v>
                </c:pt>
                <c:pt idx="9">
                  <c:v>25.135182506128984</c:v>
                </c:pt>
                <c:pt idx="10">
                  <c:v>32.9261531469324</c:v>
                </c:pt>
                <c:pt idx="11">
                  <c:v>43.140587989048477</c:v>
                </c:pt>
                <c:pt idx="12">
                  <c:v>56.534799687422179</c:v>
                </c:pt>
                <c:pt idx="13">
                  <c:v>74.101840122506715</c:v>
                </c:pt>
                <c:pt idx="14">
                  <c:v>97.145807411654872</c:v>
                </c:pt>
                <c:pt idx="15">
                  <c:v>127.37953432582198</c:v>
                </c:pt>
                <c:pt idx="16">
                  <c:v>92.512559752041952</c:v>
                </c:pt>
                <c:pt idx="17">
                  <c:v>118.97444364040366</c:v>
                </c:pt>
                <c:pt idx="18">
                  <c:v>145.29205371594367</c:v>
                </c:pt>
                <c:pt idx="19">
                  <c:v>171.49532867914351</c:v>
                </c:pt>
                <c:pt idx="20">
                  <c:v>197.6042373039995</c:v>
                </c:pt>
                <c:pt idx="21">
                  <c:v>159.35586286360191</c:v>
                </c:pt>
                <c:pt idx="22">
                  <c:v>187.39794043392263</c:v>
                </c:pt>
                <c:pt idx="23">
                  <c:v>215.34198157425362</c:v>
                </c:pt>
                <c:pt idx="24">
                  <c:v>243.20250692836802</c:v>
                </c:pt>
                <c:pt idx="25">
                  <c:v>270.99042974399345</c:v>
                </c:pt>
                <c:pt idx="26">
                  <c:v>231.91700149088217</c:v>
                </c:pt>
                <c:pt idx="27">
                  <c:v>258.60689820869135</c:v>
                </c:pt>
                <c:pt idx="28">
                  <c:v>285.23452771013774</c:v>
                </c:pt>
                <c:pt idx="29">
                  <c:v>311.80651713592084</c:v>
                </c:pt>
                <c:pt idx="30">
                  <c:v>338.32827143043039</c:v>
                </c:pt>
                <c:pt idx="31">
                  <c:v>296.842883014341</c:v>
                </c:pt>
                <c:pt idx="32">
                  <c:v>320.77699701276748</c:v>
                </c:pt>
                <c:pt idx="33">
                  <c:v>344.67160985755481</c:v>
                </c:pt>
                <c:pt idx="34">
                  <c:v>368.52984306951663</c:v>
                </c:pt>
                <c:pt idx="35">
                  <c:v>392.35438115419714</c:v>
                </c:pt>
                <c:pt idx="36">
                  <c:v>348.40178403373949</c:v>
                </c:pt>
                <c:pt idx="37">
                  <c:v>369.64735159591169</c:v>
                </c:pt>
                <c:pt idx="38">
                  <c:v>390.86628899650526</c:v>
                </c:pt>
                <c:pt idx="39">
                  <c:v>412.06024430985258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422.83402201018424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430.63202519963079</c:v>
                </c:pt>
                <c:pt idx="47">
                  <c:v>446.58996615169781</c:v>
                </c:pt>
                <c:pt idx="48">
                  <c:v>462.53570293273191</c:v>
                </c:pt>
                <c:pt idx="49">
                  <c:v>478.46971536977009</c:v>
                </c:pt>
                <c:pt idx="50">
                  <c:v>494.3924487367965</c:v>
                </c:pt>
                <c:pt idx="51">
                  <c:v>472.91264200880101</c:v>
                </c:pt>
                <c:pt idx="52">
                  <c:v>486.61761247073986</c:v>
                </c:pt>
                <c:pt idx="53">
                  <c:v>500.3143920215611</c:v>
                </c:pt>
                <c:pt idx="54">
                  <c:v>514.00323643635181</c:v>
                </c:pt>
                <c:pt idx="55">
                  <c:v>527.68438675921152</c:v>
                </c:pt>
                <c:pt idx="56">
                  <c:v>509.56446562910031</c:v>
                </c:pt>
                <c:pt idx="57">
                  <c:v>521.02963842518261</c:v>
                </c:pt>
                <c:pt idx="58">
                  <c:v>532.48949356066385</c:v>
                </c:pt>
                <c:pt idx="59">
                  <c:v>543.94416159669981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548.74621845390379</c:v>
                </c:pt>
                <c:pt idx="63">
                  <c:v>558.34769693411636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562.03964926820083</c:v>
                </c:pt>
                <c:pt idx="67">
                  <c:v>570.52922017836795</c:v>
                </c:pt>
                <c:pt idx="68">
                  <c:v>579.01615230132256</c:v>
                </c:pt>
                <c:pt idx="69">
                  <c:v>587.50048977179972</c:v>
                </c:pt>
                <c:pt idx="70">
                  <c:v>595.98227534576563</c:v>
                </c:pt>
                <c:pt idx="71">
                  <c:v>579.75402315407757</c:v>
                </c:pt>
                <c:pt idx="72">
                  <c:v>587.50048977179972</c:v>
                </c:pt>
                <c:pt idx="73">
                  <c:v>595.24482902030275</c:v>
                </c:pt>
                <c:pt idx="74">
                  <c:v>602.98707248339201</c:v>
                </c:pt>
                <c:pt idx="75">
                  <c:v>610.72725086759363</c:v>
                </c:pt>
                <c:pt idx="76">
                  <c:v>595.24482902030275</c:v>
                </c:pt>
                <c:pt idx="77">
                  <c:v>601.88116484326292</c:v>
                </c:pt>
                <c:pt idx="78">
                  <c:v>608.51598029477634</c:v>
                </c:pt>
                <c:pt idx="79">
                  <c:v>615.14929429282256</c:v>
                </c:pt>
                <c:pt idx="80">
                  <c:v>621.78112531404156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1.4678096381152426</c:v>
                </c:pt>
                <c:pt idx="2">
                  <c:v>1.8577125064402493</c:v>
                </c:pt>
                <c:pt idx="3">
                  <c:v>2.3516058449587698</c:v>
                </c:pt>
                <c:pt idx="4">
                  <c:v>2.9773303702260798</c:v>
                </c:pt>
                <c:pt idx="5">
                  <c:v>3.7702069504069935</c:v>
                </c:pt>
                <c:pt idx="6">
                  <c:v>4.775052990760897</c:v>
                </c:pt>
                <c:pt idx="7">
                  <c:v>6.0487440231116798</c:v>
                </c:pt>
                <c:pt idx="8">
                  <c:v>7.6634683274288991</c:v>
                </c:pt>
                <c:pt idx="9">
                  <c:v>9.7108625983638834</c:v>
                </c:pt>
                <c:pt idx="10">
                  <c:v>12.30726780313973</c:v>
                </c:pt>
                <c:pt idx="11">
                  <c:v>15.600409448968461</c:v>
                </c:pt>
                <c:pt idx="12">
                  <c:v>19.77788929527058</c:v>
                </c:pt>
                <c:pt idx="13">
                  <c:v>25.077980957302103</c:v>
                </c:pt>
                <c:pt idx="14">
                  <c:v>31.803356029588638</c:v>
                </c:pt>
                <c:pt idx="15">
                  <c:v>40.33853817733057</c:v>
                </c:pt>
                <c:pt idx="16">
                  <c:v>51.172100124303235</c:v>
                </c:pt>
                <c:pt idx="17">
                  <c:v>64.924895375729704</c:v>
                </c:pt>
                <c:pt idx="18">
                  <c:v>82.385969123201647</c:v>
                </c:pt>
                <c:pt idx="19">
                  <c:v>104.55824181585456</c:v>
                </c:pt>
                <c:pt idx="20">
                  <c:v>132.71663076326527</c:v>
                </c:pt>
                <c:pt idx="21">
                  <c:v>149.86349088994214</c:v>
                </c:pt>
                <c:pt idx="22">
                  <c:v>171.75929390005538</c:v>
                </c:pt>
                <c:pt idx="23">
                  <c:v>193.58937066536194</c:v>
                </c:pt>
                <c:pt idx="24">
                  <c:v>215.36217958372643</c:v>
                </c:pt>
                <c:pt idx="25">
                  <c:v>237.08432568129535</c:v>
                </c:pt>
                <c:pt idx="26">
                  <c:v>201.4261589469568</c:v>
                </c:pt>
                <c:pt idx="27">
                  <c:v>225.84813487839025</c:v>
                </c:pt>
                <c:pt idx="28">
                  <c:v>250.20960494403877</c:v>
                </c:pt>
                <c:pt idx="29">
                  <c:v>274.51728748697752</c:v>
                </c:pt>
                <c:pt idx="30">
                  <c:v>298.776612945463</c:v>
                </c:pt>
                <c:pt idx="31">
                  <c:v>263.88892164359248</c:v>
                </c:pt>
                <c:pt idx="32">
                  <c:v>288.73729643997962</c:v>
                </c:pt>
                <c:pt idx="33">
                  <c:v>313.53786869396725</c:v>
                </c:pt>
                <c:pt idx="34">
                  <c:v>338.29494871140395</c:v>
                </c:pt>
                <c:pt idx="35">
                  <c:v>363.01216447261658</c:v>
                </c:pt>
                <c:pt idx="36">
                  <c:v>327.52788280677879</c:v>
                </c:pt>
                <c:pt idx="37">
                  <c:v>351.50737289573021</c:v>
                </c:pt>
                <c:pt idx="38">
                  <c:v>375.45100724100371</c:v>
                </c:pt>
                <c:pt idx="39">
                  <c:v>399.36139216370793</c:v>
                </c:pt>
                <c:pt idx="40">
                  <c:v>423.24079659257137</c:v>
                </c:pt>
                <c:pt idx="41">
                  <c:v>386.75124975440627</c:v>
                </c:pt>
                <c:pt idx="42">
                  <c:v>409.51850419898801</c:v>
                </c:pt>
                <c:pt idx="43">
                  <c:v>432.25843496585861</c:v>
                </c:pt>
                <c:pt idx="44">
                  <c:v>454.97268045088828</c:v>
                </c:pt>
                <c:pt idx="45">
                  <c:v>477.66270222958752</c:v>
                </c:pt>
                <c:pt idx="46">
                  <c:v>439.95779815210875</c:v>
                </c:pt>
                <c:pt idx="47">
                  <c:v>461.35077692036253</c:v>
                </c:pt>
                <c:pt idx="48">
                  <c:v>482.72259451250079</c:v>
                </c:pt>
                <c:pt idx="49">
                  <c:v>504.07431885281977</c:v>
                </c:pt>
                <c:pt idx="50">
                  <c:v>525.40692008667054</c:v>
                </c:pt>
                <c:pt idx="51">
                  <c:v>486.65728665769012</c:v>
                </c:pt>
                <c:pt idx="52">
                  <c:v>506.8823127476889</c:v>
                </c:pt>
                <c:pt idx="53">
                  <c:v>527.09028501417185</c:v>
                </c:pt>
                <c:pt idx="54">
                  <c:v>547.2819487678953</c:v>
                </c:pt>
                <c:pt idx="55">
                  <c:v>567.45798988344666</c:v>
                </c:pt>
                <c:pt idx="56">
                  <c:v>530.08265448348277</c:v>
                </c:pt>
                <c:pt idx="57">
                  <c:v>548.77699801739243</c:v>
                </c:pt>
                <c:pt idx="58">
                  <c:v>567.45798988344666</c:v>
                </c:pt>
                <c:pt idx="59">
                  <c:v>586.12613117064211</c:v>
                </c:pt>
                <c:pt idx="60">
                  <c:v>604.78188847071704</c:v>
                </c:pt>
                <c:pt idx="61">
                  <c:v>572.68634410740208</c:v>
                </c:pt>
                <c:pt idx="62">
                  <c:v>590.04485244072748</c:v>
                </c:pt>
                <c:pt idx="63">
                  <c:v>607.39273139699276</c:v>
                </c:pt>
                <c:pt idx="64">
                  <c:v>624.73032709457823</c:v>
                </c:pt>
                <c:pt idx="65">
                  <c:v>642.05796488895498</c:v>
                </c:pt>
                <c:pt idx="66">
                  <c:v>613.3594992761856</c:v>
                </c:pt>
                <c:pt idx="67">
                  <c:v>629.38925981661589</c:v>
                </c:pt>
                <c:pt idx="68">
                  <c:v>645.41057723213919</c:v>
                </c:pt>
                <c:pt idx="69">
                  <c:v>661.42369048595856</c:v>
                </c:pt>
                <c:pt idx="70">
                  <c:v>677.42882603564658</c:v>
                </c:pt>
                <c:pt idx="71">
                  <c:v>650.25260563533459</c:v>
                </c:pt>
                <c:pt idx="72">
                  <c:v>664.96038766605932</c:v>
                </c:pt>
                <c:pt idx="73">
                  <c:v>679.6614788352457</c:v>
                </c:pt>
                <c:pt idx="74">
                  <c:v>694.35604416044907</c:v>
                </c:pt>
                <c:pt idx="75">
                  <c:v>709.04424111007302</c:v>
                </c:pt>
                <c:pt idx="76">
                  <c:v>682.63811513058772</c:v>
                </c:pt>
                <c:pt idx="77">
                  <c:v>696.21565844927864</c:v>
                </c:pt>
                <c:pt idx="78">
                  <c:v>709.78778066070856</c:v>
                </c:pt>
                <c:pt idx="79">
                  <c:v>723.35459996506006</c:v>
                </c:pt>
                <c:pt idx="80">
                  <c:v>736.91622977013833</c:v>
                </c:pt>
                <c:pt idx="81">
                  <c:v>1.5119369728679821E-12</c:v>
                </c:pt>
                <c:pt idx="82">
                  <c:v>1.5119369728679821E-12</c:v>
                </c:pt>
                <c:pt idx="83">
                  <c:v>1.5119369728679821E-12</c:v>
                </c:pt>
                <c:pt idx="84">
                  <c:v>1.5119369728679821E-12</c:v>
                </c:pt>
                <c:pt idx="85">
                  <c:v>1.5119369728679821E-12</c:v>
                </c:pt>
                <c:pt idx="86">
                  <c:v>1.5119369728679821E-12</c:v>
                </c:pt>
                <c:pt idx="87">
                  <c:v>1.5119369728679821E-12</c:v>
                </c:pt>
                <c:pt idx="88">
                  <c:v>1.5119369728679821E-12</c:v>
                </c:pt>
                <c:pt idx="89">
                  <c:v>1.5119369728679821E-12</c:v>
                </c:pt>
                <c:pt idx="90">
                  <c:v>1.5119369728679821E-12</c:v>
                </c:pt>
                <c:pt idx="91">
                  <c:v>1.5119369728679821E-12</c:v>
                </c:pt>
                <c:pt idx="92">
                  <c:v>1.5119369728679821E-12</c:v>
                </c:pt>
                <c:pt idx="93">
                  <c:v>1.5119369728679821E-12</c:v>
                </c:pt>
                <c:pt idx="94">
                  <c:v>1.5119369728679821E-12</c:v>
                </c:pt>
                <c:pt idx="95">
                  <c:v>1.5119369728679821E-12</c:v>
                </c:pt>
                <c:pt idx="96">
                  <c:v>1.5119369728679821E-12</c:v>
                </c:pt>
                <c:pt idx="97">
                  <c:v>1.5119369728679821E-12</c:v>
                </c:pt>
                <c:pt idx="98">
                  <c:v>1.5119369728679821E-12</c:v>
                </c:pt>
                <c:pt idx="99">
                  <c:v>1.5119369728679821E-12</c:v>
                </c:pt>
                <c:pt idx="100">
                  <c:v>1.5119369728679821E-12</c:v>
                </c:pt>
                <c:pt idx="101">
                  <c:v>1.5119369728679821E-12</c:v>
                </c:pt>
                <c:pt idx="102">
                  <c:v>1.5119369728679821E-12</c:v>
                </c:pt>
                <c:pt idx="103">
                  <c:v>1.5119369728679821E-12</c:v>
                </c:pt>
                <c:pt idx="104">
                  <c:v>1.5119369728679821E-12</c:v>
                </c:pt>
                <c:pt idx="105">
                  <c:v>1.5119369728679821E-12</c:v>
                </c:pt>
                <c:pt idx="106">
                  <c:v>1.5119369728679821E-12</c:v>
                </c:pt>
                <c:pt idx="107">
                  <c:v>1.5119369728679821E-12</c:v>
                </c:pt>
                <c:pt idx="108">
                  <c:v>1.5119369728679821E-12</c:v>
                </c:pt>
                <c:pt idx="109">
                  <c:v>1.5119369728679821E-12</c:v>
                </c:pt>
                <c:pt idx="110">
                  <c:v>1.5119369728679821E-12</c:v>
                </c:pt>
                <c:pt idx="111">
                  <c:v>1.5119369728679821E-12</c:v>
                </c:pt>
                <c:pt idx="112">
                  <c:v>1.5119369728679821E-12</c:v>
                </c:pt>
                <c:pt idx="113">
                  <c:v>1.5119369728679821E-12</c:v>
                </c:pt>
                <c:pt idx="114">
                  <c:v>1.5119369728679821E-12</c:v>
                </c:pt>
                <c:pt idx="115">
                  <c:v>1.5119369728679821E-12</c:v>
                </c:pt>
                <c:pt idx="116">
                  <c:v>1.5119369728679821E-12</c:v>
                </c:pt>
                <c:pt idx="117">
                  <c:v>1.5119369728679821E-12</c:v>
                </c:pt>
                <c:pt idx="118">
                  <c:v>1.5119369728679821E-12</c:v>
                </c:pt>
                <c:pt idx="119">
                  <c:v>1.5119369728679821E-12</c:v>
                </c:pt>
                <c:pt idx="120">
                  <c:v>1.5119369728679821E-12</c:v>
                </c:pt>
                <c:pt idx="121">
                  <c:v>1.5119369728679821E-12</c:v>
                </c:pt>
                <c:pt idx="122">
                  <c:v>1.5119369728679821E-12</c:v>
                </c:pt>
                <c:pt idx="123">
                  <c:v>1.5119369728679821E-12</c:v>
                </c:pt>
                <c:pt idx="124">
                  <c:v>1.5119369728679821E-12</c:v>
                </c:pt>
                <c:pt idx="125">
                  <c:v>1.5119369728679821E-12</c:v>
                </c:pt>
                <c:pt idx="126">
                  <c:v>1.5119369728679821E-12</c:v>
                </c:pt>
                <c:pt idx="127">
                  <c:v>1.5119369728679821E-12</c:v>
                </c:pt>
                <c:pt idx="128">
                  <c:v>1.5119369728679821E-12</c:v>
                </c:pt>
                <c:pt idx="129">
                  <c:v>1.5119369728679821E-12</c:v>
                </c:pt>
                <c:pt idx="130">
                  <c:v>1.5119369728679821E-12</c:v>
                </c:pt>
                <c:pt idx="131">
                  <c:v>1.5119369728679821E-12</c:v>
                </c:pt>
                <c:pt idx="132">
                  <c:v>1.5119369728679821E-12</c:v>
                </c:pt>
                <c:pt idx="133">
                  <c:v>1.5119369728679821E-12</c:v>
                </c:pt>
                <c:pt idx="134">
                  <c:v>1.5119369728679821E-12</c:v>
                </c:pt>
                <c:pt idx="135">
                  <c:v>1.5119369728679821E-12</c:v>
                </c:pt>
                <c:pt idx="136">
                  <c:v>1.5119369728679821E-12</c:v>
                </c:pt>
                <c:pt idx="137">
                  <c:v>1.5119369728679821E-12</c:v>
                </c:pt>
                <c:pt idx="138">
                  <c:v>1.5119369728679821E-12</c:v>
                </c:pt>
                <c:pt idx="139">
                  <c:v>1.5119369728679821E-12</c:v>
                </c:pt>
                <c:pt idx="140">
                  <c:v>1.5119369728679821E-12</c:v>
                </c:pt>
                <c:pt idx="141">
                  <c:v>1.5119369728679821E-12</c:v>
                </c:pt>
                <c:pt idx="142">
                  <c:v>1.5119369728679821E-12</c:v>
                </c:pt>
                <c:pt idx="143">
                  <c:v>1.5119369728679821E-12</c:v>
                </c:pt>
                <c:pt idx="144">
                  <c:v>1.5119369728679821E-12</c:v>
                </c:pt>
                <c:pt idx="145">
                  <c:v>1.5119369728679821E-12</c:v>
                </c:pt>
                <c:pt idx="146">
                  <c:v>1.5119369728679821E-12</c:v>
                </c:pt>
                <c:pt idx="147">
                  <c:v>1.5119369728679821E-12</c:v>
                </c:pt>
                <c:pt idx="148">
                  <c:v>1.5119369728679821E-12</c:v>
                </c:pt>
                <c:pt idx="149">
                  <c:v>1.5119369728679821E-12</c:v>
                </c:pt>
                <c:pt idx="150">
                  <c:v>1.5119369728679821E-12</c:v>
                </c:pt>
                <c:pt idx="151">
                  <c:v>1.5119369728679821E-12</c:v>
                </c:pt>
                <c:pt idx="152">
                  <c:v>1.5119369728679821E-12</c:v>
                </c:pt>
                <c:pt idx="153">
                  <c:v>1.5119369728679821E-12</c:v>
                </c:pt>
                <c:pt idx="154">
                  <c:v>1.5119369728679821E-12</c:v>
                </c:pt>
                <c:pt idx="155">
                  <c:v>1.5119369728679821E-12</c:v>
                </c:pt>
                <c:pt idx="156">
                  <c:v>1.5119369728679821E-12</c:v>
                </c:pt>
                <c:pt idx="157">
                  <c:v>1.5119369728679821E-12</c:v>
                </c:pt>
                <c:pt idx="158">
                  <c:v>1.5119369728679821E-12</c:v>
                </c:pt>
                <c:pt idx="159">
                  <c:v>1.5119369728679821E-12</c:v>
                </c:pt>
                <c:pt idx="160">
                  <c:v>1.5119369728679821E-12</c:v>
                </c:pt>
                <c:pt idx="161">
                  <c:v>1.5119369728679821E-12</c:v>
                </c:pt>
                <c:pt idx="162">
                  <c:v>1.5119369728679821E-12</c:v>
                </c:pt>
                <c:pt idx="163">
                  <c:v>1.5119369728679821E-12</c:v>
                </c:pt>
                <c:pt idx="164">
                  <c:v>1.5119369728679821E-12</c:v>
                </c:pt>
                <c:pt idx="165">
                  <c:v>1.5119369728679821E-12</c:v>
                </c:pt>
                <c:pt idx="166">
                  <c:v>1.5119369728679821E-12</c:v>
                </c:pt>
                <c:pt idx="167">
                  <c:v>1.5119369728679821E-12</c:v>
                </c:pt>
                <c:pt idx="168">
                  <c:v>1.5119369728679821E-12</c:v>
                </c:pt>
                <c:pt idx="169">
                  <c:v>1.5119369728679821E-12</c:v>
                </c:pt>
                <c:pt idx="170">
                  <c:v>1.5119369728679821E-12</c:v>
                </c:pt>
                <c:pt idx="171">
                  <c:v>1.5119369728679821E-12</c:v>
                </c:pt>
                <c:pt idx="172">
                  <c:v>1.5119369728679821E-12</c:v>
                </c:pt>
                <c:pt idx="173">
                  <c:v>1.5119369728679821E-12</c:v>
                </c:pt>
                <c:pt idx="174">
                  <c:v>1.5119369728679821E-12</c:v>
                </c:pt>
                <c:pt idx="175">
                  <c:v>1.5119369728679821E-12</c:v>
                </c:pt>
                <c:pt idx="176">
                  <c:v>1.5119369728679821E-12</c:v>
                </c:pt>
                <c:pt idx="177">
                  <c:v>1.5119369728679821E-12</c:v>
                </c:pt>
                <c:pt idx="178">
                  <c:v>1.5119369728679821E-12</c:v>
                </c:pt>
                <c:pt idx="179">
                  <c:v>1.5119369728679821E-12</c:v>
                </c:pt>
                <c:pt idx="180">
                  <c:v>1.5119369728679821E-12</c:v>
                </c:pt>
                <c:pt idx="181">
                  <c:v>1.5119369728679821E-12</c:v>
                </c:pt>
                <c:pt idx="182">
                  <c:v>1.5119369728679821E-12</c:v>
                </c:pt>
                <c:pt idx="183">
                  <c:v>1.5119369728679821E-12</c:v>
                </c:pt>
                <c:pt idx="184">
                  <c:v>1.5119369728679821E-12</c:v>
                </c:pt>
                <c:pt idx="185">
                  <c:v>1.5119369728679821E-12</c:v>
                </c:pt>
                <c:pt idx="186">
                  <c:v>1.5119369728679821E-12</c:v>
                </c:pt>
                <c:pt idx="187">
                  <c:v>1.5119369728679821E-12</c:v>
                </c:pt>
                <c:pt idx="188">
                  <c:v>1.5119369728679821E-12</c:v>
                </c:pt>
                <c:pt idx="189">
                  <c:v>1.5119369728679821E-12</c:v>
                </c:pt>
                <c:pt idx="190">
                  <c:v>1.5119369728679821E-12</c:v>
                </c:pt>
                <c:pt idx="191">
                  <c:v>1.5119369728679821E-12</c:v>
                </c:pt>
                <c:pt idx="192">
                  <c:v>1.5119369728679821E-12</c:v>
                </c:pt>
                <c:pt idx="193">
                  <c:v>1.5119369728679821E-12</c:v>
                </c:pt>
                <c:pt idx="194">
                  <c:v>1.5119369728679821E-12</c:v>
                </c:pt>
                <c:pt idx="195">
                  <c:v>1.5119369728679821E-12</c:v>
                </c:pt>
                <c:pt idx="196">
                  <c:v>1.5119369728679821E-12</c:v>
                </c:pt>
                <c:pt idx="197">
                  <c:v>1.5119369728679821E-12</c:v>
                </c:pt>
                <c:pt idx="198">
                  <c:v>1.5119369728679821E-12</c:v>
                </c:pt>
                <c:pt idx="199">
                  <c:v>1.5119369728679821E-12</c:v>
                </c:pt>
                <c:pt idx="200">
                  <c:v>1.5119369728679821E-12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9.2921937322638239</c:v>
                </c:pt>
                <c:pt idx="2">
                  <c:v>18.177089899913412</c:v>
                </c:pt>
                <c:pt idx="3">
                  <c:v>26.930449399251376</c:v>
                </c:pt>
                <c:pt idx="4">
                  <c:v>35.602726635721403</c:v>
                </c:pt>
                <c:pt idx="5">
                  <c:v>44.216789199875343</c:v>
                </c:pt>
                <c:pt idx="6">
                  <c:v>52.785681720112542</c:v>
                </c:pt>
                <c:pt idx="7">
                  <c:v>61.317813563984139</c:v>
                </c:pt>
                <c:pt idx="8">
                  <c:v>69.819042187991144</c:v>
                </c:pt>
                <c:pt idx="9">
                  <c:v>78.293672897174659</c:v>
                </c:pt>
                <c:pt idx="10">
                  <c:v>86.744998135170761</c:v>
                </c:pt>
                <c:pt idx="11">
                  <c:v>95.175613751905487</c:v>
                </c:pt>
                <c:pt idx="12">
                  <c:v>103.58761655378898</c:v>
                </c:pt>
                <c:pt idx="13">
                  <c:v>111.98273395137143</c:v>
                </c:pt>
                <c:pt idx="14">
                  <c:v>120.36241250311315</c:v>
                </c:pt>
                <c:pt idx="15">
                  <c:v>128.7278804064338</c:v>
                </c:pt>
                <c:pt idx="16">
                  <c:v>137.08019283445722</c:v>
                </c:pt>
                <c:pt idx="17">
                  <c:v>145.42026560884469</c:v>
                </c:pt>
                <c:pt idx="18">
                  <c:v>153.74890072101104</c:v>
                </c:pt>
                <c:pt idx="19">
                  <c:v>162.06680601936617</c:v>
                </c:pt>
                <c:pt idx="20">
                  <c:v>170.37461063363551</c:v>
                </c:pt>
                <c:pt idx="21">
                  <c:v>178.67287722665</c:v>
                </c:pt>
                <c:pt idx="22">
                  <c:v>186.96211184634055</c:v>
                </c:pt>
                <c:pt idx="23">
                  <c:v>195.24277193582597</c:v>
                </c:pt>
                <c:pt idx="24">
                  <c:v>203.51527291113393</c:v>
                </c:pt>
                <c:pt idx="25">
                  <c:v>211.77999361174412</c:v>
                </c:pt>
                <c:pt idx="26">
                  <c:v>220.03728085449575</c:v>
                </c:pt>
                <c:pt idx="27">
                  <c:v>228.28745326718865</c:v>
                </c:pt>
                <c:pt idx="28">
                  <c:v>236.53080453827673</c:v>
                </c:pt>
                <c:pt idx="29">
                  <c:v>244.76760618927483</c:v>
                </c:pt>
                <c:pt idx="30">
                  <c:v>252.99810995402035</c:v>
                </c:pt>
                <c:pt idx="31">
                  <c:v>261.22254983178902</c:v>
                </c:pt>
                <c:pt idx="32">
                  <c:v>269.44114386805046</c:v>
                </c:pt>
                <c:pt idx="33">
                  <c:v>277.65409570637627</c:v>
                </c:pt>
                <c:pt idx="34">
                  <c:v>285.86159594695238</c:v>
                </c:pt>
                <c:pt idx="35">
                  <c:v>294.06382334077597</c:v>
                </c:pt>
                <c:pt idx="36">
                  <c:v>302.26094584353649</c:v>
                </c:pt>
                <c:pt idx="37">
                  <c:v>310.45312154910624</c:v>
                </c:pt>
                <c:pt idx="38">
                  <c:v>318.64049951927569</c:v>
                </c:pt>
                <c:pt idx="39">
                  <c:v>326.82322052369108</c:v>
                </c:pt>
                <c:pt idx="40">
                  <c:v>335.00141770176555</c:v>
                </c:pt>
                <c:pt idx="41">
                  <c:v>343.17521715653567</c:v>
                </c:pt>
                <c:pt idx="42">
                  <c:v>351.34473848895027</c:v>
                </c:pt>
                <c:pt idx="43">
                  <c:v>359.5100952798403</c:v>
                </c:pt>
                <c:pt idx="44">
                  <c:v>367.6713955257913</c:v>
                </c:pt>
                <c:pt idx="45">
                  <c:v>375.82874203427474</c:v>
                </c:pt>
                <c:pt idx="46">
                  <c:v>383.98223278266511</c:v>
                </c:pt>
                <c:pt idx="47">
                  <c:v>392.13196124515889</c:v>
                </c:pt>
                <c:pt idx="48">
                  <c:v>400.27801669108413</c:v>
                </c:pt>
                <c:pt idx="49">
                  <c:v>408.42048445765022</c:v>
                </c:pt>
                <c:pt idx="50">
                  <c:v>416.55944619980323</c:v>
                </c:pt>
                <c:pt idx="51">
                  <c:v>424.69498011952811</c:v>
                </c:pt>
                <c:pt idx="52">
                  <c:v>432.82716117665836</c:v>
                </c:pt>
                <c:pt idx="53">
                  <c:v>440.95606128301159</c:v>
                </c:pt>
                <c:pt idx="54">
                  <c:v>449.08174948145785</c:v>
                </c:pt>
                <c:pt idx="55">
                  <c:v>457.20429211135001</c:v>
                </c:pt>
                <c:pt idx="56">
                  <c:v>465.32375296158119</c:v>
                </c:pt>
                <c:pt idx="57">
                  <c:v>473.44019341240033</c:v>
                </c:pt>
                <c:pt idx="58">
                  <c:v>481.55367256699475</c:v>
                </c:pt>
                <c:pt idx="59">
                  <c:v>489.66424737373995</c:v>
                </c:pt>
                <c:pt idx="60">
                  <c:v>497.77197273992761</c:v>
                </c:pt>
                <c:pt idx="61">
                  <c:v>337.99381912917073</c:v>
                </c:pt>
                <c:pt idx="62">
                  <c:v>354.75361283544322</c:v>
                </c:pt>
                <c:pt idx="63">
                  <c:v>371.4960677901409</c:v>
                </c:pt>
                <c:pt idx="64">
                  <c:v>388.22207520036437</c:v>
                </c:pt>
                <c:pt idx="65">
                  <c:v>404.93244323061884</c:v>
                </c:pt>
                <c:pt idx="66">
                  <c:v>421.6279079194253</c:v>
                </c:pt>
                <c:pt idx="67">
                  <c:v>438.30914227662203</c:v>
                </c:pt>
                <c:pt idx="68">
                  <c:v>454.97676392363013</c:v>
                </c:pt>
                <c:pt idx="69">
                  <c:v>471.63134155593411</c:v>
                </c:pt>
                <c:pt idx="70">
                  <c:v>385.77341475380621</c:v>
                </c:pt>
                <c:pt idx="71">
                  <c:v>402.12352873367144</c:v>
                </c:pt>
                <c:pt idx="72">
                  <c:v>418.45926535082413</c:v>
                </c:pt>
                <c:pt idx="73">
                  <c:v>434.78126470985643</c:v>
                </c:pt>
                <c:pt idx="74">
                  <c:v>451.09011494954387</c:v>
                </c:pt>
                <c:pt idx="75">
                  <c:v>467.38635822676127</c:v>
                </c:pt>
                <c:pt idx="76">
                  <c:v>483.67049582249541</c:v>
                </c:pt>
                <c:pt idx="77">
                  <c:v>499.94299252456011</c:v>
                </c:pt>
                <c:pt idx="78">
                  <c:v>434.22346793695078</c:v>
                </c:pt>
                <c:pt idx="79">
                  <c:v>450.53443732842976</c:v>
                </c:pt>
                <c:pt idx="80">
                  <c:v>466.83277937674598</c:v>
                </c:pt>
                <c:pt idx="81">
                  <c:v>483.11899683366778</c:v>
                </c:pt>
                <c:pt idx="82">
                  <c:v>499.39355580421892</c:v>
                </c:pt>
                <c:pt idx="83">
                  <c:v>515.65688954981795</c:v>
                </c:pt>
                <c:pt idx="84">
                  <c:v>531.90940178680432</c:v>
                </c:pt>
                <c:pt idx="85">
                  <c:v>548.15146956098692</c:v>
                </c:pt>
                <c:pt idx="86">
                  <c:v>564.38344576390512</c:v>
                </c:pt>
                <c:pt idx="87">
                  <c:v>490.22008003438185</c:v>
                </c:pt>
                <c:pt idx="88">
                  <c:v>506.52720231700965</c:v>
                </c:pt>
                <c:pt idx="89">
                  <c:v>522.82322886599707</c:v>
                </c:pt>
                <c:pt idx="90">
                  <c:v>539.10855405682867</c:v>
                </c:pt>
                <c:pt idx="91">
                  <c:v>555.38354650797817</c:v>
                </c:pt>
                <c:pt idx="92">
                  <c:v>571.64855148415324</c:v>
                </c:pt>
                <c:pt idx="93">
                  <c:v>587.90389301192556</c:v>
                </c:pt>
                <c:pt idx="94">
                  <c:v>604.14987574932786</c:v>
                </c:pt>
                <c:pt idx="95">
                  <c:v>620.38678664400345</c:v>
                </c:pt>
                <c:pt idx="96">
                  <c:v>535.20146005564482</c:v>
                </c:pt>
                <c:pt idx="97">
                  <c:v>551.5216935459855</c:v>
                </c:pt>
                <c:pt idx="98">
                  <c:v>567.83180658091271</c:v>
                </c:pt>
                <c:pt idx="99">
                  <c:v>584.13213062540228</c:v>
                </c:pt>
                <c:pt idx="100">
                  <c:v>600.42297714807262</c:v>
                </c:pt>
                <c:pt idx="101">
                  <c:v>616.70463934847601</c:v>
                </c:pt>
                <c:pt idx="102">
                  <c:v>632.97739369260296</c:v>
                </c:pt>
                <c:pt idx="103">
                  <c:v>649.24150128237454</c:v>
                </c:pt>
                <c:pt idx="104">
                  <c:v>665.49720908086226</c:v>
                </c:pt>
                <c:pt idx="105">
                  <c:v>587.42577263819874</c:v>
                </c:pt>
                <c:pt idx="106">
                  <c:v>603.96300828048697</c:v>
                </c:pt>
                <c:pt idx="107">
                  <c:v>620.49084073562256</c:v>
                </c:pt>
                <c:pt idx="108">
                  <c:v>637.00955557694726</c:v>
                </c:pt>
                <c:pt idx="109">
                  <c:v>653.51942237008052</c:v>
                </c:pt>
                <c:pt idx="110">
                  <c:v>670.02069596024683</c:v>
                </c:pt>
                <c:pt idx="111">
                  <c:v>686.51361762628574</c:v>
                </c:pt>
                <c:pt idx="112">
                  <c:v>702.99841611808426</c:v>
                </c:pt>
                <c:pt idx="113">
                  <c:v>719.47530859171786</c:v>
                </c:pt>
                <c:pt idx="114">
                  <c:v>636.44956471430385</c:v>
                </c:pt>
                <c:pt idx="115">
                  <c:v>653.24757170569728</c:v>
                </c:pt>
                <c:pt idx="116">
                  <c:v>670.0366788968978</c:v>
                </c:pt>
                <c:pt idx="117">
                  <c:v>686.81714052237476</c:v>
                </c:pt>
                <c:pt idx="118">
                  <c:v>703.58919739092244</c:v>
                </c:pt>
                <c:pt idx="119">
                  <c:v>720.35307790432523</c:v>
                </c:pt>
                <c:pt idx="120">
                  <c:v>737.10899897634272</c:v>
                </c:pt>
                <c:pt idx="121">
                  <c:v>753.85716686386866</c:v>
                </c:pt>
                <c:pt idx="122">
                  <c:v>770.5977779204519</c:v>
                </c:pt>
                <c:pt idx="123">
                  <c:v>677.92250701858995</c:v>
                </c:pt>
                <c:pt idx="124">
                  <c:v>694.96703714366186</c:v>
                </c:pt>
                <c:pt idx="125">
                  <c:v>712.00300777439281</c:v>
                </c:pt>
                <c:pt idx="126">
                  <c:v>729.03065237867622</c:v>
                </c:pt>
                <c:pt idx="127">
                  <c:v>746.05019263912936</c:v>
                </c:pt>
                <c:pt idx="128">
                  <c:v>763.06183930876557</c:v>
                </c:pt>
                <c:pt idx="129">
                  <c:v>780.06579298646784</c:v>
                </c:pt>
                <c:pt idx="130">
                  <c:v>797.06224482139839</c:v>
                </c:pt>
                <c:pt idx="131">
                  <c:v>814.05137715426144</c:v>
                </c:pt>
                <c:pt idx="132">
                  <c:v>831.03336410230793</c:v>
                </c:pt>
                <c:pt idx="133">
                  <c:v>732.17890267223913</c:v>
                </c:pt>
                <c:pt idx="134">
                  <c:v>749.73396149321979</c:v>
                </c:pt>
                <c:pt idx="135">
                  <c:v>767.28066763444167</c:v>
                </c:pt>
                <c:pt idx="136">
                  <c:v>784.81923882471767</c:v>
                </c:pt>
                <c:pt idx="137">
                  <c:v>802.34988227819213</c:v>
                </c:pt>
                <c:pt idx="138">
                  <c:v>819.87279542542262</c:v>
                </c:pt>
                <c:pt idx="139">
                  <c:v>837.38816657878067</c:v>
                </c:pt>
                <c:pt idx="140">
                  <c:v>854.89617553934602</c:v>
                </c:pt>
                <c:pt idx="141">
                  <c:v>872.39699415155883</c:v>
                </c:pt>
                <c:pt idx="142">
                  <c:v>889.89078681110277</c:v>
                </c:pt>
                <c:pt idx="143">
                  <c:v>907.37771093082313</c:v>
                </c:pt>
                <c:pt idx="144">
                  <c:v>924.85791736890758</c:v>
                </c:pt>
                <c:pt idx="145">
                  <c:v>797.409042492558</c:v>
                </c:pt>
                <c:pt idx="146">
                  <c:v>815.36791546575341</c:v>
                </c:pt>
                <c:pt idx="147">
                  <c:v>833.31881835529202</c:v>
                </c:pt>
                <c:pt idx="148">
                  <c:v>851.26194683884012</c:v>
                </c:pt>
                <c:pt idx="149">
                  <c:v>869.19748768192801</c:v>
                </c:pt>
                <c:pt idx="150">
                  <c:v>887.12561932309336</c:v>
                </c:pt>
                <c:pt idx="151">
                  <c:v>905.04651240931889</c:v>
                </c:pt>
                <c:pt idx="152">
                  <c:v>922.96033028691181</c:v>
                </c:pt>
                <c:pt idx="153">
                  <c:v>940.86722945233839</c:v>
                </c:pt>
                <c:pt idx="154">
                  <c:v>958.76735996699881</c:v>
                </c:pt>
                <c:pt idx="155">
                  <c:v>976.66086583945616</c:v>
                </c:pt>
                <c:pt idx="156">
                  <c:v>994.54788537823799</c:v>
                </c:pt>
                <c:pt idx="157">
                  <c:v>856.37124988532958</c:v>
                </c:pt>
                <c:pt idx="158">
                  <c:v>874.68419914242725</c:v>
                </c:pt>
                <c:pt idx="159">
                  <c:v>892.98947746092699</c:v>
                </c:pt>
                <c:pt idx="160">
                  <c:v>911.28726404279223</c:v>
                </c:pt>
                <c:pt idx="161">
                  <c:v>929.57773031589704</c:v>
                </c:pt>
                <c:pt idx="162">
                  <c:v>947.86104042068712</c:v>
                </c:pt>
                <c:pt idx="163">
                  <c:v>966.13735165739001</c:v>
                </c:pt>
                <c:pt idx="164">
                  <c:v>984.40681489767428</c:v>
                </c:pt>
                <c:pt idx="165">
                  <c:v>1002.6695749642014</c:v>
                </c:pt>
                <c:pt idx="166">
                  <c:v>1020.9257709811267</c:v>
                </c:pt>
                <c:pt idx="167">
                  <c:v>1039.1755366982613</c:v>
                </c:pt>
                <c:pt idx="168">
                  <c:v>1057.4190007913146</c:v>
                </c:pt>
                <c:pt idx="169">
                  <c:v>905.91427234119362</c:v>
                </c:pt>
                <c:pt idx="170">
                  <c:v>924.23069005295258</c:v>
                </c:pt>
                <c:pt idx="171">
                  <c:v>942.53988555489889</c:v>
                </c:pt>
                <c:pt idx="172">
                  <c:v>960.84201872187566</c:v>
                </c:pt>
                <c:pt idx="173">
                  <c:v>979.13724284962302</c:v>
                </c:pt>
                <c:pt idx="174">
                  <c:v>997.42570504586217</c:v>
                </c:pt>
                <c:pt idx="175">
                  <c:v>1015.7075465912441</c:v>
                </c:pt>
                <c:pt idx="176">
                  <c:v>1033.9829032730006</c:v>
                </c:pt>
                <c:pt idx="177">
                  <c:v>1052.2519056938124</c:v>
                </c:pt>
                <c:pt idx="178">
                  <c:v>1070.5146795581438</c:v>
                </c:pt>
                <c:pt idx="179">
                  <c:v>1088.7713459380532</c:v>
                </c:pt>
                <c:pt idx="180">
                  <c:v>1107.0220215202758</c:v>
                </c:pt>
                <c:pt idx="181">
                  <c:v>699.95320311844034</c:v>
                </c:pt>
                <c:pt idx="182">
                  <c:v>711.44270042631854</c:v>
                </c:pt>
                <c:pt idx="183">
                  <c:v>722.92840698891132</c:v>
                </c:pt>
                <c:pt idx="184">
                  <c:v>734.41039149114465</c:v>
                </c:pt>
                <c:pt idx="185">
                  <c:v>498.74292576727026</c:v>
                </c:pt>
                <c:pt idx="186">
                  <c:v>506.17753727481869</c:v>
                </c:pt>
                <c:pt idx="187">
                  <c:v>513.60984023935839</c:v>
                </c:pt>
                <c:pt idx="188">
                  <c:v>521.03987279064233</c:v>
                </c:pt>
                <c:pt idx="189">
                  <c:v>351.17297949147724</c:v>
                </c:pt>
                <c:pt idx="190">
                  <c:v>355.96857950935151</c:v>
                </c:pt>
                <c:pt idx="191">
                  <c:v>360.76276478117251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21" sqref="E2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11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0.25</v>
      </c>
      <c r="D9" s="33">
        <f t="shared" ref="D9:D18" si="0">C9*$C$5</f>
        <v>2.75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164</v>
      </c>
      <c r="C10" s="32">
        <v>0.17</v>
      </c>
      <c r="D10" s="33">
        <f t="shared" si="0"/>
        <v>1.87</v>
      </c>
      <c r="E10" s="34">
        <v>131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14</v>
      </c>
      <c r="C11" s="32">
        <v>0.27</v>
      </c>
      <c r="D11" s="33">
        <f t="shared" si="0"/>
        <v>2.97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9</v>
      </c>
      <c r="C12" s="32">
        <v>0.14000000000000001</v>
      </c>
      <c r="D12" s="33">
        <f t="shared" si="0"/>
        <v>1.54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21</v>
      </c>
      <c r="C13" s="32">
        <v>0.05</v>
      </c>
      <c r="D13" s="33">
        <f t="shared" si="0"/>
        <v>0.55000000000000004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18</v>
      </c>
      <c r="C14" s="32">
        <v>0.02</v>
      </c>
      <c r="D14" s="33">
        <f t="shared" si="0"/>
        <v>0.22</v>
      </c>
      <c r="E14" s="34">
        <v>70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156</v>
      </c>
      <c r="C15" s="32">
        <v>0.01</v>
      </c>
      <c r="D15" s="33">
        <f t="shared" si="0"/>
        <v>0.11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 t="s">
        <v>16</v>
      </c>
      <c r="C16" s="32">
        <v>0.09</v>
      </c>
      <c r="D16" s="33">
        <f t="shared" si="0"/>
        <v>0.99</v>
      </c>
      <c r="E16" s="34">
        <v>191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1.0000000000000002</v>
      </c>
      <c r="D19" s="38">
        <f>SUM(D9:D18)</f>
        <v>11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C31" s="23" t="s">
        <v>325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17</v>
      </c>
      <c r="B36" s="60">
        <v>123.63</v>
      </c>
      <c r="C36" s="60">
        <v>1</v>
      </c>
      <c r="D36" s="60">
        <v>41.179999999999993</v>
      </c>
      <c r="E36" s="51">
        <v>0</v>
      </c>
      <c r="F36" s="51">
        <v>0.5</v>
      </c>
      <c r="G36" s="51">
        <v>0.5</v>
      </c>
      <c r="H36" s="51">
        <v>0</v>
      </c>
      <c r="I36" s="49">
        <f>IFERROR(B36/A36,"")</f>
        <v>7.2723529411764707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23</v>
      </c>
      <c r="B37" s="60">
        <v>189.21</v>
      </c>
      <c r="C37" s="60">
        <v>2</v>
      </c>
      <c r="D37" s="60">
        <v>58.370000000000005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17.793333333333333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29</v>
      </c>
      <c r="B38" s="60">
        <v>242.91</v>
      </c>
      <c r="C38" s="60">
        <v>3</v>
      </c>
      <c r="D38" s="60">
        <v>54.97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18.678333333333331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312.57</v>
      </c>
      <c r="C39" s="60">
        <v>4</v>
      </c>
      <c r="D39" s="60">
        <v>76.509999999999991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17.804285714285715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44</v>
      </c>
      <c r="B40" s="60">
        <v>368.73</v>
      </c>
      <c r="C40" s="60">
        <v>5</v>
      </c>
      <c r="D40" s="60">
        <v>78.240000000000009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16.583750000000002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52</v>
      </c>
      <c r="B41" s="60">
        <v>408.01</v>
      </c>
      <c r="C41" s="60">
        <v>6</v>
      </c>
      <c r="D41" s="60">
        <v>75.70999999999998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14.689999999999998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60</v>
      </c>
      <c r="B42" s="60">
        <v>437.74</v>
      </c>
      <c r="C42" s="60">
        <v>7</v>
      </c>
      <c r="D42" s="60">
        <v>437.74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13.18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C57" s="23" t="s">
        <v>324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51</v>
      </c>
      <c r="B62" s="60">
        <v>396.35</v>
      </c>
      <c r="C62" s="60">
        <v>1</v>
      </c>
      <c r="D62" s="60">
        <v>173.97000000000003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7.7715686274509812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61</v>
      </c>
      <c r="B63" s="60">
        <v>352.37</v>
      </c>
      <c r="C63" s="60">
        <v>2</v>
      </c>
      <c r="D63" s="60">
        <v>101.36000000000001</v>
      </c>
      <c r="E63" s="51">
        <v>0.6</v>
      </c>
      <c r="F63" s="51">
        <v>0.2</v>
      </c>
      <c r="G63" s="51">
        <v>0.2</v>
      </c>
      <c r="H63" s="51">
        <v>0</v>
      </c>
      <c r="I63" s="49">
        <f>IF(A63&lt;&gt;0,(B63-(B62-D62))/(A63-A62),"")</f>
        <v>12.999000000000001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73</v>
      </c>
      <c r="B64" s="60">
        <v>394.98</v>
      </c>
      <c r="C64" s="60">
        <v>3</v>
      </c>
      <c r="D64" s="60">
        <v>103.23000000000002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11.997500000000002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85</v>
      </c>
      <c r="B65" s="60">
        <v>425.16</v>
      </c>
      <c r="C65" s="60">
        <v>4</v>
      </c>
      <c r="D65" s="60">
        <v>95.720000000000027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11.117500000000001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97</v>
      </c>
      <c r="B66" s="60">
        <v>451.75</v>
      </c>
      <c r="C66" s="60">
        <v>5</v>
      </c>
      <c r="D66" s="60">
        <v>90.589999999999975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10.192500000000001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109</v>
      </c>
      <c r="B67" s="60">
        <v>471.36</v>
      </c>
      <c r="C67" s="60">
        <v>6</v>
      </c>
      <c r="D67" s="60">
        <v>92.199999999999989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9.1833333333333318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121</v>
      </c>
      <c r="B68" s="60">
        <v>477.92</v>
      </c>
      <c r="C68" s="60">
        <v>7</v>
      </c>
      <c r="D68" s="60">
        <v>236.89000000000001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8.2299999999999986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131</v>
      </c>
      <c r="B69" s="50">
        <v>298.36</v>
      </c>
      <c r="C69" s="50">
        <v>8</v>
      </c>
      <c r="D69" s="50">
        <v>298.36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5.7330000000000014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 sessile</v>
      </c>
      <c r="C84" s="23" t="s">
        <v>324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42</v>
      </c>
      <c r="B88" s="60">
        <v>171.96</v>
      </c>
      <c r="C88" s="60">
        <v>1</v>
      </c>
      <c r="D88" s="60">
        <v>44.510000000000005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4.0942857142857143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50</v>
      </c>
      <c r="B89" s="60">
        <v>208.33</v>
      </c>
      <c r="C89" s="60">
        <v>2</v>
      </c>
      <c r="D89" s="60">
        <v>37.54000000000002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10.110000000000001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58</v>
      </c>
      <c r="B90" s="60">
        <v>253.7</v>
      </c>
      <c r="C90" s="60">
        <v>3</v>
      </c>
      <c r="D90" s="60">
        <v>47.789999999999992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10.36375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66</v>
      </c>
      <c r="B91" s="60">
        <v>286.77</v>
      </c>
      <c r="C91" s="60">
        <v>4</v>
      </c>
      <c r="D91" s="60">
        <v>53.679999999999978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10.107499999999998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74</v>
      </c>
      <c r="B92" s="60">
        <v>310.95999999999998</v>
      </c>
      <c r="C92" s="60">
        <v>5</v>
      </c>
      <c r="D92" s="60">
        <v>51.339999999999975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9.733749999999997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84</v>
      </c>
      <c r="B93" s="60">
        <v>355.09</v>
      </c>
      <c r="C93" s="60">
        <v>6</v>
      </c>
      <c r="D93" s="60">
        <v>66.69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9.546999999999997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94</v>
      </c>
      <c r="B94" s="60">
        <v>380.13</v>
      </c>
      <c r="C94" s="60">
        <v>7</v>
      </c>
      <c r="D94" s="60">
        <v>67.350000000000023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9.1730000000000018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104</v>
      </c>
      <c r="B95" s="60">
        <v>402.2</v>
      </c>
      <c r="C95" s="60">
        <v>8</v>
      </c>
      <c r="D95" s="60">
        <v>66.089999999999975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8.9420000000000019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114</v>
      </c>
      <c r="B96" s="60">
        <v>424.56</v>
      </c>
      <c r="C96" s="60">
        <v>9</v>
      </c>
      <c r="D96" s="60">
        <v>61.860000000000014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8.8449999999999989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124</v>
      </c>
      <c r="B97" s="60">
        <v>451.86</v>
      </c>
      <c r="C97" s="60">
        <v>10</v>
      </c>
      <c r="D97" s="60">
        <v>57.81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8.9160000000000021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134</v>
      </c>
      <c r="B98" s="60">
        <v>484.28</v>
      </c>
      <c r="C98" s="60">
        <v>11</v>
      </c>
      <c r="D98" s="60">
        <v>60.779999999999973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9.0229999999999961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144</v>
      </c>
      <c r="B99" s="60">
        <v>514.94000000000005</v>
      </c>
      <c r="C99" s="60">
        <v>12</v>
      </c>
      <c r="D99" s="60">
        <v>61.800000000000068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9.1440000000000055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154</v>
      </c>
      <c r="B100" s="60">
        <v>546.49</v>
      </c>
      <c r="C100" s="60">
        <v>13</v>
      </c>
      <c r="D100" s="60">
        <v>61.050000000000011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9.3350000000000026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164</v>
      </c>
      <c r="B101" s="60">
        <v>580.32000000000005</v>
      </c>
      <c r="C101" s="60">
        <v>14</v>
      </c>
      <c r="D101" s="60">
        <v>66.020000000000095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9.4880000000000049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174</v>
      </c>
      <c r="B102" s="50">
        <v>610.52</v>
      </c>
      <c r="C102" s="60">
        <v>15</v>
      </c>
      <c r="D102" s="50">
        <v>240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9.6220000000000034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177</v>
      </c>
      <c r="B103" s="50">
        <v>388.94</v>
      </c>
      <c r="C103" s="60">
        <v>16</v>
      </c>
      <c r="D103" s="50">
        <v>128.66000000000003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6.140000000000005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180</v>
      </c>
      <c r="B104" s="50">
        <v>271.56</v>
      </c>
      <c r="C104" s="60">
        <v>17</v>
      </c>
      <c r="D104" s="50">
        <v>86.97</v>
      </c>
      <c r="E104" s="54">
        <v>0.45</v>
      </c>
      <c r="F104" s="54">
        <v>0.05</v>
      </c>
      <c r="G104" s="54">
        <v>0.05</v>
      </c>
      <c r="H104" s="54">
        <v>0.45</v>
      </c>
      <c r="I104" s="53">
        <f t="shared" si="3"/>
        <v>3.76000000000001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183</v>
      </c>
      <c r="B105" s="50">
        <v>191.47</v>
      </c>
      <c r="C105" s="50">
        <v>18</v>
      </c>
      <c r="D105" s="50">
        <v>191.47</v>
      </c>
      <c r="E105" s="54">
        <v>0.45</v>
      </c>
      <c r="F105" s="54">
        <v>0.05</v>
      </c>
      <c r="G105" s="54">
        <v>0.05</v>
      </c>
      <c r="H105" s="54">
        <v>0.45</v>
      </c>
      <c r="I105" s="53">
        <f t="shared" si="3"/>
        <v>2.2933333333333317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Chêne chevelu</v>
      </c>
      <c r="C110" s="23" t="s">
        <v>326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10</v>
      </c>
      <c r="B114" s="60">
        <v>14.743589743589743</v>
      </c>
      <c r="C114" s="50">
        <v>0</v>
      </c>
      <c r="D114" s="60">
        <v>0</v>
      </c>
      <c r="E114" s="51">
        <v>0</v>
      </c>
      <c r="F114" s="51">
        <v>0.5</v>
      </c>
      <c r="G114" s="51">
        <v>0</v>
      </c>
      <c r="H114" s="51">
        <v>0.5</v>
      </c>
      <c r="I114" s="53">
        <f>IFERROR(B114/A114,"")</f>
        <v>1.4743589743589742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15</v>
      </c>
      <c r="B115" s="60">
        <v>38.46153846153846</v>
      </c>
      <c r="C115" s="50">
        <v>0</v>
      </c>
      <c r="D115" s="60">
        <v>0</v>
      </c>
      <c r="E115" s="51">
        <v>0</v>
      </c>
      <c r="F115" s="51">
        <v>0.5</v>
      </c>
      <c r="G115" s="51">
        <v>0</v>
      </c>
      <c r="H115" s="51">
        <v>0.5</v>
      </c>
      <c r="I115" s="53">
        <f t="shared" ref="I115:I133" si="4">IF(A115&lt;&gt;0,(B115-(B114-D114))/(A115-A114),"")</f>
        <v>4.7435897435897427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20</v>
      </c>
      <c r="B116" s="60">
        <v>69.230769230769226</v>
      </c>
      <c r="C116" s="50">
        <v>1</v>
      </c>
      <c r="D116" s="60">
        <v>26.282051282051281</v>
      </c>
      <c r="E116" s="51">
        <v>0</v>
      </c>
      <c r="F116" s="51">
        <v>0.5</v>
      </c>
      <c r="G116" s="51">
        <v>0</v>
      </c>
      <c r="H116" s="51">
        <v>0.5</v>
      </c>
      <c r="I116" s="53">
        <f t="shared" si="4"/>
        <v>6.1538461538461533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25</v>
      </c>
      <c r="B117" s="60">
        <v>72.435897435897431</v>
      </c>
      <c r="C117" s="50">
        <v>2</v>
      </c>
      <c r="D117" s="60">
        <v>14.743589743589743</v>
      </c>
      <c r="E117" s="51">
        <v>0</v>
      </c>
      <c r="F117" s="51">
        <v>0.5</v>
      </c>
      <c r="G117" s="51">
        <v>0</v>
      </c>
      <c r="H117" s="51">
        <v>0.5</v>
      </c>
      <c r="I117" s="53">
        <f t="shared" si="4"/>
        <v>5.8974358974358978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30</v>
      </c>
      <c r="B118" s="60">
        <v>86.538461538461533</v>
      </c>
      <c r="C118" s="50">
        <v>3</v>
      </c>
      <c r="D118" s="60">
        <v>15.384615384615383</v>
      </c>
      <c r="E118" s="51">
        <v>0</v>
      </c>
      <c r="F118" s="51">
        <v>0.5</v>
      </c>
      <c r="G118" s="51">
        <v>0</v>
      </c>
      <c r="H118" s="51">
        <v>0.5</v>
      </c>
      <c r="I118" s="53">
        <f t="shared" si="4"/>
        <v>5.7692307692307692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35</v>
      </c>
      <c r="B119" s="60">
        <v>98.07692307692308</v>
      </c>
      <c r="C119" s="50">
        <v>4</v>
      </c>
      <c r="D119" s="60">
        <v>15.384615384615383</v>
      </c>
      <c r="E119" s="51">
        <v>0</v>
      </c>
      <c r="F119" s="51">
        <v>0.5</v>
      </c>
      <c r="G119" s="51">
        <v>0</v>
      </c>
      <c r="H119" s="51">
        <v>0.5</v>
      </c>
      <c r="I119" s="53">
        <f t="shared" si="4"/>
        <v>5.3846153846153868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40</v>
      </c>
      <c r="B120" s="60">
        <v>107.69230769230768</v>
      </c>
      <c r="C120" s="60">
        <v>5</v>
      </c>
      <c r="D120" s="60">
        <v>14.743589743589743</v>
      </c>
      <c r="E120" s="87">
        <v>0</v>
      </c>
      <c r="F120" s="87">
        <v>0.5</v>
      </c>
      <c r="G120" s="87">
        <v>0</v>
      </c>
      <c r="H120" s="87">
        <v>0.5</v>
      </c>
      <c r="I120" s="53">
        <f t="shared" si="4"/>
        <v>4.9999999999999973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45</v>
      </c>
      <c r="B121" s="60">
        <v>115.38461538461539</v>
      </c>
      <c r="C121" s="60">
        <v>6</v>
      </c>
      <c r="D121" s="60">
        <v>14.102564102564102</v>
      </c>
      <c r="E121" s="87">
        <v>0</v>
      </c>
      <c r="F121" s="87">
        <v>0.5</v>
      </c>
      <c r="G121" s="87">
        <v>0</v>
      </c>
      <c r="H121" s="87">
        <v>0.5</v>
      </c>
      <c r="I121" s="53">
        <f t="shared" si="4"/>
        <v>4.487179487179489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50</v>
      </c>
      <c r="B122" s="60">
        <v>122.43589743589743</v>
      </c>
      <c r="C122" s="60">
        <v>7</v>
      </c>
      <c r="D122" s="60">
        <v>13.461538461538462</v>
      </c>
      <c r="E122" s="87">
        <v>0</v>
      </c>
      <c r="F122" s="87">
        <v>0.5</v>
      </c>
      <c r="G122" s="87">
        <v>0</v>
      </c>
      <c r="H122" s="87">
        <v>0.5</v>
      </c>
      <c r="I122" s="53">
        <f t="shared" si="4"/>
        <v>4.2307692307692291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55</v>
      </c>
      <c r="B123" s="60">
        <v>128.84615384615384</v>
      </c>
      <c r="C123" s="60">
        <v>8</v>
      </c>
      <c r="D123" s="60">
        <v>12.820512820512819</v>
      </c>
      <c r="E123" s="87">
        <v>0.1</v>
      </c>
      <c r="F123" s="87">
        <v>0.5</v>
      </c>
      <c r="G123" s="87">
        <v>0</v>
      </c>
      <c r="H123" s="87">
        <v>0.4</v>
      </c>
      <c r="I123" s="53">
        <f t="shared" si="4"/>
        <v>3.9743589743589753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60</v>
      </c>
      <c r="B124" s="60">
        <v>132.69230769230768</v>
      </c>
      <c r="C124" s="60">
        <v>9</v>
      </c>
      <c r="D124" s="60">
        <v>11.538461538461538</v>
      </c>
      <c r="E124" s="87">
        <v>0.1</v>
      </c>
      <c r="F124" s="87">
        <v>0.5</v>
      </c>
      <c r="G124" s="87">
        <v>0</v>
      </c>
      <c r="H124" s="87">
        <v>0.4</v>
      </c>
      <c r="I124" s="53">
        <f t="shared" si="4"/>
        <v>3.3333333333333313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65</v>
      </c>
      <c r="B125" s="60">
        <v>137.17948717948718</v>
      </c>
      <c r="C125" s="60">
        <v>10</v>
      </c>
      <c r="D125" s="60">
        <v>10.897435897435898</v>
      </c>
      <c r="E125" s="87">
        <v>0.1</v>
      </c>
      <c r="F125" s="87">
        <v>0.5</v>
      </c>
      <c r="G125" s="87">
        <v>0</v>
      </c>
      <c r="H125" s="87">
        <v>0.4</v>
      </c>
      <c r="I125" s="53">
        <f t="shared" si="4"/>
        <v>3.2051282051282071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70</v>
      </c>
      <c r="B126" s="60">
        <v>141.02564102564102</v>
      </c>
      <c r="C126" s="60">
        <v>11</v>
      </c>
      <c r="D126" s="60">
        <v>10.256410256410255</v>
      </c>
      <c r="E126" s="65">
        <v>0.1</v>
      </c>
      <c r="F126" s="65">
        <v>0.5</v>
      </c>
      <c r="G126" s="65">
        <v>0</v>
      </c>
      <c r="H126" s="65">
        <v>0.4</v>
      </c>
      <c r="I126" s="53">
        <f t="shared" si="4"/>
        <v>2.9487179487179476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75</v>
      </c>
      <c r="B127" s="60">
        <v>142.94871794871796</v>
      </c>
      <c r="C127" s="60">
        <v>12</v>
      </c>
      <c r="D127" s="60">
        <v>8.9743589743589745</v>
      </c>
      <c r="E127" s="65">
        <v>0.1</v>
      </c>
      <c r="F127" s="65">
        <v>0.5</v>
      </c>
      <c r="G127" s="65">
        <v>0</v>
      </c>
      <c r="H127" s="65">
        <v>0.4</v>
      </c>
      <c r="I127" s="53">
        <f t="shared" si="4"/>
        <v>2.4358974358974366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80</v>
      </c>
      <c r="B128" s="50">
        <v>145.51282051282053</v>
      </c>
      <c r="C128" s="50">
        <v>13</v>
      </c>
      <c r="D128" s="50">
        <v>8.3333333333333339</v>
      </c>
      <c r="E128" s="54">
        <v>0.1</v>
      </c>
      <c r="F128" s="54">
        <v>0.5</v>
      </c>
      <c r="G128" s="54">
        <v>0</v>
      </c>
      <c r="H128" s="54">
        <v>0.4</v>
      </c>
      <c r="I128" s="53">
        <f t="shared" si="4"/>
        <v>2.3076923076923093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85</v>
      </c>
      <c r="B129" s="50">
        <v>147.43589743589743</v>
      </c>
      <c r="C129" s="50">
        <v>14</v>
      </c>
      <c r="D129" s="50">
        <v>7.6923076923076916</v>
      </c>
      <c r="E129" s="54">
        <v>0.1</v>
      </c>
      <c r="F129" s="54">
        <v>0.5</v>
      </c>
      <c r="G129" s="54">
        <v>0</v>
      </c>
      <c r="H129" s="54">
        <v>0.4</v>
      </c>
      <c r="I129" s="53">
        <f t="shared" si="4"/>
        <v>2.0512820512820498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90</v>
      </c>
      <c r="B130" s="50">
        <v>149.35897435897434</v>
      </c>
      <c r="C130" s="50">
        <v>15</v>
      </c>
      <c r="D130" s="50">
        <v>7.0512820512820511</v>
      </c>
      <c r="E130" s="54">
        <v>0.1</v>
      </c>
      <c r="F130" s="54">
        <v>0.5</v>
      </c>
      <c r="G130" s="54">
        <v>0</v>
      </c>
      <c r="H130" s="54">
        <v>0.4</v>
      </c>
      <c r="I130" s="53">
        <f t="shared" si="4"/>
        <v>1.9230769230769169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>
        <v>95</v>
      </c>
      <c r="B131" s="50">
        <v>151.28205128205127</v>
      </c>
      <c r="C131" s="50">
        <v>16</v>
      </c>
      <c r="D131" s="50">
        <v>7.0512820512820511</v>
      </c>
      <c r="E131" s="54">
        <v>0.1</v>
      </c>
      <c r="F131" s="54">
        <v>0.5</v>
      </c>
      <c r="G131" s="54">
        <v>0</v>
      </c>
      <c r="H131" s="54">
        <v>0.4</v>
      </c>
      <c r="I131" s="53">
        <f t="shared" si="4"/>
        <v>1.7948717948717956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>
        <v>100</v>
      </c>
      <c r="B132" s="50">
        <v>153.84615384615384</v>
      </c>
      <c r="C132" s="50">
        <v>17</v>
      </c>
      <c r="D132" s="50">
        <v>153.84615384615384</v>
      </c>
      <c r="E132" s="54">
        <v>0.2</v>
      </c>
      <c r="F132" s="54">
        <v>0.4</v>
      </c>
      <c r="G132" s="54">
        <v>0</v>
      </c>
      <c r="H132" s="54">
        <v>0.4</v>
      </c>
      <c r="I132" s="53">
        <f t="shared" si="4"/>
        <v>1.9230769230769227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C135" s="23" t="s">
        <v>327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Erable champêtre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15</v>
      </c>
      <c r="B140" s="60">
        <v>65</v>
      </c>
      <c r="C140" s="50">
        <v>1</v>
      </c>
      <c r="D140" s="60">
        <v>32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4.333333333333333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20</v>
      </c>
      <c r="B141" s="60">
        <v>102</v>
      </c>
      <c r="C141" s="50">
        <v>2</v>
      </c>
      <c r="D141" s="60">
        <v>35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13.8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25</v>
      </c>
      <c r="B142" s="60">
        <v>141</v>
      </c>
      <c r="C142" s="50">
        <v>3</v>
      </c>
      <c r="D142" s="60">
        <v>35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14.8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30</v>
      </c>
      <c r="B143" s="60">
        <v>177</v>
      </c>
      <c r="C143" s="50">
        <v>4</v>
      </c>
      <c r="D143" s="60">
        <v>35</v>
      </c>
      <c r="E143" s="51">
        <v>0.25</v>
      </c>
      <c r="F143" s="51">
        <v>0.25</v>
      </c>
      <c r="G143" s="51">
        <v>0.25</v>
      </c>
      <c r="H143" s="51">
        <v>0.25</v>
      </c>
      <c r="I143" s="57">
        <f t="shared" si="5"/>
        <v>14.2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35</v>
      </c>
      <c r="B144" s="60">
        <v>206</v>
      </c>
      <c r="C144" s="50">
        <v>5</v>
      </c>
      <c r="D144" s="60">
        <v>35</v>
      </c>
      <c r="E144" s="51">
        <v>0.25</v>
      </c>
      <c r="F144" s="51">
        <v>0.25</v>
      </c>
      <c r="G144" s="51">
        <v>0.25</v>
      </c>
      <c r="H144" s="51">
        <v>0.25</v>
      </c>
      <c r="I144" s="57">
        <f t="shared" si="5"/>
        <v>12.8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40</v>
      </c>
      <c r="B145" s="60">
        <v>228</v>
      </c>
      <c r="C145" s="50">
        <v>6</v>
      </c>
      <c r="D145" s="60">
        <v>35</v>
      </c>
      <c r="E145" s="51">
        <v>0.25</v>
      </c>
      <c r="F145" s="51">
        <v>0.25</v>
      </c>
      <c r="G145" s="51">
        <v>0.25</v>
      </c>
      <c r="H145" s="51">
        <v>0.25</v>
      </c>
      <c r="I145" s="57">
        <f t="shared" si="5"/>
        <v>11.4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45</v>
      </c>
      <c r="B146" s="60">
        <v>242</v>
      </c>
      <c r="C146" s="50">
        <v>7</v>
      </c>
      <c r="D146" s="60">
        <v>24</v>
      </c>
      <c r="E146" s="51">
        <v>0.25</v>
      </c>
      <c r="F146" s="51">
        <v>0.25</v>
      </c>
      <c r="G146" s="51">
        <v>0.25</v>
      </c>
      <c r="H146" s="51">
        <v>0.25</v>
      </c>
      <c r="I146" s="57">
        <f t="shared" si="5"/>
        <v>9.8000000000000007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50</v>
      </c>
      <c r="B147" s="60">
        <v>261</v>
      </c>
      <c r="C147" s="50">
        <v>8</v>
      </c>
      <c r="D147" s="60">
        <v>19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8.6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55</v>
      </c>
      <c r="B148" s="60">
        <v>279</v>
      </c>
      <c r="C148" s="50">
        <v>9</v>
      </c>
      <c r="D148" s="60">
        <v>16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7.4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60</v>
      </c>
      <c r="B149" s="60">
        <v>294</v>
      </c>
      <c r="C149" s="50">
        <v>10</v>
      </c>
      <c r="D149" s="60">
        <v>14</v>
      </c>
      <c r="E149" s="51">
        <v>0.25</v>
      </c>
      <c r="F149" s="51">
        <v>0.25</v>
      </c>
      <c r="G149" s="51">
        <v>0.25</v>
      </c>
      <c r="H149" s="51">
        <v>0.25</v>
      </c>
      <c r="I149" s="57">
        <f t="shared" si="5"/>
        <v>6.2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65</v>
      </c>
      <c r="B150" s="60">
        <v>306</v>
      </c>
      <c r="C150" s="50">
        <v>11</v>
      </c>
      <c r="D150" s="60">
        <v>13</v>
      </c>
      <c r="E150" s="51">
        <v>0.25</v>
      </c>
      <c r="F150" s="51">
        <v>0.25</v>
      </c>
      <c r="G150" s="51">
        <v>0.25</v>
      </c>
      <c r="H150" s="51">
        <v>0.25</v>
      </c>
      <c r="I150" s="57">
        <f t="shared" si="5"/>
        <v>5.2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70</v>
      </c>
      <c r="B151" s="60">
        <v>316</v>
      </c>
      <c r="C151" s="50">
        <v>12</v>
      </c>
      <c r="D151" s="60">
        <v>13</v>
      </c>
      <c r="E151" s="51">
        <v>0.25</v>
      </c>
      <c r="F151" s="51">
        <v>0.25</v>
      </c>
      <c r="G151" s="51">
        <v>0.25</v>
      </c>
      <c r="H151" s="51">
        <v>0.25</v>
      </c>
      <c r="I151" s="57">
        <f t="shared" si="5"/>
        <v>4.5999999999999996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75</v>
      </c>
      <c r="B152" s="60">
        <v>324</v>
      </c>
      <c r="C152" s="50">
        <v>13</v>
      </c>
      <c r="D152" s="60">
        <v>12</v>
      </c>
      <c r="E152" s="54">
        <v>0.25</v>
      </c>
      <c r="F152" s="54">
        <v>0.25</v>
      </c>
      <c r="G152" s="54">
        <v>0.25</v>
      </c>
      <c r="H152" s="54">
        <v>0.25</v>
      </c>
      <c r="I152" s="57">
        <f t="shared" si="5"/>
        <v>4.2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80</v>
      </c>
      <c r="B153" s="60">
        <v>330</v>
      </c>
      <c r="C153" s="50">
        <v>14</v>
      </c>
      <c r="D153" s="60">
        <v>330</v>
      </c>
      <c r="E153" s="54">
        <v>0.25</v>
      </c>
      <c r="F153" s="54">
        <v>0.25</v>
      </c>
      <c r="G153" s="54">
        <v>0.25</v>
      </c>
      <c r="H153" s="54">
        <v>0.25</v>
      </c>
      <c r="I153" s="57">
        <f t="shared" si="5"/>
        <v>3.6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C161" s="23" t="s">
        <v>326</v>
      </c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Douglas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21</v>
      </c>
      <c r="B166" s="60">
        <v>195.31</v>
      </c>
      <c r="C166" s="60">
        <v>1</v>
      </c>
      <c r="D166" s="60">
        <v>64.599999999999994</v>
      </c>
      <c r="E166" s="51">
        <v>0.25</v>
      </c>
      <c r="F166" s="51">
        <v>0.37</v>
      </c>
      <c r="G166" s="51">
        <v>0.38</v>
      </c>
      <c r="H166" s="51">
        <v>0</v>
      </c>
      <c r="I166" s="49">
        <f>IFERROR(B166/A166,"")</f>
        <v>9.300476190476191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28</v>
      </c>
      <c r="B167" s="60">
        <v>282.01</v>
      </c>
      <c r="C167" s="60">
        <v>2</v>
      </c>
      <c r="D167" s="60">
        <v>67.639999999999986</v>
      </c>
      <c r="E167" s="51">
        <v>0.25</v>
      </c>
      <c r="F167" s="51">
        <v>0.37</v>
      </c>
      <c r="G167" s="51">
        <v>0.38</v>
      </c>
      <c r="H167" s="51">
        <v>0</v>
      </c>
      <c r="I167" s="49">
        <f t="shared" ref="I167:I185" si="6">IF(A167&lt;&gt;0,(B167-(B166-D166))/(A167-A166),"")</f>
        <v>21.61428571428571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35</v>
      </c>
      <c r="B168" s="60">
        <v>377.23</v>
      </c>
      <c r="C168" s="60">
        <v>3</v>
      </c>
      <c r="D168" s="60">
        <v>86.700000000000045</v>
      </c>
      <c r="E168" s="51">
        <v>0.6</v>
      </c>
      <c r="F168" s="51">
        <v>0.2</v>
      </c>
      <c r="G168" s="51">
        <v>0.2</v>
      </c>
      <c r="H168" s="51">
        <v>0</v>
      </c>
      <c r="I168" s="49">
        <f t="shared" si="6"/>
        <v>23.265714285714289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42</v>
      </c>
      <c r="B169" s="60">
        <v>450.49</v>
      </c>
      <c r="C169" s="60">
        <v>4</v>
      </c>
      <c r="D169" s="60">
        <v>100.04000000000002</v>
      </c>
      <c r="E169" s="51">
        <v>0.6</v>
      </c>
      <c r="F169" s="51">
        <v>0.2</v>
      </c>
      <c r="G169" s="51">
        <v>0.2</v>
      </c>
      <c r="H169" s="51">
        <v>0</v>
      </c>
      <c r="I169" s="49">
        <f t="shared" si="6"/>
        <v>22.851428571428578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49</v>
      </c>
      <c r="B170" s="60">
        <v>504.24</v>
      </c>
      <c r="C170" s="60">
        <v>5</v>
      </c>
      <c r="D170" s="60">
        <v>112.69999999999999</v>
      </c>
      <c r="E170" s="51">
        <v>0.6</v>
      </c>
      <c r="F170" s="51">
        <v>0.2</v>
      </c>
      <c r="G170" s="51">
        <v>0.2</v>
      </c>
      <c r="H170" s="51">
        <v>0</v>
      </c>
      <c r="I170" s="49">
        <f t="shared" si="6"/>
        <v>21.970000000000002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56</v>
      </c>
      <c r="B171" s="60">
        <v>534.03</v>
      </c>
      <c r="C171" s="60">
        <v>6</v>
      </c>
      <c r="D171" s="60">
        <v>94.669999999999959</v>
      </c>
      <c r="E171" s="51">
        <v>0.6</v>
      </c>
      <c r="F171" s="51">
        <v>0.2</v>
      </c>
      <c r="G171" s="51">
        <v>0.2</v>
      </c>
      <c r="H171" s="51">
        <v>0</v>
      </c>
      <c r="I171" s="49">
        <f t="shared" si="6"/>
        <v>20.355714285714278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63</v>
      </c>
      <c r="B172" s="60">
        <v>569.67999999999995</v>
      </c>
      <c r="C172" s="60">
        <v>7</v>
      </c>
      <c r="D172" s="60">
        <v>99.599999999999966</v>
      </c>
      <c r="E172" s="51">
        <v>0.6</v>
      </c>
      <c r="F172" s="51">
        <v>0.2</v>
      </c>
      <c r="G172" s="51">
        <v>0.2</v>
      </c>
      <c r="H172" s="51">
        <v>0</v>
      </c>
      <c r="I172" s="49">
        <f t="shared" si="6"/>
        <v>18.617142857142849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70</v>
      </c>
      <c r="B173" s="50">
        <v>586.86</v>
      </c>
      <c r="C173" s="50">
        <v>8</v>
      </c>
      <c r="D173" s="50">
        <v>586.86</v>
      </c>
      <c r="E173" s="51">
        <v>0.6</v>
      </c>
      <c r="F173" s="51">
        <v>0.2</v>
      </c>
      <c r="G173" s="51">
        <v>0.2</v>
      </c>
      <c r="H173" s="51">
        <v>0</v>
      </c>
      <c r="I173" s="49">
        <f t="shared" si="6"/>
        <v>16.682857142857149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Séquoia toujours vert</v>
      </c>
      <c r="C188" s="23" t="s">
        <v>328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20</v>
      </c>
      <c r="B192" s="60">
        <v>134</v>
      </c>
      <c r="C192" s="60">
        <v>1</v>
      </c>
      <c r="D192" s="60">
        <v>5</v>
      </c>
      <c r="E192" s="51">
        <v>0.25</v>
      </c>
      <c r="F192" s="51">
        <v>0.37</v>
      </c>
      <c r="G192" s="51">
        <v>0.38</v>
      </c>
      <c r="H192" s="51">
        <v>0</v>
      </c>
      <c r="I192" s="49">
        <f>IFERROR(B192/A192,"")</f>
        <v>6.7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25</v>
      </c>
      <c r="B193" s="60">
        <v>243</v>
      </c>
      <c r="C193" s="60">
        <v>2</v>
      </c>
      <c r="D193" s="60">
        <v>63</v>
      </c>
      <c r="E193" s="51">
        <v>0.25</v>
      </c>
      <c r="F193" s="51">
        <v>0.37</v>
      </c>
      <c r="G193" s="51">
        <v>0.38</v>
      </c>
      <c r="H193" s="51">
        <v>0</v>
      </c>
      <c r="I193" s="49">
        <f t="shared" ref="I193:I211" si="7">IF(A193&lt;&gt;0,(B193-(B192-D192))/(A193-A192),"")</f>
        <v>22.8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30</v>
      </c>
      <c r="B194" s="60">
        <v>308</v>
      </c>
      <c r="C194" s="60">
        <v>3</v>
      </c>
      <c r="D194" s="60">
        <v>63</v>
      </c>
      <c r="E194" s="51">
        <v>0.25</v>
      </c>
      <c r="F194" s="51">
        <v>0.37</v>
      </c>
      <c r="G194" s="51">
        <v>0.38</v>
      </c>
      <c r="H194" s="51">
        <v>0</v>
      </c>
      <c r="I194" s="49">
        <f t="shared" si="7"/>
        <v>25.6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35</v>
      </c>
      <c r="B195" s="60">
        <v>376</v>
      </c>
      <c r="C195" s="60">
        <v>4</v>
      </c>
      <c r="D195" s="60">
        <v>63</v>
      </c>
      <c r="E195" s="51">
        <v>0.25</v>
      </c>
      <c r="F195" s="51">
        <v>0.37</v>
      </c>
      <c r="G195" s="51">
        <v>0.38</v>
      </c>
      <c r="H195" s="51">
        <v>0</v>
      </c>
      <c r="I195" s="49">
        <f t="shared" si="7"/>
        <v>26.2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40</v>
      </c>
      <c r="B196" s="60">
        <v>440</v>
      </c>
      <c r="C196" s="60">
        <v>5</v>
      </c>
      <c r="D196" s="60">
        <v>63</v>
      </c>
      <c r="E196" s="51">
        <v>0.25</v>
      </c>
      <c r="F196" s="51">
        <v>0.37</v>
      </c>
      <c r="G196" s="51">
        <v>0.38</v>
      </c>
      <c r="H196" s="51">
        <v>0</v>
      </c>
      <c r="I196" s="49">
        <f t="shared" si="7"/>
        <v>25.4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45</v>
      </c>
      <c r="B197" s="60">
        <v>498</v>
      </c>
      <c r="C197" s="60">
        <v>6</v>
      </c>
      <c r="D197" s="60">
        <v>63</v>
      </c>
      <c r="E197" s="51">
        <v>0.6</v>
      </c>
      <c r="F197" s="51">
        <v>0.2</v>
      </c>
      <c r="G197" s="51">
        <v>0.2</v>
      </c>
      <c r="H197" s="51">
        <v>0</v>
      </c>
      <c r="I197" s="49">
        <f t="shared" si="7"/>
        <v>24.2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50</v>
      </c>
      <c r="B198" s="60">
        <v>549</v>
      </c>
      <c r="C198" s="60">
        <v>7</v>
      </c>
      <c r="D198" s="60">
        <v>63</v>
      </c>
      <c r="E198" s="51">
        <v>0.6</v>
      </c>
      <c r="F198" s="51">
        <v>0.2</v>
      </c>
      <c r="G198" s="51">
        <v>0.2</v>
      </c>
      <c r="H198" s="51">
        <v>0</v>
      </c>
      <c r="I198" s="49">
        <f t="shared" si="7"/>
        <v>22.8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55</v>
      </c>
      <c r="B199" s="50">
        <v>594</v>
      </c>
      <c r="C199" s="50">
        <v>8</v>
      </c>
      <c r="D199" s="50">
        <v>60</v>
      </c>
      <c r="E199" s="51">
        <v>0.6</v>
      </c>
      <c r="F199" s="51">
        <v>0.2</v>
      </c>
      <c r="G199" s="51">
        <v>0.2</v>
      </c>
      <c r="H199" s="51">
        <v>0</v>
      </c>
      <c r="I199" s="49">
        <f t="shared" si="7"/>
        <v>21.6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60</v>
      </c>
      <c r="B200" s="50">
        <v>634</v>
      </c>
      <c r="C200" s="50">
        <v>9</v>
      </c>
      <c r="D200" s="50">
        <v>53</v>
      </c>
      <c r="E200" s="51">
        <v>0.6</v>
      </c>
      <c r="F200" s="51">
        <v>0.2</v>
      </c>
      <c r="G200" s="51">
        <v>0.2</v>
      </c>
      <c r="H200" s="51">
        <v>0</v>
      </c>
      <c r="I200" s="49">
        <f t="shared" si="7"/>
        <v>20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>
        <v>65</v>
      </c>
      <c r="B201" s="50">
        <v>674</v>
      </c>
      <c r="C201" s="50">
        <v>10</v>
      </c>
      <c r="D201" s="50">
        <v>48</v>
      </c>
      <c r="E201" s="51">
        <v>0.6</v>
      </c>
      <c r="F201" s="51">
        <v>0.2</v>
      </c>
      <c r="G201" s="51">
        <v>0.2</v>
      </c>
      <c r="H201" s="51">
        <v>0</v>
      </c>
      <c r="I201" s="49">
        <f t="shared" si="7"/>
        <v>18.600000000000001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>
        <v>70</v>
      </c>
      <c r="B202" s="50">
        <v>712</v>
      </c>
      <c r="C202" s="50">
        <v>11</v>
      </c>
      <c r="D202" s="50">
        <v>45</v>
      </c>
      <c r="E202" s="51">
        <v>0.6</v>
      </c>
      <c r="F202" s="51">
        <v>0.2</v>
      </c>
      <c r="G202" s="51">
        <v>0.2</v>
      </c>
      <c r="H202" s="51">
        <v>0</v>
      </c>
      <c r="I202" s="49">
        <f t="shared" si="7"/>
        <v>17.2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>
        <v>75</v>
      </c>
      <c r="B203" s="50">
        <v>746</v>
      </c>
      <c r="C203" s="50">
        <v>12</v>
      </c>
      <c r="D203" s="50">
        <v>43</v>
      </c>
      <c r="E203" s="51">
        <v>0.6</v>
      </c>
      <c r="F203" s="51">
        <v>0.2</v>
      </c>
      <c r="G203" s="51">
        <v>0.2</v>
      </c>
      <c r="H203" s="51">
        <v>0</v>
      </c>
      <c r="I203" s="49">
        <f t="shared" si="7"/>
        <v>15.8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80</v>
      </c>
      <c r="B204" s="50">
        <v>776</v>
      </c>
      <c r="C204" s="50">
        <v>13</v>
      </c>
      <c r="D204" s="50">
        <v>776</v>
      </c>
      <c r="E204" s="51">
        <v>0.6</v>
      </c>
      <c r="F204" s="51">
        <v>0.2</v>
      </c>
      <c r="G204" s="51">
        <v>0.2</v>
      </c>
      <c r="H204" s="51">
        <v>0</v>
      </c>
      <c r="I204" s="49">
        <f t="shared" si="7"/>
        <v>14.6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>Chêne vert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>
        <v>60</v>
      </c>
      <c r="B218" s="60">
        <v>201.62</v>
      </c>
      <c r="C218" s="50">
        <v>1</v>
      </c>
      <c r="D218" s="60">
        <v>72.87</v>
      </c>
      <c r="E218" s="63">
        <v>0</v>
      </c>
      <c r="F218" s="63">
        <v>0.8</v>
      </c>
      <c r="G218" s="63">
        <v>0.2</v>
      </c>
      <c r="H218" s="63">
        <v>0</v>
      </c>
      <c r="I218" s="53">
        <f>IFERROR(B218/A218,"")</f>
        <v>3.3603333333333336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>
        <v>69</v>
      </c>
      <c r="B219" s="60">
        <v>190.79</v>
      </c>
      <c r="C219" s="50">
        <v>2</v>
      </c>
      <c r="D219" s="60">
        <v>42.22</v>
      </c>
      <c r="E219" s="63">
        <v>0</v>
      </c>
      <c r="F219" s="63">
        <v>0.8</v>
      </c>
      <c r="G219" s="63">
        <v>0.2</v>
      </c>
      <c r="H219" s="63">
        <v>0</v>
      </c>
      <c r="I219" s="53">
        <f t="shared" ref="I219:I237" si="8">IF(A219&lt;&gt;0,(B219-(B218-D218))/(A219-A218),"")</f>
        <v>6.8933333333333326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>
        <v>77</v>
      </c>
      <c r="B220" s="60">
        <v>202.52</v>
      </c>
      <c r="C220" s="50">
        <v>3</v>
      </c>
      <c r="D220" s="60">
        <v>33.950000000000017</v>
      </c>
      <c r="E220" s="63">
        <v>0</v>
      </c>
      <c r="F220" s="63">
        <v>0.8</v>
      </c>
      <c r="G220" s="63">
        <v>0.2</v>
      </c>
      <c r="H220" s="63">
        <v>0</v>
      </c>
      <c r="I220" s="53">
        <f t="shared" si="8"/>
        <v>6.7437500000000021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>
        <v>86</v>
      </c>
      <c r="B221" s="55">
        <v>229.27</v>
      </c>
      <c r="C221" s="55">
        <v>4</v>
      </c>
      <c r="D221" s="55">
        <v>37.54000000000002</v>
      </c>
      <c r="E221" s="63">
        <v>0.35</v>
      </c>
      <c r="F221" s="63">
        <v>0.2</v>
      </c>
      <c r="G221" s="63">
        <v>0.1</v>
      </c>
      <c r="H221" s="63">
        <v>0.35</v>
      </c>
      <c r="I221" s="53">
        <f t="shared" si="8"/>
        <v>6.7444444444444462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>
        <v>95</v>
      </c>
      <c r="B222" s="55">
        <v>252.57</v>
      </c>
      <c r="C222" s="55">
        <v>5</v>
      </c>
      <c r="D222" s="55">
        <v>42.199999999999989</v>
      </c>
      <c r="E222" s="63">
        <v>0.35</v>
      </c>
      <c r="F222" s="63">
        <v>0.2</v>
      </c>
      <c r="G222" s="63">
        <v>0.1</v>
      </c>
      <c r="H222" s="63">
        <v>0.35</v>
      </c>
      <c r="I222" s="53">
        <f t="shared" si="8"/>
        <v>6.7600000000000007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>
        <v>104</v>
      </c>
      <c r="B223" s="55">
        <v>271.37</v>
      </c>
      <c r="C223" s="55">
        <v>6</v>
      </c>
      <c r="D223" s="55">
        <v>39.400000000000006</v>
      </c>
      <c r="E223" s="63">
        <v>0.35</v>
      </c>
      <c r="F223" s="63">
        <v>0.2</v>
      </c>
      <c r="G223" s="63">
        <v>0.1</v>
      </c>
      <c r="H223" s="63">
        <v>0.35</v>
      </c>
      <c r="I223" s="53">
        <f t="shared" si="8"/>
        <v>6.7777777777777777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>
        <v>113</v>
      </c>
      <c r="B224" s="55">
        <v>293.89999999999998</v>
      </c>
      <c r="C224" s="55">
        <v>7</v>
      </c>
      <c r="D224" s="55">
        <v>41.639999999999986</v>
      </c>
      <c r="E224" s="63">
        <v>0.35</v>
      </c>
      <c r="F224" s="63">
        <v>0.2</v>
      </c>
      <c r="G224" s="63">
        <v>0.1</v>
      </c>
      <c r="H224" s="63">
        <v>0.35</v>
      </c>
      <c r="I224" s="53">
        <f t="shared" si="8"/>
        <v>6.8811111111111085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>
        <v>122</v>
      </c>
      <c r="B225" s="55">
        <v>315.27</v>
      </c>
      <c r="C225" s="55">
        <v>8</v>
      </c>
      <c r="D225" s="55">
        <v>45.829999999999984</v>
      </c>
      <c r="E225" s="63">
        <v>0.35</v>
      </c>
      <c r="F225" s="63">
        <v>0.2</v>
      </c>
      <c r="G225" s="63">
        <v>0.1</v>
      </c>
      <c r="H225" s="63">
        <v>0.35</v>
      </c>
      <c r="I225" s="53">
        <f t="shared" si="8"/>
        <v>7.0011111111111104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>
        <v>132</v>
      </c>
      <c r="B226" s="55">
        <v>340.57</v>
      </c>
      <c r="C226" s="55">
        <v>9</v>
      </c>
      <c r="D226" s="55">
        <v>48.699999999999989</v>
      </c>
      <c r="E226" s="63">
        <v>0.35</v>
      </c>
      <c r="F226" s="63">
        <v>0.2</v>
      </c>
      <c r="G226" s="63">
        <v>0.1</v>
      </c>
      <c r="H226" s="63">
        <v>0.35</v>
      </c>
      <c r="I226" s="53">
        <f t="shared" si="8"/>
        <v>7.1129999999999995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>
        <v>144</v>
      </c>
      <c r="B227" s="55">
        <v>379.92</v>
      </c>
      <c r="C227" s="55">
        <v>10</v>
      </c>
      <c r="D227" s="55">
        <v>60.949999999999989</v>
      </c>
      <c r="E227" s="63">
        <v>0.35</v>
      </c>
      <c r="F227" s="63">
        <v>0.2</v>
      </c>
      <c r="G227" s="63">
        <v>0.1</v>
      </c>
      <c r="H227" s="63">
        <v>0.35</v>
      </c>
      <c r="I227" s="53">
        <f t="shared" si="8"/>
        <v>7.3375000000000012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>
        <v>156</v>
      </c>
      <c r="B228" s="55">
        <v>409.2</v>
      </c>
      <c r="C228" s="55">
        <v>11</v>
      </c>
      <c r="D228" s="55">
        <v>65.69</v>
      </c>
      <c r="E228" s="63">
        <v>0.5</v>
      </c>
      <c r="F228" s="63">
        <v>0.2</v>
      </c>
      <c r="G228" s="63">
        <v>0</v>
      </c>
      <c r="H228" s="63">
        <v>0.3</v>
      </c>
      <c r="I228" s="53">
        <f t="shared" si="8"/>
        <v>7.5191666666666634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>
        <v>168</v>
      </c>
      <c r="B229" s="55">
        <v>435.65</v>
      </c>
      <c r="C229" s="55">
        <v>12</v>
      </c>
      <c r="D229" s="55">
        <v>71.37</v>
      </c>
      <c r="E229" s="63">
        <v>0.5</v>
      </c>
      <c r="F229" s="63">
        <v>0.2</v>
      </c>
      <c r="G229" s="63">
        <v>0</v>
      </c>
      <c r="H229" s="63">
        <v>0.3</v>
      </c>
      <c r="I229" s="53">
        <f t="shared" si="8"/>
        <v>7.6783333333333319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>
        <v>180</v>
      </c>
      <c r="B230" s="55">
        <v>456.54</v>
      </c>
      <c r="C230" s="55">
        <v>13</v>
      </c>
      <c r="D230" s="55">
        <v>175.59000000000003</v>
      </c>
      <c r="E230" s="64">
        <v>0.5</v>
      </c>
      <c r="F230" s="64">
        <v>0.2</v>
      </c>
      <c r="G230" s="64">
        <v>0</v>
      </c>
      <c r="H230" s="64">
        <v>0.3</v>
      </c>
      <c r="I230" s="53">
        <f t="shared" si="8"/>
        <v>7.688333333333337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>
        <v>184</v>
      </c>
      <c r="B231" s="60">
        <v>300.14</v>
      </c>
      <c r="C231" s="88">
        <v>14</v>
      </c>
      <c r="D231" s="60">
        <v>101.19999999999999</v>
      </c>
      <c r="E231" s="54">
        <v>0.5</v>
      </c>
      <c r="F231" s="54">
        <v>0.2</v>
      </c>
      <c r="G231" s="54">
        <v>0</v>
      </c>
      <c r="H231" s="54">
        <v>0.3</v>
      </c>
      <c r="I231" s="53">
        <f t="shared" si="8"/>
        <v>4.7974999999999994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>
        <v>188</v>
      </c>
      <c r="B232" s="50">
        <v>211.27</v>
      </c>
      <c r="C232" s="50">
        <v>15</v>
      </c>
      <c r="D232" s="50">
        <v>72.180000000000007</v>
      </c>
      <c r="E232" s="54">
        <v>0.5</v>
      </c>
      <c r="F232" s="54">
        <v>0.2</v>
      </c>
      <c r="G232" s="54">
        <v>0</v>
      </c>
      <c r="H232" s="54">
        <v>0.3</v>
      </c>
      <c r="I232" s="53">
        <f t="shared" si="8"/>
        <v>3.0825000000000031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>
        <v>191</v>
      </c>
      <c r="B233" s="50">
        <v>145.01</v>
      </c>
      <c r="C233" s="50">
        <v>16</v>
      </c>
      <c r="D233" s="50">
        <v>145.01</v>
      </c>
      <c r="E233" s="54">
        <v>0.45</v>
      </c>
      <c r="F233" s="54">
        <v>0.05</v>
      </c>
      <c r="G233" s="54">
        <v>0.05</v>
      </c>
      <c r="H233" s="54">
        <v>0.45</v>
      </c>
      <c r="I233" s="53">
        <f t="shared" si="8"/>
        <v>1.9733333333333292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C240" s="23" t="s">
        <v>329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6" sqref="G26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chevelu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champêtre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Douglas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Séquoia toujours vert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Chêne vert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318.50474972254085</v>
      </c>
      <c r="T3" s="59">
        <f>IF('Données projet'!E9&gt;30,$R$33-$H$33,LOOKUP('Données projet'!$E$9,$A$3:$A$203,R3:R203)-LOOKUP('Données projet'!$E$9,$A$3:$A$203,$H$3:$H$203))</f>
        <v>326.45858332753562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374.38106339726073</v>
      </c>
      <c r="AO3" s="59">
        <f>IF('Données projet'!E10&gt;30,$AM$33-$H$33,LOOKUP('Données projet'!$E$10,$A$3:$A$203,AM3:AM203)-LOOKUP('Données projet'!$E$10,$A$3:$A$203,$H$3:$H$203))</f>
        <v>296.53283288925957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681.47578137804555</v>
      </c>
      <c r="BJ3" s="59">
        <f>IF('Données projet'!E11&gt;30,$BH$33-$H$33,LOOKUP('Données projet'!$E$11,$A$3:$A$203,BH3:BH203)-LOOKUP('Données projet'!$E$11,$A$3:$A$203,$H$3:$H$203))</f>
        <v>300.88511065995885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290.69667785754848</v>
      </c>
      <c r="CE3" s="59">
        <f>IF('Données projet'!E12&gt;30,$CC$33-$H$33,LOOKUP('Données projet'!$E$12,$A$3:$A$203,CC3:CC203)-LOOKUP('Données projet'!$E$12,$A$3:$A$203,$H$3:$H$203))</f>
        <v>256.28124185489082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408.246209980743</v>
      </c>
      <c r="CZ3" s="59">
        <f>IF('Données projet'!E13&gt;30,$CX$33-$H$33,LOOKUP('Données projet'!$E$13,$A$3:$A$203,CX3:CX203)-LOOKUP('Données projet'!$E$13,$A$3:$A$203,$H$3:$H$203))</f>
        <v>394.10236303013903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407.05634973057056</v>
      </c>
      <c r="DU3" s="59">
        <f>IF('Données projet'!E14&gt;30,$DS$33-$H$33,LOOKUP('Données projet'!$E$14,$A$3:$A$203,DS3:DS203)-LOOKUP('Données projet'!$E$14,$A$3:$A$203,$H$3:$H$203))</f>
        <v>375.32891954889965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418.28022549686278</v>
      </c>
      <c r="EP3" s="59">
        <f>IF('Données projet'!E15&gt;30,$EN$33-$H$33,LOOKUP('Données projet'!$E$15,$A$3:$A$203,EN3:EN203)-LOOKUP('Données projet'!$E$15,$A$3:$A$203,$H$3:$H$203))</f>
        <v>354.55070454517158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640.05156427113661</v>
      </c>
      <c r="FK3" s="59">
        <f>IF('Données projet'!E16&gt;30,$FI$33-$H$33,LOOKUP('Données projet'!$E$16,$A$3:$A$203,FI3:FI203)-LOOKUP('Données projet'!$E$16,$A$3:$A$203,$H$3:$H$203))</f>
        <v>308.77220155372902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7.2723529411764707</v>
      </c>
      <c r="N4" s="13">
        <f>IF('Données projet'!$A$36&gt;35,N3+M4-V3,IF(A4&lt;'Données projet'!$A$36,$K$205^A4,IF(A4='Données projet'!$A$36,'Données projet'!$B$36,N3+M4-V3)))</f>
        <v>1.3275965341357465</v>
      </c>
      <c r="O4" s="13">
        <f>N4*VLOOKUP('Données projet'!$B$9,Paramètres!$A$1:$I$89,3,0)*VLOOKUP('Données projet'!$B$9,Paramètres!$A$1:$I$89,5,0)</f>
        <v>0.79390272741317647</v>
      </c>
      <c r="P4" s="13">
        <f>EXP(-1.0587+0.8836*LN(O4)+0.284)</f>
        <v>0.37582567469791356</v>
      </c>
      <c r="Q4" s="20">
        <f t="shared" ref="Q4:Q34" si="2">(O4+P4)*0.475*44/12</f>
        <v>2.0372769670101483</v>
      </c>
      <c r="R4" s="59">
        <f t="shared" si="0"/>
        <v>169.84971091993398</v>
      </c>
      <c r="S4" s="59">
        <f ca="1">AVERAGE(OFFSET($R$3,0,0,'Données projet'!$E$9+1,1))-AVERAGE(OFFSET($H$3,0,0,'Données projet'!$E$9+1,1))</f>
        <v>318.50474972254085</v>
      </c>
      <c r="T4" s="59">
        <f>$T$3</f>
        <v>326.45858332753562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7.7715686274509812</v>
      </c>
      <c r="AI4" s="13">
        <f>IF('Données projet'!$A$62&gt;35,AI3+AH4-AQ3,IF(A4&lt;'Données projet'!$A$62,$AF$205^A4,IF(A4='Données projet'!$A$62,'Données projet'!$B$62,AI3+AH4-AQ3)))</f>
        <v>7.7715686274509812</v>
      </c>
      <c r="AJ4" s="13">
        <f>AI4*VLOOKUP('Données projet'!$B$10,Paramètres!$A$1:$I$89,3,0)*VLOOKUP('Données projet'!$B$10,Paramètres!$A$1:$I$89,5,0)</f>
        <v>3.637094117647059</v>
      </c>
      <c r="AK4" s="13">
        <f>EXP(-1.0587+0.8836*LN(AJ4)+0.284)</f>
        <v>1.4422308330239975</v>
      </c>
      <c r="AL4" s="20">
        <f t="shared" ref="AL4:AL67" si="4">(AJ4+AK4)*0.475*44/12</f>
        <v>8.8464909557520901</v>
      </c>
      <c r="AM4" s="59">
        <f t="shared" ref="AM4:AM67" si="5">AL4+(AD4+AE4)*44/12</f>
        <v>176.65892490867594</v>
      </c>
      <c r="AN4" s="59">
        <f ca="1">AVERAGE(OFFSET($AM$3,0,0,'Données projet'!$E$10+1,1))-AVERAGE(OFFSET($H$3,0,0,'Données projet'!$E$10+1,1))</f>
        <v>374.38106339726073</v>
      </c>
      <c r="AO4" s="59">
        <f>$AO$3</f>
        <v>296.53283288925957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4.0942857142857143</v>
      </c>
      <c r="BD4" s="12">
        <f>IF('Données projet'!$A$88&gt;35,BD3+BC4-BL3,IF(A4&lt;'Données projet'!$A$88,$BA$205^A4,IF(A4='Données projet'!$A$88,'Données projet'!$B$88,BD3+BC4-BL3)))</f>
        <v>4.0942857142857143</v>
      </c>
      <c r="BE4" s="13">
        <f>BD4*VLOOKUP('Données projet'!$B$11,Paramètres!$A$1:$I$89,3,0)*VLOOKUP('Données projet'!$B$11,Paramètres!$A$1:$I$89,5,0)</f>
        <v>3.704509714285714</v>
      </c>
      <c r="BF4" s="13">
        <f>EXP(-1.0587+0.8836*LN(BE4)+0.284)</f>
        <v>1.4658264193249637</v>
      </c>
      <c r="BG4" s="20">
        <f t="shared" ref="BG4:BG67" si="7">(BE4+BF4)*0.475*44/12</f>
        <v>9.0050020993719304</v>
      </c>
      <c r="BH4" s="59">
        <f t="shared" ref="BH4:BH67" si="8">BG4+(AY4+AZ4)*44/12</f>
        <v>176.81743605229576</v>
      </c>
      <c r="BI4" s="59">
        <f ca="1">AVERAGE(OFFSET($BH$3,0,0,'Données projet'!$E$11+1,1))-AVERAGE(OFFSET($H$3,0,0,'Données projet'!$E$11+1,1))</f>
        <v>681.47578137804555</v>
      </c>
      <c r="BJ4" s="59">
        <f>$BJ$3</f>
        <v>300.88511065995885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1.4743589743589742</v>
      </c>
      <c r="BY4" s="12">
        <f>IF('Données projet'!$A$114&gt;35,BY3+BX4-CG3,IF(A4&lt;'Données projet'!$A$114,$BV$205^A4,IF(A4='Données projet'!$A$114,'Données projet'!$B$114,BY3+BX4-CG3)))</f>
        <v>1.3087609363064139</v>
      </c>
      <c r="BZ4" s="13">
        <f>BY4*VLOOKUP('Données projet'!$B$12,Paramètres!$A$1:$I$89,3,0)*VLOOKUP('Données projet'!$B$12,Paramètres!$A$1:$I$89,5,0)</f>
        <v>1.3679169306274639</v>
      </c>
      <c r="CA4" s="13">
        <f>EXP(-1.0587+0.8836*LN(BZ4)+0.284)</f>
        <v>0.60781923235665469</v>
      </c>
      <c r="CB4" s="20">
        <f t="shared" ref="CB4:CB67" si="10">(BZ4+CA4)*0.475*44/12</f>
        <v>3.4410738171973398</v>
      </c>
      <c r="CC4" s="59">
        <f t="shared" ref="CC4:CC67" si="11">CB4+(BT4+BU4)*44/12</f>
        <v>171.25350777012119</v>
      </c>
      <c r="CD4" s="59">
        <f ca="1">AVERAGE(OFFSET($CC$3,0,0,'Données projet'!$E$12+1,1))-AVERAGE(OFFSET($H$3,0,0,'Données projet'!$E$12+1,1))</f>
        <v>290.69667785754848</v>
      </c>
      <c r="CE4" s="59">
        <f>$CE$3</f>
        <v>256.28124185489082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4.333333333333333</v>
      </c>
      <c r="CT4" s="12">
        <f>IF('Données projet'!$A$140&gt;35,CT3+CS4-DB3,IF(A4&lt;'Données projet'!$A$140,$CQ$205^A4,IF(A4='Données projet'!$A$140,'Données projet'!$B$140,CT3+CS4-DB3)))</f>
        <v>1.3208724756526424</v>
      </c>
      <c r="CU4" s="17">
        <f>CT4*VLOOKUP('Données projet'!$B$13,Paramètres!$A$1:$I$89,3,0)*VLOOKUP('Données projet'!$B$13,Paramètres!$A$1:$I$89,5,0)</f>
        <v>1.1539141947301486</v>
      </c>
      <c r="CV4" s="13">
        <f>EXP(-1.0587+0.8836*LN(CU4)+0.284)</f>
        <v>0.52298421799329042</v>
      </c>
      <c r="CW4" s="20">
        <f t="shared" ref="CW4:CW67" si="13">(CU4+CV4)*0.475*44/12</f>
        <v>2.9205980688266564</v>
      </c>
      <c r="CX4" s="59">
        <f t="shared" ref="CX4:CX67" si="14">CW4+(CO4+CP4)*44/12</f>
        <v>170.73303202175049</v>
      </c>
      <c r="CY4" s="59">
        <f ca="1">AVERAGE(OFFSET($CX$3,0,0,'Données projet'!$E$13+1,1))-AVERAGE(OFFSET($H$3,0,0,'Données projet'!$E$13+1,1))</f>
        <v>408.246209980743</v>
      </c>
      <c r="CZ4" s="59">
        <f>$CZ$3</f>
        <v>394.10236303013903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9.300476190476191</v>
      </c>
      <c r="DO4" s="12">
        <f>IF('Données projet'!$A$166&gt;35,DO3+DN4-DW3,IF(A4&lt;'Données projet'!$A$166,$DL$205^A4,IF(A4='Données projet'!$A$166,'Données projet'!$B$166,DO3+DN4-DW3)))</f>
        <v>1.2855297099408214</v>
      </c>
      <c r="DP4" s="17">
        <f>DO4*VLOOKUP('Données projet'!$B$14,Paramètres!$A$1:$I$89,3,0)*VLOOKUP('Données projet'!$B$14,Paramètres!$A$1:$I$89,5,0)</f>
        <v>0.71861110785691917</v>
      </c>
      <c r="DQ4" s="13">
        <f>EXP(-1.0587+0.8836*LN(DP4)+0.284)</f>
        <v>0.34415184160564588</v>
      </c>
      <c r="DR4" s="20">
        <f t="shared" ref="DR4:DR67" si="16">(DP4+DQ4)*0.475*44/12</f>
        <v>1.8509788036473005</v>
      </c>
      <c r="DS4" s="59">
        <f t="shared" ref="DS4:DS67" si="17">DR4+(DJ4+DK4)*44/12</f>
        <v>169.66341275657115</v>
      </c>
      <c r="DT4" s="59">
        <f ca="1">AVERAGE(OFFSET($DS$3,0,0,'Données projet'!$E$14+1,1))-AVERAGE(OFFSET($H$3,0,0,'Données projet'!$E$14+1,1))</f>
        <v>407.05634973057056</v>
      </c>
      <c r="DU4" s="59">
        <f>$DU$3</f>
        <v>375.32891954889965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6.7</v>
      </c>
      <c r="EJ4" s="12">
        <f>IF('Données projet'!$A$192&gt;35,EJ3+EI4-ER3,IF(A4&lt;'Données projet'!$A$192,$EG$205^A4,IF(A4='Données projet'!$A$192,'Données projet'!$B$192,EJ3+EI4-ER3)))</f>
        <v>1.277483324775911</v>
      </c>
      <c r="EK4" s="17">
        <f>EJ4*VLOOKUP('Données projet'!$B$15,Paramètres!$A$1:$I$89,3,0)*VLOOKUP('Données projet'!$B$15,Paramètres!$A$1:$I$89,5,0)</f>
        <v>0.56464762955095271</v>
      </c>
      <c r="EL4" s="13">
        <f>EXP(-1.0587+0.8836*LN(EK4)+0.284)</f>
        <v>0.2781138851563637</v>
      </c>
      <c r="EM4" s="20">
        <f t="shared" ref="EM4:EM67" si="19">(EK4+EL4)*0.475*44/12</f>
        <v>1.4678096381152426</v>
      </c>
      <c r="EN4" s="59">
        <f t="shared" ref="EN4:EN67" si="20">EM4+(EE4+EF4)*44/12</f>
        <v>169.2802435910391</v>
      </c>
      <c r="EO4" s="59">
        <f ca="1">AVERAGE(OFFSET($EN$3,0,0,'Données projet'!$E$15+1,1))-AVERAGE(OFFSET($H$3,0,0,'Données projet'!$E$15+1,1))</f>
        <v>418.28022549686278</v>
      </c>
      <c r="EP4" s="59">
        <f>$EP$3</f>
        <v>354.55070454517158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3.3603333333333336</v>
      </c>
      <c r="FE4" s="12">
        <f>IF('Données projet'!$A$218&gt;35,FE3+FD4-FM3,IF(A4&lt;'Données projet'!$A$218,$FB$205^A4,IF(A4='Données projet'!$A$218,'Données projet'!$B$218,FE3+FD4-FM3)))</f>
        <v>3.3603333333333336</v>
      </c>
      <c r="FF4" s="17">
        <f>FE4*VLOOKUP('Données projet'!$B$16,Paramètres!$A$1:$I$89,3,0)*VLOOKUP('Données projet'!$B$16,Paramètres!$A$1:$I$89,5,0)</f>
        <v>3.8267476000000005</v>
      </c>
      <c r="FG4" s="13">
        <f>EXP(-1.0587+0.8836*LN(FF4)+0.284)</f>
        <v>1.5084832510605695</v>
      </c>
      <c r="FH4" s="20">
        <f t="shared" ref="FH4:FH67" si="22">(FF4+FG4)*0.475*44/12</f>
        <v>9.2921937322638239</v>
      </c>
      <c r="FI4" s="59">
        <f t="shared" ref="FI4:FI67" si="23">FH4+(EZ4+FA4)*44/12</f>
        <v>177.10462768518767</v>
      </c>
      <c r="FJ4" s="59">
        <f ca="1">AVERAGE(OFFSET($FI$3,0,0,'Données projet'!$E$16+1,1))-AVERAGE(OFFSET($H$3,0,0,'Données projet'!$E$16+1,1))</f>
        <v>640.05156427113661</v>
      </c>
      <c r="FK4" s="59">
        <f>$FK$3</f>
        <v>308.77220155372902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7.2723529411764707</v>
      </c>
      <c r="N5" s="13">
        <f>IF('Données projet'!$A$36&gt;35,N4+M5-V4,IF(A5&lt;'Données projet'!$A$36,$K$205^A5,IF(A5='Données projet'!$A$36,'Données projet'!$B$36,N4+M5-V4)))</f>
        <v>1.7625125574492464</v>
      </c>
      <c r="O5" s="13">
        <f>N5*VLOOKUP('Données projet'!$B$9,Paramètres!$A$1:$I$89,3,0)*VLOOKUP('Données projet'!$B$9,Paramètres!$A$1:$I$89,5,0)</f>
        <v>1.0539825093546495</v>
      </c>
      <c r="P5" s="13">
        <f t="shared" ref="P5:P68" si="33">EXP(-1.0587+0.8836*LN(O5)+0.284)</f>
        <v>0.48275597819164817</v>
      </c>
      <c r="Q5" s="20">
        <f t="shared" si="2"/>
        <v>2.676486199143135</v>
      </c>
      <c r="R5" s="59">
        <f t="shared" si="0"/>
        <v>173.27376748664398</v>
      </c>
      <c r="S5" s="59">
        <f ca="1">AVERAGE(OFFSET($R$3,0,0,'Données projet'!$E$9+1,1))-AVERAGE(OFFSET($H$3,0,0,'Données projet'!$E$9+1,1))</f>
        <v>318.50474972254085</v>
      </c>
      <c r="T5" s="59">
        <f t="shared" ref="T5:T68" si="34">$T$3</f>
        <v>326.45858332753562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7.7715686274509812</v>
      </c>
      <c r="AI5" s="13">
        <f>IF('Données projet'!$A$62&gt;35,AI4+AH5-AQ4,IF(A5&lt;'Données projet'!$A$62,$AF$205^A5,IF(A5='Données projet'!$A$62,'Données projet'!$B$62,AI4+AH5-AQ4)))</f>
        <v>15.543137254901962</v>
      </c>
      <c r="AJ5" s="13">
        <f>AI5*VLOOKUP('Données projet'!$B$10,Paramètres!$A$1:$I$89,3,0)*VLOOKUP('Données projet'!$B$10,Paramètres!$A$1:$I$89,5,0)</f>
        <v>7.2741882352941181</v>
      </c>
      <c r="AK5" s="13">
        <f t="shared" ref="AK5:AK68" si="35">EXP(-1.0587+0.8836*LN(AJ5)+0.284)</f>
        <v>2.6608774935168951</v>
      </c>
      <c r="AL5" s="20">
        <f t="shared" si="4"/>
        <v>17.303572811012511</v>
      </c>
      <c r="AM5" s="59">
        <f t="shared" si="5"/>
        <v>187.90085409851335</v>
      </c>
      <c r="AN5" s="59">
        <f ca="1">AVERAGE(OFFSET($AM$3,0,0,'Données projet'!$E$10+1,1))-AVERAGE(OFFSET($H$3,0,0,'Données projet'!$E$10+1,1))</f>
        <v>374.38106339726073</v>
      </c>
      <c r="AO5" s="59">
        <f t="shared" ref="AO5:AO68" si="36">$AO$3</f>
        <v>296.53283288925957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4.0942857142857143</v>
      </c>
      <c r="BD5" s="12">
        <f>IF('Données projet'!$A$88&gt;35,BD4+BC5-BL4,IF(A5&lt;'Données projet'!$A$88,$BA$205^A5,IF(A5='Données projet'!$A$88,'Données projet'!$B$88,BD4+BC5-BL4)))</f>
        <v>8.1885714285714286</v>
      </c>
      <c r="BE5" s="13">
        <f>BD5*VLOOKUP('Données projet'!$B$11,Paramètres!$A$1:$I$89,3,0)*VLOOKUP('Données projet'!$B$11,Paramètres!$A$1:$I$89,5,0)</f>
        <v>7.4090194285714279</v>
      </c>
      <c r="BF5" s="13">
        <f t="shared" ref="BF5:BF68" si="37">EXP(-1.0587+0.8836*LN(BE5)+0.284)</f>
        <v>2.7044107221075859</v>
      </c>
      <c r="BG5" s="20">
        <f t="shared" si="7"/>
        <v>17.614224179099281</v>
      </c>
      <c r="BH5" s="59">
        <f t="shared" si="8"/>
        <v>188.2115054666001</v>
      </c>
      <c r="BI5" s="59">
        <f ca="1">AVERAGE(OFFSET($BH$3,0,0,'Données projet'!$E$11+1,1))-AVERAGE(OFFSET($H$3,0,0,'Données projet'!$E$11+1,1))</f>
        <v>681.47578137804555</v>
      </c>
      <c r="BJ5" s="59">
        <f t="shared" ref="BJ5:BJ68" si="38">$BJ$3</f>
        <v>300.88511065995885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1.4743589743589742</v>
      </c>
      <c r="BY5" s="12">
        <f>IF('Données projet'!$A$114&gt;35,BY4+BX5-CG4,IF(A5&lt;'Données projet'!$A$114,$BV$205^A5,IF(A5='Données projet'!$A$114,'Données projet'!$B$114,BY4+BX5-CG4)))</f>
        <v>1.7128551884016412</v>
      </c>
      <c r="BZ5" s="13">
        <f>BY5*VLOOKUP('Données projet'!$B$12,Paramètres!$A$1:$I$89,3,0)*VLOOKUP('Données projet'!$B$12,Paramètres!$A$1:$I$89,5,0)</f>
        <v>1.7902762429173955</v>
      </c>
      <c r="CA5" s="13">
        <f t="shared" ref="CA5:CA68" si="39">EXP(-1.0587+0.8836*LN(BZ5)+0.284)</f>
        <v>0.77096066361657623</v>
      </c>
      <c r="CB5" s="20">
        <f t="shared" si="10"/>
        <v>4.4608209455466667</v>
      </c>
      <c r="CC5" s="59">
        <f t="shared" si="11"/>
        <v>175.05810223304749</v>
      </c>
      <c r="CD5" s="59">
        <f ca="1">AVERAGE(OFFSET($CC$3,0,0,'Données projet'!$E$12+1,1))-AVERAGE(OFFSET($H$3,0,0,'Données projet'!$E$12+1,1))</f>
        <v>290.69667785754848</v>
      </c>
      <c r="CE5" s="59">
        <f t="shared" ref="CE5:CE68" si="40">$CE$3</f>
        <v>256.28124185489082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4.333333333333333</v>
      </c>
      <c r="CT5" s="12">
        <f>IF('Données projet'!$A$140&gt;35,CT4+CS5-DB4,IF(A5&lt;'Données projet'!$A$140,$CQ$205^A5,IF(A5='Données projet'!$A$140,'Données projet'!$B$140,CT4+CS5-DB4)))</f>
        <v>1.7447040969367404</v>
      </c>
      <c r="CU5" s="17">
        <f>CT5*VLOOKUP('Données projet'!$B$13,Paramètres!$A$1:$I$89,3,0)*VLOOKUP('Données projet'!$B$13,Paramètres!$A$1:$I$89,5,0)</f>
        <v>1.5241734990839366</v>
      </c>
      <c r="CV5" s="13">
        <f t="shared" ref="CV5:CV68" si="41">EXP(-1.0587+0.8836*LN(CU5)+0.284)</f>
        <v>0.66877690363385434</v>
      </c>
      <c r="CW5" s="20">
        <f t="shared" si="13"/>
        <v>3.8193886180668186</v>
      </c>
      <c r="CX5" s="59">
        <f t="shared" si="14"/>
        <v>174.41666990556766</v>
      </c>
      <c r="CY5" s="59">
        <f ca="1">AVERAGE(OFFSET($CX$3,0,0,'Données projet'!$E$13+1,1))-AVERAGE(OFFSET($H$3,0,0,'Données projet'!$E$13+1,1))</f>
        <v>408.246209980743</v>
      </c>
      <c r="CZ5" s="59">
        <f t="shared" ref="CZ5:CZ68" si="42">$CZ$3</f>
        <v>394.10236303013903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9.300476190476191</v>
      </c>
      <c r="DO5" s="12">
        <f>IF('Données projet'!$A$166&gt;35,DO4+DN5-DW4,IF(A5&lt;'Données projet'!$A$166,$DL$205^A5,IF(A5='Données projet'!$A$166,'Données projet'!$B$166,DO4+DN5-DW4)))</f>
        <v>1.6525866351405323</v>
      </c>
      <c r="DP5" s="17">
        <f>DO5*VLOOKUP('Données projet'!$B$14,Paramètres!$A$1:$I$89,3,0)*VLOOKUP('Données projet'!$B$14,Paramètres!$A$1:$I$89,5,0)</f>
        <v>0.92379592904355756</v>
      </c>
      <c r="DQ5" s="13">
        <f t="shared" ref="DQ5:DQ68" si="43">EXP(-1.0587+0.8836*LN(DP5)+0.284)</f>
        <v>0.42967002528896309</v>
      </c>
      <c r="DR5" s="20">
        <f t="shared" si="16"/>
        <v>2.35728653712914</v>
      </c>
      <c r="DS5" s="59">
        <f t="shared" si="17"/>
        <v>172.95456782462998</v>
      </c>
      <c r="DT5" s="59">
        <f ca="1">AVERAGE(OFFSET($DS$3,0,0,'Données projet'!$E$14+1,1))-AVERAGE(OFFSET($H$3,0,0,'Données projet'!$E$14+1,1))</f>
        <v>407.05634973057056</v>
      </c>
      <c r="DU5" s="59">
        <f t="shared" ref="DU5:DU68" si="44">$DU$3</f>
        <v>375.32891954889965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6.7</v>
      </c>
      <c r="EJ5" s="12">
        <f>IF('Données projet'!$A$192&gt;35,EJ4+EI5-ER4,IF(A5&lt;'Données projet'!$A$192,$EG$205^A5,IF(A5='Données projet'!$A$192,'Données projet'!$B$192,EJ4+EI5-ER4)))</f>
        <v>1.6319636450805157</v>
      </c>
      <c r="EK5" s="17">
        <f>EJ5*VLOOKUP('Données projet'!$B$15,Paramètres!$A$1:$I$89,3,0)*VLOOKUP('Données projet'!$B$15,Paramètres!$A$1:$I$89,5,0)</f>
        <v>0.72132793112558802</v>
      </c>
      <c r="EL5" s="13">
        <f t="shared" ref="EL5:EL68" si="45">EXP(-1.0587+0.8836*LN(EK5)+0.284)</f>
        <v>0.34530125917503374</v>
      </c>
      <c r="EM5" s="20">
        <f t="shared" si="19"/>
        <v>1.8577125064402493</v>
      </c>
      <c r="EN5" s="59">
        <f t="shared" si="20"/>
        <v>172.45499379394107</v>
      </c>
      <c r="EO5" s="59">
        <f ca="1">AVERAGE(OFFSET($EN$3,0,0,'Données projet'!$E$15+1,1))-AVERAGE(OFFSET($H$3,0,0,'Données projet'!$E$15+1,1))</f>
        <v>418.28022549686278</v>
      </c>
      <c r="EP5" s="59">
        <f t="shared" ref="EP5:EP68" si="46">$EP$3</f>
        <v>354.55070454517158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3.3603333333333336</v>
      </c>
      <c r="FE5" s="12">
        <f>IF('Données projet'!$A$218&gt;35,FE4+FD5-FM4,IF(A5&lt;'Données projet'!$A$218,$FB$205^A5,IF(A5='Données projet'!$A$218,'Données projet'!$B$218,FE4+FD5-FM4)))</f>
        <v>6.7206666666666672</v>
      </c>
      <c r="FF5" s="17">
        <f>FE5*VLOOKUP('Données projet'!$B$16,Paramètres!$A$1:$I$89,3,0)*VLOOKUP('Données projet'!$B$16,Paramètres!$A$1:$I$89,5,0)</f>
        <v>7.6534952000000009</v>
      </c>
      <c r="FG5" s="13">
        <f t="shared" ref="FG5:FG68" si="47">EXP(-1.0587+0.8836*LN(FF5)+0.284)</f>
        <v>2.7831114410986091</v>
      </c>
      <c r="FH5" s="20">
        <f t="shared" si="22"/>
        <v>18.177089899913412</v>
      </c>
      <c r="FI5" s="59">
        <f t="shared" si="23"/>
        <v>188.77437118741426</v>
      </c>
      <c r="FJ5" s="59">
        <f ca="1">AVERAGE(OFFSET($FI$3,0,0,'Données projet'!$E$16+1,1))-AVERAGE(OFFSET($H$3,0,0,'Données projet'!$E$16+1,1))</f>
        <v>640.05156427113661</v>
      </c>
      <c r="FK5" s="59">
        <f t="shared" ref="FK5:FK68" si="48">$FK$3</f>
        <v>308.77220155372902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7.2723529411764707</v>
      </c>
      <c r="N6" s="13">
        <f>IF('Données projet'!$A$36&gt;35,N5+M6-V5,IF(A6&lt;'Données projet'!$A$36,$K$205^A6,IF(A6='Données projet'!$A$36,'Données projet'!$B$36,N5+M6-V5)))</f>
        <v>2.3399055626403502</v>
      </c>
      <c r="O6" s="13">
        <f>N6*VLOOKUP('Données projet'!$B$9,Paramètres!$A$1:$I$89,3,0)*VLOOKUP('Données projet'!$B$9,Paramètres!$A$1:$I$89,5,0)</f>
        <v>1.3992635264589295</v>
      </c>
      <c r="P6" s="13">
        <f t="shared" si="33"/>
        <v>0.62011020047287035</v>
      </c>
      <c r="Q6" s="20">
        <f t="shared" si="2"/>
        <v>3.5170759077395513</v>
      </c>
      <c r="R6" s="59">
        <f t="shared" si="0"/>
        <v>176.87209647762444</v>
      </c>
      <c r="S6" s="59">
        <f ca="1">AVERAGE(OFFSET($R$3,0,0,'Données projet'!$E$9+1,1))-AVERAGE(OFFSET($H$3,0,0,'Données projet'!$E$9+1,1))</f>
        <v>318.50474972254085</v>
      </c>
      <c r="T6" s="59">
        <f t="shared" si="34"/>
        <v>326.45858332753562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7.7715686274509812</v>
      </c>
      <c r="AI6" s="13">
        <f>IF('Données projet'!$A$62&gt;35,AI5+AH6-AQ5,IF(A6&lt;'Données projet'!$A$62,$AF$205^A6,IF(A6='Données projet'!$A$62,'Données projet'!$B$62,AI5+AH6-AQ5)))</f>
        <v>23.314705882352943</v>
      </c>
      <c r="AJ6" s="13">
        <f>AI6*VLOOKUP('Données projet'!$B$10,Paramètres!$A$1:$I$89,3,0)*VLOOKUP('Données projet'!$B$10,Paramètres!$A$1:$I$89,5,0)</f>
        <v>10.911282352941177</v>
      </c>
      <c r="AK6" s="13">
        <f t="shared" si="35"/>
        <v>3.8073176895056275</v>
      </c>
      <c r="AL6" s="20">
        <f t="shared" si="4"/>
        <v>25.634895073928181</v>
      </c>
      <c r="AM6" s="59">
        <f t="shared" si="5"/>
        <v>198.98991564381308</v>
      </c>
      <c r="AN6" s="59">
        <f ca="1">AVERAGE(OFFSET($AM$3,0,0,'Données projet'!$E$10+1,1))-AVERAGE(OFFSET($H$3,0,0,'Données projet'!$E$10+1,1))</f>
        <v>374.38106339726073</v>
      </c>
      <c r="AO6" s="59">
        <f t="shared" si="36"/>
        <v>296.53283288925957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4.0942857142857143</v>
      </c>
      <c r="BD6" s="12">
        <f>IF('Données projet'!$A$88&gt;35,BD5+BC6-BL5,IF(A6&lt;'Données projet'!$A$88,$BA$205^A6,IF(A6='Données projet'!$A$88,'Données projet'!$B$88,BD5+BC6-BL5)))</f>
        <v>12.282857142857143</v>
      </c>
      <c r="BE6" s="13">
        <f>BD6*VLOOKUP('Données projet'!$B$11,Paramètres!$A$1:$I$89,3,0)*VLOOKUP('Données projet'!$B$11,Paramètres!$A$1:$I$89,5,0)</f>
        <v>11.113529142857143</v>
      </c>
      <c r="BF6" s="13">
        <f t="shared" si="37"/>
        <v>3.8696072280877138</v>
      </c>
      <c r="BG6" s="20">
        <f t="shared" si="7"/>
        <v>26.095629179395626</v>
      </c>
      <c r="BH6" s="59">
        <f t="shared" si="8"/>
        <v>199.4506497492805</v>
      </c>
      <c r="BI6" s="59">
        <f ca="1">AVERAGE(OFFSET($BH$3,0,0,'Données projet'!$E$11+1,1))-AVERAGE(OFFSET($H$3,0,0,'Données projet'!$E$11+1,1))</f>
        <v>681.47578137804555</v>
      </c>
      <c r="BJ6" s="59">
        <f t="shared" si="38"/>
        <v>300.88511065995885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1.4743589743589742</v>
      </c>
      <c r="BY6" s="12">
        <f>IF('Données projet'!$A$114&gt;35,BY5+BX6-CG5,IF(A6&lt;'Données projet'!$A$114,$BV$205^A6,IF(A6='Données projet'!$A$114,'Données projet'!$B$114,BY5+BX6-CG5)))</f>
        <v>2.2417179601298307</v>
      </c>
      <c r="BZ6" s="13">
        <f>BY6*VLOOKUP('Données projet'!$B$12,Paramètres!$A$1:$I$89,3,0)*VLOOKUP('Données projet'!$B$12,Paramètres!$A$1:$I$89,5,0)</f>
        <v>2.3430436119276994</v>
      </c>
      <c r="CA6" s="13">
        <f t="shared" si="39"/>
        <v>0.97788999294998047</v>
      </c>
      <c r="CB6" s="20">
        <f t="shared" si="10"/>
        <v>5.7839593618286251</v>
      </c>
      <c r="CC6" s="59">
        <f t="shared" si="11"/>
        <v>179.13897993171352</v>
      </c>
      <c r="CD6" s="59">
        <f ca="1">AVERAGE(OFFSET($CC$3,0,0,'Données projet'!$E$12+1,1))-AVERAGE(OFFSET($H$3,0,0,'Données projet'!$E$12+1,1))</f>
        <v>290.69667785754848</v>
      </c>
      <c r="CE6" s="59">
        <f t="shared" si="40"/>
        <v>256.28124185489082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4.333333333333333</v>
      </c>
      <c r="CT6" s="12">
        <f>IF('Données projet'!$A$140&gt;35,CT5+CS6-DB5,IF(A6&lt;'Données projet'!$A$140,$CQ$205^A6,IF(A6='Données projet'!$A$140,'Données projet'!$B$140,CT5+CS6-DB5)))</f>
        <v>2.3045316198021402</v>
      </c>
      <c r="CU6" s="17">
        <f>CT6*VLOOKUP('Données projet'!$B$13,Paramètres!$A$1:$I$89,3,0)*VLOOKUP('Données projet'!$B$13,Paramètres!$A$1:$I$89,5,0)</f>
        <v>2.01323882305915</v>
      </c>
      <c r="CV6" s="13">
        <f t="shared" si="41"/>
        <v>0.85521232084258414</v>
      </c>
      <c r="CW6" s="20">
        <f t="shared" si="13"/>
        <v>4.9958857422955205</v>
      </c>
      <c r="CX6" s="59">
        <f t="shared" si="14"/>
        <v>178.3509063121804</v>
      </c>
      <c r="CY6" s="59">
        <f ca="1">AVERAGE(OFFSET($CX$3,0,0,'Données projet'!$E$13+1,1))-AVERAGE(OFFSET($H$3,0,0,'Données projet'!$E$13+1,1))</f>
        <v>408.246209980743</v>
      </c>
      <c r="CZ6" s="59">
        <f t="shared" si="42"/>
        <v>394.10236303013903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9.300476190476191</v>
      </c>
      <c r="DO6" s="12">
        <f>IF('Données projet'!$A$166&gt;35,DO5+DN6-DW5,IF(A6&lt;'Données projet'!$A$166,$DL$205^A6,IF(A6='Données projet'!$A$166,'Données projet'!$B$166,DO5+DN6-DW5)))</f>
        <v>2.1244492177242864</v>
      </c>
      <c r="DP6" s="17">
        <f>DO6*VLOOKUP('Données projet'!$B$14,Paramètres!$A$1:$I$89,3,0)*VLOOKUP('Données projet'!$B$14,Paramètres!$A$1:$I$89,5,0)</f>
        <v>1.1875671127078762</v>
      </c>
      <c r="DQ6" s="13">
        <f t="shared" si="43"/>
        <v>0.53643859573869412</v>
      </c>
      <c r="DR6" s="20">
        <f t="shared" si="16"/>
        <v>3.0026432755444432</v>
      </c>
      <c r="DS6" s="59">
        <f t="shared" si="17"/>
        <v>176.35766384542933</v>
      </c>
      <c r="DT6" s="59">
        <f ca="1">AVERAGE(OFFSET($DS$3,0,0,'Données projet'!$E$14+1,1))-AVERAGE(OFFSET($H$3,0,0,'Données projet'!$E$14+1,1))</f>
        <v>407.05634973057056</v>
      </c>
      <c r="DU6" s="59">
        <f t="shared" si="44"/>
        <v>375.32891954889965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6.7</v>
      </c>
      <c r="EJ6" s="12">
        <f>IF('Données projet'!$A$192&gt;35,EJ5+EI6-ER5,IF(A6&lt;'Données projet'!$A$192,$EG$205^A6,IF(A6='Données projet'!$A$192,'Données projet'!$B$192,EJ5+EI6-ER5)))</f>
        <v>2.0848063432308721</v>
      </c>
      <c r="EK6" s="17">
        <f>EJ6*VLOOKUP('Données projet'!$B$15,Paramètres!$A$1:$I$89,3,0)*VLOOKUP('Données projet'!$B$15,Paramètres!$A$1:$I$89,5,0)</f>
        <v>0.92148440370804563</v>
      </c>
      <c r="EL6" s="13">
        <f t="shared" si="45"/>
        <v>0.42871990918694192</v>
      </c>
      <c r="EM6" s="20">
        <f t="shared" si="19"/>
        <v>2.3516058449587698</v>
      </c>
      <c r="EN6" s="59">
        <f t="shared" si="20"/>
        <v>175.70662641484367</v>
      </c>
      <c r="EO6" s="59">
        <f ca="1">AVERAGE(OFFSET($EN$3,0,0,'Données projet'!$E$15+1,1))-AVERAGE(OFFSET($H$3,0,0,'Données projet'!$E$15+1,1))</f>
        <v>418.28022549686278</v>
      </c>
      <c r="EP6" s="59">
        <f t="shared" si="46"/>
        <v>354.55070454517158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3.3603333333333336</v>
      </c>
      <c r="FE6" s="12">
        <f>IF('Données projet'!$A$218&gt;35,FE5+FD6-FM5,IF(A6&lt;'Données projet'!$A$218,$FB$205^A6,IF(A6='Données projet'!$A$218,'Données projet'!$B$218,FE5+FD6-FM5)))</f>
        <v>10.081000000000001</v>
      </c>
      <c r="FF6" s="17">
        <f>FE6*VLOOKUP('Données projet'!$B$16,Paramètres!$A$1:$I$89,3,0)*VLOOKUP('Données projet'!$B$16,Paramètres!$A$1:$I$89,5,0)</f>
        <v>11.480242800000001</v>
      </c>
      <c r="FG6" s="13">
        <f t="shared" si="47"/>
        <v>3.9822161852161009</v>
      </c>
      <c r="FH6" s="20">
        <f t="shared" si="22"/>
        <v>26.930449399251376</v>
      </c>
      <c r="FI6" s="59">
        <f t="shared" si="23"/>
        <v>200.28546996913627</v>
      </c>
      <c r="FJ6" s="59">
        <f ca="1">AVERAGE(OFFSET($FI$3,0,0,'Données projet'!$E$16+1,1))-AVERAGE(OFFSET($H$3,0,0,'Données projet'!$E$16+1,1))</f>
        <v>640.05156427113661</v>
      </c>
      <c r="FK6" s="59">
        <f t="shared" si="48"/>
        <v>308.77220155372902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7.2723529411764707</v>
      </c>
      <c r="N7" s="13">
        <f>IF('Données projet'!$A$36&gt;35,N6+M7-V6,IF(A7&lt;'Données projet'!$A$36,$K$205^A7,IF(A7='Données projet'!$A$36,'Données projet'!$B$36,N6+M7-V6)))</f>
        <v>3.1064505151662831</v>
      </c>
      <c r="O7" s="13">
        <f>N7*VLOOKUP('Données projet'!$B$9,Paramètres!$A$1:$I$89,3,0)*VLOOKUP('Données projet'!$B$9,Paramètres!$A$1:$I$89,5,0)</f>
        <v>1.8576574080694375</v>
      </c>
      <c r="P7" s="13">
        <f t="shared" si="33"/>
        <v>0.7965445858815392</v>
      </c>
      <c r="Q7" s="20">
        <f t="shared" si="2"/>
        <v>4.6227351394646172</v>
      </c>
      <c r="R7" s="59">
        <f t="shared" si="0"/>
        <v>180.70885720364157</v>
      </c>
      <c r="S7" s="59">
        <f ca="1">AVERAGE(OFFSET($R$3,0,0,'Données projet'!$E$9+1,1))-AVERAGE(OFFSET($H$3,0,0,'Données projet'!$E$9+1,1))</f>
        <v>318.50474972254085</v>
      </c>
      <c r="T7" s="59">
        <f t="shared" si="34"/>
        <v>326.45858332753562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7.7715686274509812</v>
      </c>
      <c r="AI7" s="13">
        <f>IF('Données projet'!$A$62&gt;35,AI6+AH7-AQ6,IF(A7&lt;'Données projet'!$A$62,$AF$205^A7,IF(A7='Données projet'!$A$62,'Données projet'!$B$62,AI6+AH7-AQ6)))</f>
        <v>31.086274509803925</v>
      </c>
      <c r="AJ7" s="13">
        <f>AI7*VLOOKUP('Données projet'!$B$10,Paramètres!$A$1:$I$89,3,0)*VLOOKUP('Données projet'!$B$10,Paramètres!$A$1:$I$89,5,0)</f>
        <v>14.548376470588236</v>
      </c>
      <c r="AK7" s="13">
        <f t="shared" si="35"/>
        <v>4.9092481407148947</v>
      </c>
      <c r="AL7" s="20">
        <f t="shared" si="4"/>
        <v>33.888696198019623</v>
      </c>
      <c r="AM7" s="59">
        <f t="shared" si="5"/>
        <v>209.97481826219658</v>
      </c>
      <c r="AN7" s="59">
        <f ca="1">AVERAGE(OFFSET($AM$3,0,0,'Données projet'!$E$10+1,1))-AVERAGE(OFFSET($H$3,0,0,'Données projet'!$E$10+1,1))</f>
        <v>374.38106339726073</v>
      </c>
      <c r="AO7" s="59">
        <f t="shared" si="36"/>
        <v>296.53283288925957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4.0942857142857143</v>
      </c>
      <c r="BD7" s="12">
        <f>IF('Données projet'!$A$88&gt;35,BD6+BC7-BL6,IF(A7&lt;'Données projet'!$A$88,$BA$205^A7,IF(A7='Données projet'!$A$88,'Données projet'!$B$88,BD6+BC7-BL6)))</f>
        <v>16.377142857142857</v>
      </c>
      <c r="BE7" s="13">
        <f>BD7*VLOOKUP('Données projet'!$B$11,Paramètres!$A$1:$I$89,3,0)*VLOOKUP('Données projet'!$B$11,Paramètres!$A$1:$I$89,5,0)</f>
        <v>14.818038857142856</v>
      </c>
      <c r="BF7" s="13">
        <f t="shared" si="37"/>
        <v>4.9895657885731195</v>
      </c>
      <c r="BG7" s="20">
        <f t="shared" si="7"/>
        <v>34.49824475795532</v>
      </c>
      <c r="BH7" s="59">
        <f t="shared" si="8"/>
        <v>210.58436682213227</v>
      </c>
      <c r="BI7" s="59">
        <f ca="1">AVERAGE(OFFSET($BH$3,0,0,'Données projet'!$E$11+1,1))-AVERAGE(OFFSET($H$3,0,0,'Données projet'!$E$11+1,1))</f>
        <v>681.47578137804555</v>
      </c>
      <c r="BJ7" s="59">
        <f t="shared" si="38"/>
        <v>300.88511065995885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1.4743589743589742</v>
      </c>
      <c r="BY7" s="12">
        <f>IF('Données projet'!$A$114&gt;35,BY6+BX7-CG6,IF(A7&lt;'Données projet'!$A$114,$BV$205^A7,IF(A7='Données projet'!$A$114,'Données projet'!$B$114,BY6+BX7-CG6)))</f>
        <v>2.9338728964344218</v>
      </c>
      <c r="BZ7" s="13">
        <f>BY7*VLOOKUP('Données projet'!$B$12,Paramètres!$A$1:$I$89,3,0)*VLOOKUP('Données projet'!$B$12,Paramètres!$A$1:$I$89,5,0)</f>
        <v>3.0664839513532582</v>
      </c>
      <c r="CA7" s="13">
        <f t="shared" si="39"/>
        <v>1.2403600902617475</v>
      </c>
      <c r="CB7" s="20">
        <f t="shared" si="10"/>
        <v>7.5010867058128019</v>
      </c>
      <c r="CC7" s="59">
        <f t="shared" si="11"/>
        <v>183.58720876998976</v>
      </c>
      <c r="CD7" s="59">
        <f ca="1">AVERAGE(OFFSET($CC$3,0,0,'Données projet'!$E$12+1,1))-AVERAGE(OFFSET($H$3,0,0,'Données projet'!$E$12+1,1))</f>
        <v>290.69667785754848</v>
      </c>
      <c r="CE7" s="59">
        <f t="shared" si="40"/>
        <v>256.28124185489082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4.333333333333333</v>
      </c>
      <c r="CT7" s="12">
        <f>IF('Données projet'!$A$140&gt;35,CT6+CS7-DB6,IF(A7&lt;'Données projet'!$A$140,$CQ$205^A7,IF(A7='Données projet'!$A$140,'Données projet'!$B$140,CT6+CS7-DB6)))</f>
        <v>3.0439923858678468</v>
      </c>
      <c r="CU7" s="17">
        <f>CT7*VLOOKUP('Données projet'!$B$13,Paramètres!$A$1:$I$89,3,0)*VLOOKUP('Données projet'!$B$13,Paramètres!$A$1:$I$89,5,0)</f>
        <v>2.6592317482941512</v>
      </c>
      <c r="CV7" s="13">
        <f t="shared" si="41"/>
        <v>1.0936204730559642</v>
      </c>
      <c r="CW7" s="20">
        <f t="shared" si="13"/>
        <v>6.5362176188514516</v>
      </c>
      <c r="CX7" s="59">
        <f t="shared" si="14"/>
        <v>182.6223396830284</v>
      </c>
      <c r="CY7" s="59">
        <f ca="1">AVERAGE(OFFSET($CX$3,0,0,'Données projet'!$E$13+1,1))-AVERAGE(OFFSET($H$3,0,0,'Données projet'!$E$13+1,1))</f>
        <v>408.246209980743</v>
      </c>
      <c r="CZ7" s="59">
        <f t="shared" si="42"/>
        <v>394.10236303013903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9.300476190476191</v>
      </c>
      <c r="DO7" s="12">
        <f>IF('Données projet'!$A$166&gt;35,DO6+DN7-DW6,IF(A7&lt;'Données projet'!$A$166,$DL$205^A7,IF(A7='Données projet'!$A$166,'Données projet'!$B$166,DO6+DN7-DW6)))</f>
        <v>2.7310425866451067</v>
      </c>
      <c r="DP7" s="17">
        <f>DO7*VLOOKUP('Données projet'!$B$14,Paramètres!$A$1:$I$89,3,0)*VLOOKUP('Données projet'!$B$14,Paramètres!$A$1:$I$89,5,0)</f>
        <v>1.5266528059346147</v>
      </c>
      <c r="DQ7" s="13">
        <f t="shared" si="43"/>
        <v>0.66973805492848271</v>
      </c>
      <c r="DR7" s="20">
        <f t="shared" si="16"/>
        <v>3.8253807493365612</v>
      </c>
      <c r="DS7" s="59">
        <f t="shared" si="17"/>
        <v>179.91150281351352</v>
      </c>
      <c r="DT7" s="59">
        <f ca="1">AVERAGE(OFFSET($DS$3,0,0,'Données projet'!$E$14+1,1))-AVERAGE(OFFSET($H$3,0,0,'Données projet'!$E$14+1,1))</f>
        <v>407.05634973057056</v>
      </c>
      <c r="DU7" s="59">
        <f t="shared" si="44"/>
        <v>375.32891954889965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6.7</v>
      </c>
      <c r="EJ7" s="12">
        <f>IF('Données projet'!$A$192&gt;35,EJ6+EI7-ER6,IF(A7&lt;'Données projet'!$A$192,$EG$205^A7,IF(A7='Données projet'!$A$192,'Données projet'!$B$192,EJ6+EI7-ER6)))</f>
        <v>2.6633053388644834</v>
      </c>
      <c r="EK7" s="17">
        <f>EJ7*VLOOKUP('Données projet'!$B$15,Paramètres!$A$1:$I$89,3,0)*VLOOKUP('Données projet'!$B$15,Paramètres!$A$1:$I$89,5,0)</f>
        <v>1.1771809597781018</v>
      </c>
      <c r="EL7" s="13">
        <f t="shared" si="45"/>
        <v>0.53229102312682486</v>
      </c>
      <c r="EM7" s="20">
        <f t="shared" si="19"/>
        <v>2.9773303702260798</v>
      </c>
      <c r="EN7" s="59">
        <f t="shared" si="20"/>
        <v>179.06345243440302</v>
      </c>
      <c r="EO7" s="59">
        <f ca="1">AVERAGE(OFFSET($EN$3,0,0,'Données projet'!$E$15+1,1))-AVERAGE(OFFSET($H$3,0,0,'Données projet'!$E$15+1,1))</f>
        <v>418.28022549686278</v>
      </c>
      <c r="EP7" s="59">
        <f t="shared" si="46"/>
        <v>354.55070454517158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3.3603333333333336</v>
      </c>
      <c r="FE7" s="12">
        <f>IF('Données projet'!$A$218&gt;35,FE6+FD7-FM6,IF(A7&lt;'Données projet'!$A$218,$FB$205^A7,IF(A7='Données projet'!$A$218,'Données projet'!$B$218,FE6+FD7-FM6)))</f>
        <v>13.441333333333334</v>
      </c>
      <c r="FF7" s="17">
        <f>FE7*VLOOKUP('Données projet'!$B$16,Paramètres!$A$1:$I$89,3,0)*VLOOKUP('Données projet'!$B$16,Paramètres!$A$1:$I$89,5,0)</f>
        <v>15.306990400000002</v>
      </c>
      <c r="FG7" s="13">
        <f t="shared" si="47"/>
        <v>5.1347665200314268</v>
      </c>
      <c r="FH7" s="20">
        <f t="shared" si="22"/>
        <v>35.602726635721403</v>
      </c>
      <c r="FI7" s="59">
        <f t="shared" si="23"/>
        <v>211.68884869989836</v>
      </c>
      <c r="FJ7" s="59">
        <f ca="1">AVERAGE(OFFSET($FI$3,0,0,'Données projet'!$E$16+1,1))-AVERAGE(OFFSET($H$3,0,0,'Données projet'!$E$16+1,1))</f>
        <v>640.05156427113661</v>
      </c>
      <c r="FK7" s="59">
        <f t="shared" si="48"/>
        <v>308.77220155372902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7.2723529411764707</v>
      </c>
      <c r="N8" s="13">
        <f>IF('Données projet'!$A$36&gt;35,N7+M8-V7,IF(A8&lt;'Données projet'!$A$36,$K$205^A8,IF(A8='Données projet'!$A$36,'Données projet'!$B$36,N7+M8-V7)))</f>
        <v>4.1241129373989613</v>
      </c>
      <c r="O8" s="13">
        <f>N8*VLOOKUP('Données projet'!$B$9,Paramètres!$A$1:$I$89,3,0)*VLOOKUP('Données projet'!$B$9,Paramètres!$A$1:$I$89,5,0)</f>
        <v>2.4662195365645792</v>
      </c>
      <c r="P8" s="13">
        <f t="shared" si="33"/>
        <v>1.0231782622078491</v>
      </c>
      <c r="Q8" s="20">
        <f t="shared" si="2"/>
        <v>6.0773678328619782</v>
      </c>
      <c r="R8" s="59">
        <f t="shared" si="0"/>
        <v>184.86841570930932</v>
      </c>
      <c r="S8" s="59">
        <f ca="1">AVERAGE(OFFSET($R$3,0,0,'Données projet'!$E$9+1,1))-AVERAGE(OFFSET($H$3,0,0,'Données projet'!$E$9+1,1))</f>
        <v>318.50474972254085</v>
      </c>
      <c r="T8" s="59">
        <f t="shared" si="34"/>
        <v>326.45858332753562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7.7715686274509812</v>
      </c>
      <c r="AI8" s="13">
        <f>IF('Données projet'!$A$62&gt;35,AI7+AH8-AQ7,IF(A8&lt;'Données projet'!$A$62,$AF$205^A8,IF(A8='Données projet'!$A$62,'Données projet'!$B$62,AI7+AH8-AQ7)))</f>
        <v>38.857843137254903</v>
      </c>
      <c r="AJ8" s="13">
        <f>AI8*VLOOKUP('Données projet'!$B$10,Paramètres!$A$1:$I$89,3,0)*VLOOKUP('Données projet'!$B$10,Paramètres!$A$1:$I$89,5,0)</f>
        <v>18.185470588235294</v>
      </c>
      <c r="AK8" s="13">
        <f t="shared" si="35"/>
        <v>5.9792219084824367</v>
      </c>
      <c r="AL8" s="20">
        <f t="shared" si="4"/>
        <v>42.086839431783375</v>
      </c>
      <c r="AM8" s="59">
        <f t="shared" si="5"/>
        <v>220.87788730823073</v>
      </c>
      <c r="AN8" s="59">
        <f ca="1">AVERAGE(OFFSET($AM$3,0,0,'Données projet'!$E$10+1,1))-AVERAGE(OFFSET($H$3,0,0,'Données projet'!$E$10+1,1))</f>
        <v>374.38106339726073</v>
      </c>
      <c r="AO8" s="59">
        <f t="shared" si="36"/>
        <v>296.53283288925957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4.0942857142857143</v>
      </c>
      <c r="BD8" s="12">
        <f>IF('Données projet'!$A$88&gt;35,BD7+BC8-BL7,IF(A8&lt;'Données projet'!$A$88,$BA$205^A8,IF(A8='Données projet'!$A$88,'Données projet'!$B$88,BD7+BC8-BL7)))</f>
        <v>20.471428571428572</v>
      </c>
      <c r="BE8" s="13">
        <f>BD8*VLOOKUP('Données projet'!$B$11,Paramètres!$A$1:$I$89,3,0)*VLOOKUP('Données projet'!$B$11,Paramètres!$A$1:$I$89,5,0)</f>
        <v>18.522548571428572</v>
      </c>
      <c r="BF8" s="13">
        <f t="shared" si="37"/>
        <v>6.0770448389896208</v>
      </c>
      <c r="BG8" s="20">
        <f t="shared" si="7"/>
        <v>42.84429185647835</v>
      </c>
      <c r="BH8" s="59">
        <f t="shared" si="8"/>
        <v>221.6353397329257</v>
      </c>
      <c r="BI8" s="59">
        <f ca="1">AVERAGE(OFFSET($BH$3,0,0,'Données projet'!$E$11+1,1))-AVERAGE(OFFSET($H$3,0,0,'Données projet'!$E$11+1,1))</f>
        <v>681.47578137804555</v>
      </c>
      <c r="BJ8" s="59">
        <f t="shared" si="38"/>
        <v>300.88511065995885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1.4743589743589742</v>
      </c>
      <c r="BY8" s="12">
        <f>IF('Données projet'!$A$114&gt;35,BY7+BX8-CG7,IF(A8&lt;'Données projet'!$A$114,$BV$205^A8,IF(A8='Données projet'!$A$114,'Données projet'!$B$114,BY7+BX8-CG7)))</f>
        <v>3.8397382389415244</v>
      </c>
      <c r="BZ8" s="13">
        <f>BY8*VLOOKUP('Données projet'!$B$12,Paramètres!$A$1:$I$89,3,0)*VLOOKUP('Données projet'!$B$12,Paramètres!$A$1:$I$89,5,0)</f>
        <v>4.0132944073416814</v>
      </c>
      <c r="CA8" s="13">
        <f t="shared" si="39"/>
        <v>1.5732783488999504</v>
      </c>
      <c r="CB8" s="20">
        <f t="shared" si="10"/>
        <v>9.7299475504541739</v>
      </c>
      <c r="CC8" s="59">
        <f t="shared" si="11"/>
        <v>188.52099542690152</v>
      </c>
      <c r="CD8" s="59">
        <f ca="1">AVERAGE(OFFSET($CC$3,0,0,'Données projet'!$E$12+1,1))-AVERAGE(OFFSET($H$3,0,0,'Données projet'!$E$12+1,1))</f>
        <v>290.69667785754848</v>
      </c>
      <c r="CE8" s="59">
        <f t="shared" si="40"/>
        <v>256.28124185489082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4.333333333333333</v>
      </c>
      <c r="CT8" s="12">
        <f>IF('Données projet'!$A$140&gt;35,CT7+CS8-DB7,IF(A8&lt;'Données projet'!$A$140,$CQ$205^A8,IF(A8='Données projet'!$A$140,'Données projet'!$B$140,CT7+CS8-DB7)))</f>
        <v>4.0207257585890561</v>
      </c>
      <c r="CU8" s="17">
        <f>CT8*VLOOKUP('Données projet'!$B$13,Paramètres!$A$1:$I$89,3,0)*VLOOKUP('Données projet'!$B$13,Paramètres!$A$1:$I$89,5,0)</f>
        <v>3.5125060227033997</v>
      </c>
      <c r="CV8" s="13">
        <f t="shared" si="41"/>
        <v>1.3984898368966503</v>
      </c>
      <c r="CW8" s="20">
        <f t="shared" si="13"/>
        <v>8.5533177888034189</v>
      </c>
      <c r="CX8" s="59">
        <f t="shared" si="14"/>
        <v>187.34436566525076</v>
      </c>
      <c r="CY8" s="59">
        <f ca="1">AVERAGE(OFFSET($CX$3,0,0,'Données projet'!$E$13+1,1))-AVERAGE(OFFSET($H$3,0,0,'Données projet'!$E$13+1,1))</f>
        <v>408.246209980743</v>
      </c>
      <c r="CZ8" s="59">
        <f t="shared" si="42"/>
        <v>394.10236303013903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9.300476190476191</v>
      </c>
      <c r="DO8" s="12">
        <f>IF('Données projet'!$A$166&gt;35,DO7+DN8-DW7,IF(A8&lt;'Données projet'!$A$166,$DL$205^A8,IF(A8='Données projet'!$A$166,'Données projet'!$B$166,DO7+DN8-DW7)))</f>
        <v>3.5108363842459145</v>
      </c>
      <c r="DP8" s="17">
        <f>DO8*VLOOKUP('Données projet'!$B$14,Paramètres!$A$1:$I$89,3,0)*VLOOKUP('Données projet'!$B$14,Paramètres!$A$1:$I$89,5,0)</f>
        <v>1.9625575387934662</v>
      </c>
      <c r="DQ8" s="13">
        <f t="shared" si="43"/>
        <v>0.83616105511893679</v>
      </c>
      <c r="DR8" s="20">
        <f t="shared" si="16"/>
        <v>4.8744348843974343</v>
      </c>
      <c r="DS8" s="59">
        <f t="shared" si="17"/>
        <v>183.66548276084478</v>
      </c>
      <c r="DT8" s="59">
        <f ca="1">AVERAGE(OFFSET($DS$3,0,0,'Données projet'!$E$14+1,1))-AVERAGE(OFFSET($H$3,0,0,'Données projet'!$E$14+1,1))</f>
        <v>407.05634973057056</v>
      </c>
      <c r="DU8" s="59">
        <f t="shared" si="44"/>
        <v>375.32891954889965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6.7</v>
      </c>
      <c r="EJ8" s="12">
        <f>IF('Données projet'!$A$192&gt;35,EJ7+EI8-ER7,IF(A8&lt;'Données projet'!$A$192,$EG$205^A8,IF(A8='Données projet'!$A$192,'Données projet'!$B$192,EJ7+EI8-ER7)))</f>
        <v>3.4023281591860344</v>
      </c>
      <c r="EK8" s="17">
        <f>EJ8*VLOOKUP('Données projet'!$B$15,Paramètres!$A$1:$I$89,3,0)*VLOOKUP('Données projet'!$B$15,Paramètres!$A$1:$I$89,5,0)</f>
        <v>1.5038290463602273</v>
      </c>
      <c r="EL8" s="13">
        <f t="shared" si="45"/>
        <v>0.66088307827536719</v>
      </c>
      <c r="EM8" s="20">
        <f t="shared" si="19"/>
        <v>3.7702069504069935</v>
      </c>
      <c r="EN8" s="59">
        <f t="shared" si="20"/>
        <v>182.56125482685434</v>
      </c>
      <c r="EO8" s="59">
        <f ca="1">AVERAGE(OFFSET($EN$3,0,0,'Données projet'!$E$15+1,1))-AVERAGE(OFFSET($H$3,0,0,'Données projet'!$E$15+1,1))</f>
        <v>418.28022549686278</v>
      </c>
      <c r="EP8" s="59">
        <f t="shared" si="46"/>
        <v>354.55070454517158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3.3603333333333336</v>
      </c>
      <c r="FE8" s="12">
        <f>IF('Données projet'!$A$218&gt;35,FE7+FD8-FM7,IF(A8&lt;'Données projet'!$A$218,$FB$205^A8,IF(A8='Données projet'!$A$218,'Données projet'!$B$218,FE7+FD8-FM7)))</f>
        <v>16.801666666666669</v>
      </c>
      <c r="FF8" s="17">
        <f>FE8*VLOOKUP('Données projet'!$B$16,Paramètres!$A$1:$I$89,3,0)*VLOOKUP('Données projet'!$B$16,Paramètres!$A$1:$I$89,5,0)</f>
        <v>19.133738000000005</v>
      </c>
      <c r="FG8" s="13">
        <f t="shared" si="47"/>
        <v>6.2538921626078503</v>
      </c>
      <c r="FH8" s="20">
        <f t="shared" si="22"/>
        <v>44.216789199875343</v>
      </c>
      <c r="FI8" s="59">
        <f t="shared" si="23"/>
        <v>223.00783707632269</v>
      </c>
      <c r="FJ8" s="59">
        <f ca="1">AVERAGE(OFFSET($FI$3,0,0,'Données projet'!$E$16+1,1))-AVERAGE(OFFSET($H$3,0,0,'Données projet'!$E$16+1,1))</f>
        <v>640.05156427113661</v>
      </c>
      <c r="FK8" s="59">
        <f t="shared" si="48"/>
        <v>308.77220155372902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7.2723529411764707</v>
      </c>
      <c r="N9" s="13">
        <f>IF('Données projet'!$A$36&gt;35,N8+M9-V8,IF(A9&lt;'Données projet'!$A$36,$K$205^A9,IF(A9='Données projet'!$A$36,'Données projet'!$B$36,N8+M9-V8)))</f>
        <v>5.4751580420752548</v>
      </c>
      <c r="O9" s="13">
        <f>N9*VLOOKUP('Données projet'!$B$9,Paramètres!$A$1:$I$89,3,0)*VLOOKUP('Données projet'!$B$9,Paramètres!$A$1:$I$89,5,0)</f>
        <v>3.2741445091610024</v>
      </c>
      <c r="P9" s="13">
        <f t="shared" si="33"/>
        <v>1.3142939827983047</v>
      </c>
      <c r="Q9" s="20">
        <f t="shared" si="2"/>
        <v>7.9915303734957925</v>
      </c>
      <c r="R9" s="59">
        <f t="shared" si="0"/>
        <v>189.46178246975478</v>
      </c>
      <c r="S9" s="59">
        <f ca="1">AVERAGE(OFFSET($R$3,0,0,'Données projet'!$E$9+1,1))-AVERAGE(OFFSET($H$3,0,0,'Données projet'!$E$9+1,1))</f>
        <v>318.50474972254085</v>
      </c>
      <c r="T9" s="59">
        <f t="shared" si="34"/>
        <v>326.45858332753562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7.7715686274509812</v>
      </c>
      <c r="AI9" s="13">
        <f>IF('Données projet'!$A$62&gt;35,AI8+AH9-AQ8,IF(A9&lt;'Données projet'!$A$62,$AF$205^A9,IF(A9='Données projet'!$A$62,'Données projet'!$B$62,AI8+AH9-AQ8)))</f>
        <v>46.629411764705885</v>
      </c>
      <c r="AJ9" s="13">
        <f>AI9*VLOOKUP('Données projet'!$B$10,Paramètres!$A$1:$I$89,3,0)*VLOOKUP('Données projet'!$B$10,Paramètres!$A$1:$I$89,5,0)</f>
        <v>21.822564705882353</v>
      </c>
      <c r="AK9" s="13">
        <f t="shared" si="35"/>
        <v>7.0243997831002556</v>
      </c>
      <c r="AL9" s="20">
        <f t="shared" si="4"/>
        <v>50.241796484978039</v>
      </c>
      <c r="AM9" s="59">
        <f t="shared" si="5"/>
        <v>231.71204858123701</v>
      </c>
      <c r="AN9" s="59">
        <f ca="1">AVERAGE(OFFSET($AM$3,0,0,'Données projet'!$E$10+1,1))-AVERAGE(OFFSET($H$3,0,0,'Données projet'!$E$10+1,1))</f>
        <v>374.38106339726073</v>
      </c>
      <c r="AO9" s="59">
        <f t="shared" si="36"/>
        <v>296.53283288925957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4.0942857142857143</v>
      </c>
      <c r="BD9" s="12">
        <f>IF('Données projet'!$A$88&gt;35,BD8+BC9-BL8,IF(A9&lt;'Données projet'!$A$88,$BA$205^A9,IF(A9='Données projet'!$A$88,'Données projet'!$B$88,BD8+BC9-BL8)))</f>
        <v>24.565714285714286</v>
      </c>
      <c r="BE9" s="13">
        <f>BD9*VLOOKUP('Données projet'!$B$11,Paramètres!$A$1:$I$89,3,0)*VLOOKUP('Données projet'!$B$11,Paramètres!$A$1:$I$89,5,0)</f>
        <v>22.227058285714286</v>
      </c>
      <c r="BF9" s="13">
        <f t="shared" si="37"/>
        <v>7.1393223235836674</v>
      </c>
      <c r="BG9" s="20">
        <f t="shared" si="7"/>
        <v>51.146446227860601</v>
      </c>
      <c r="BH9" s="59">
        <f t="shared" si="8"/>
        <v>232.61669832411957</v>
      </c>
      <c r="BI9" s="59">
        <f ca="1">AVERAGE(OFFSET($BH$3,0,0,'Données projet'!$E$11+1,1))-AVERAGE(OFFSET($H$3,0,0,'Données projet'!$E$11+1,1))</f>
        <v>681.47578137804555</v>
      </c>
      <c r="BJ9" s="59">
        <f t="shared" si="38"/>
        <v>300.88511065995885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1.4743589743589742</v>
      </c>
      <c r="BY9" s="12">
        <f>IF('Données projet'!$A$114&gt;35,BY8+BX9-CG8,IF(A9&lt;'Données projet'!$A$114,$BV$205^A9,IF(A9='Données projet'!$A$114,'Données projet'!$B$114,BY8+BX9-CG8)))</f>
        <v>5.0252994127686508</v>
      </c>
      <c r="BZ9" s="13">
        <f>BY9*VLOOKUP('Données projet'!$B$12,Paramètres!$A$1:$I$89,3,0)*VLOOKUP('Données projet'!$B$12,Paramètres!$A$1:$I$89,5,0)</f>
        <v>5.252442946225794</v>
      </c>
      <c r="CA9" s="13">
        <f t="shared" si="39"/>
        <v>1.9955533740165923</v>
      </c>
      <c r="CB9" s="20">
        <f t="shared" si="10"/>
        <v>12.62359359108882</v>
      </c>
      <c r="CC9" s="59">
        <f t="shared" si="11"/>
        <v>194.09384568734779</v>
      </c>
      <c r="CD9" s="59">
        <f ca="1">AVERAGE(OFFSET($CC$3,0,0,'Données projet'!$E$12+1,1))-AVERAGE(OFFSET($H$3,0,0,'Données projet'!$E$12+1,1))</f>
        <v>290.69667785754848</v>
      </c>
      <c r="CE9" s="59">
        <f t="shared" si="40"/>
        <v>256.28124185489082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4.333333333333333</v>
      </c>
      <c r="CT9" s="12">
        <f>IF('Données projet'!$A$140&gt;35,CT8+CS9-DB8,IF(A9&lt;'Données projet'!$A$140,$CQ$205^A9,IF(A9='Données projet'!$A$140,'Données projet'!$B$140,CT8+CS9-DB8)))</f>
        <v>5.310865986667876</v>
      </c>
      <c r="CU9" s="17">
        <f>CT9*VLOOKUP('Données projet'!$B$13,Paramètres!$A$1:$I$89,3,0)*VLOOKUP('Données projet'!$B$13,Paramètres!$A$1:$I$89,5,0)</f>
        <v>4.6395725259530565</v>
      </c>
      <c r="CV9" s="13">
        <f t="shared" si="41"/>
        <v>1.7883478520094751</v>
      </c>
      <c r="CW9" s="20">
        <f t="shared" si="13"/>
        <v>11.195294658284743</v>
      </c>
      <c r="CX9" s="59">
        <f t="shared" si="14"/>
        <v>192.66554675454373</v>
      </c>
      <c r="CY9" s="59">
        <f ca="1">AVERAGE(OFFSET($CX$3,0,0,'Données projet'!$E$13+1,1))-AVERAGE(OFFSET($H$3,0,0,'Données projet'!$E$13+1,1))</f>
        <v>408.246209980743</v>
      </c>
      <c r="CZ9" s="59">
        <f t="shared" si="42"/>
        <v>394.10236303013903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9.300476190476191</v>
      </c>
      <c r="DO9" s="12">
        <f>IF('Données projet'!$A$166&gt;35,DO8+DN9-DW8,IF(A9&lt;'Données projet'!$A$166,$DL$205^A9,IF(A9='Données projet'!$A$166,'Données projet'!$B$166,DO8+DN9-DW8)))</f>
        <v>4.5132844786893322</v>
      </c>
      <c r="DP9" s="17">
        <f>DO9*VLOOKUP('Données projet'!$B$14,Paramètres!$A$1:$I$89,3,0)*VLOOKUP('Données projet'!$B$14,Paramètres!$A$1:$I$89,5,0)</f>
        <v>2.5229260235873365</v>
      </c>
      <c r="DQ9" s="13">
        <f t="shared" si="43"/>
        <v>1.0439384546728099</v>
      </c>
      <c r="DR9" s="20">
        <f t="shared" si="16"/>
        <v>6.2122889663030882</v>
      </c>
      <c r="DS9" s="59">
        <f t="shared" si="17"/>
        <v>187.68254106256205</v>
      </c>
      <c r="DT9" s="59">
        <f ca="1">AVERAGE(OFFSET($DS$3,0,0,'Données projet'!$E$14+1,1))-AVERAGE(OFFSET($H$3,0,0,'Données projet'!$E$14+1,1))</f>
        <v>407.05634973057056</v>
      </c>
      <c r="DU9" s="59">
        <f t="shared" si="44"/>
        <v>375.32891954889965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6.7</v>
      </c>
      <c r="EJ9" s="12">
        <f>IF('Données projet'!$A$192&gt;35,EJ8+EI9-ER8,IF(A9&lt;'Données projet'!$A$192,$EG$205^A9,IF(A9='Données projet'!$A$192,'Données projet'!$B$192,EJ8+EI9-ER8)))</f>
        <v>4.3464174887756801</v>
      </c>
      <c r="EK9" s="17">
        <f>EJ9*VLOOKUP('Données projet'!$B$15,Paramètres!$A$1:$I$89,3,0)*VLOOKUP('Données projet'!$B$15,Paramètres!$A$1:$I$89,5,0)</f>
        <v>1.9211165300388509</v>
      </c>
      <c r="EL9" s="13">
        <f t="shared" si="45"/>
        <v>0.82054068953678427</v>
      </c>
      <c r="EM9" s="20">
        <f t="shared" si="19"/>
        <v>4.775052990760897</v>
      </c>
      <c r="EN9" s="59">
        <f t="shared" si="20"/>
        <v>186.24530508701986</v>
      </c>
      <c r="EO9" s="59">
        <f ca="1">AVERAGE(OFFSET($EN$3,0,0,'Données projet'!$E$15+1,1))-AVERAGE(OFFSET($H$3,0,0,'Données projet'!$E$15+1,1))</f>
        <v>418.28022549686278</v>
      </c>
      <c r="EP9" s="59">
        <f t="shared" si="46"/>
        <v>354.55070454517158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3.3603333333333336</v>
      </c>
      <c r="FE9" s="12">
        <f>IF('Données projet'!$A$218&gt;35,FE8+FD9-FM8,IF(A9&lt;'Données projet'!$A$218,$FB$205^A9,IF(A9='Données projet'!$A$218,'Données projet'!$B$218,FE8+FD9-FM8)))</f>
        <v>20.162000000000003</v>
      </c>
      <c r="FF9" s="17">
        <f>FE9*VLOOKUP('Données projet'!$B$16,Paramètres!$A$1:$I$89,3,0)*VLOOKUP('Données projet'!$B$16,Paramètres!$A$1:$I$89,5,0)</f>
        <v>22.960485600000002</v>
      </c>
      <c r="FG9" s="13">
        <f t="shared" si="47"/>
        <v>7.3470828517392546</v>
      </c>
      <c r="FH9" s="20">
        <f t="shared" si="22"/>
        <v>52.785681720112542</v>
      </c>
      <c r="FI9" s="59">
        <f t="shared" si="23"/>
        <v>234.25593381637151</v>
      </c>
      <c r="FJ9" s="59">
        <f ca="1">AVERAGE(OFFSET($FI$3,0,0,'Données projet'!$E$16+1,1))-AVERAGE(OFFSET($H$3,0,0,'Données projet'!$E$16+1,1))</f>
        <v>640.05156427113661</v>
      </c>
      <c r="FK9" s="59">
        <f t="shared" si="48"/>
        <v>308.77220155372902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7.2723529411764707</v>
      </c>
      <c r="N10" s="13">
        <f>IF('Données projet'!$A$36&gt;35,N9+M10-V9,IF(A10&lt;'Données projet'!$A$36,$K$205^A10,IF(A10='Données projet'!$A$36,'Données projet'!$B$36,N9+M10-V9)))</f>
        <v>7.2688008405045679</v>
      </c>
      <c r="O10" s="13">
        <f>N10*VLOOKUP('Données projet'!$B$9,Paramètres!$A$1:$I$89,3,0)*VLOOKUP('Données projet'!$B$9,Paramètres!$A$1:$I$89,5,0)</f>
        <v>4.3467429026217319</v>
      </c>
      <c r="P10" s="13">
        <f t="shared" si="33"/>
        <v>1.6882382445190491</v>
      </c>
      <c r="Q10" s="20">
        <f t="shared" si="2"/>
        <v>10.510925497936862</v>
      </c>
      <c r="R10" s="59">
        <f t="shared" si="0"/>
        <v>194.63510643367309</v>
      </c>
      <c r="S10" s="59">
        <f ca="1">AVERAGE(OFFSET($R$3,0,0,'Données projet'!$E$9+1,1))-AVERAGE(OFFSET($H$3,0,0,'Données projet'!$E$9+1,1))</f>
        <v>318.50474972254085</v>
      </c>
      <c r="T10" s="59">
        <f t="shared" si="34"/>
        <v>326.45858332753562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7.7715686274509812</v>
      </c>
      <c r="AI10" s="13">
        <f>IF('Données projet'!$A$62&gt;35,AI9+AH10-AQ9,IF(A10&lt;'Données projet'!$A$62,$AF$205^A10,IF(A10='Données projet'!$A$62,'Données projet'!$B$62,AI9+AH10-AQ9)))</f>
        <v>54.400980392156868</v>
      </c>
      <c r="AJ10" s="13">
        <f>AI10*VLOOKUP('Données projet'!$B$10,Paramètres!$A$1:$I$89,3,0)*VLOOKUP('Données projet'!$B$10,Paramètres!$A$1:$I$89,5,0)</f>
        <v>25.459658823529416</v>
      </c>
      <c r="AK10" s="13">
        <f t="shared" si="35"/>
        <v>8.0493980491936057</v>
      </c>
      <c r="AL10" s="20">
        <f t="shared" si="4"/>
        <v>58.361607386659266</v>
      </c>
      <c r="AM10" s="59">
        <f t="shared" si="5"/>
        <v>242.48578832239551</v>
      </c>
      <c r="AN10" s="59">
        <f ca="1">AVERAGE(OFFSET($AM$3,0,0,'Données projet'!$E$10+1,1))-AVERAGE(OFFSET($H$3,0,0,'Données projet'!$E$10+1,1))</f>
        <v>374.38106339726073</v>
      </c>
      <c r="AO10" s="59">
        <f t="shared" si="36"/>
        <v>296.53283288925957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4.0942857142857143</v>
      </c>
      <c r="BD10" s="12">
        <f>IF('Données projet'!$A$88&gt;35,BD9+BC10-BL9,IF(A10&lt;'Données projet'!$A$88,$BA$205^A10,IF(A10='Données projet'!$A$88,'Données projet'!$B$88,BD9+BC10-BL9)))</f>
        <v>28.66</v>
      </c>
      <c r="BE10" s="13">
        <f>BD10*VLOOKUP('Données projet'!$B$11,Paramètres!$A$1:$I$89,3,0)*VLOOKUP('Données projet'!$B$11,Paramètres!$A$1:$I$89,5,0)</f>
        <v>25.931567999999999</v>
      </c>
      <c r="BF10" s="13">
        <f t="shared" si="37"/>
        <v>8.1810900516051337</v>
      </c>
      <c r="BG10" s="20">
        <f t="shared" si="7"/>
        <v>59.412879439878935</v>
      </c>
      <c r="BH10" s="59">
        <f t="shared" si="8"/>
        <v>243.53706037561517</v>
      </c>
      <c r="BI10" s="59">
        <f ca="1">AVERAGE(OFFSET($BH$3,0,0,'Données projet'!$E$11+1,1))-AVERAGE(OFFSET($H$3,0,0,'Données projet'!$E$11+1,1))</f>
        <v>681.47578137804555</v>
      </c>
      <c r="BJ10" s="59">
        <f t="shared" si="38"/>
        <v>300.88511065995885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1.4743589743589742</v>
      </c>
      <c r="BY10" s="12">
        <f>IF('Données projet'!$A$114&gt;35,BY9+BX10-CG9,IF(A10&lt;'Données projet'!$A$114,$BV$205^A10,IF(A10='Données projet'!$A$114,'Données projet'!$B$114,BY9+BX10-CG9)))</f>
        <v>6.5769155646751702</v>
      </c>
      <c r="BZ10" s="13">
        <f>BY10*VLOOKUP('Données projet'!$B$12,Paramètres!$A$1:$I$89,3,0)*VLOOKUP('Données projet'!$B$12,Paramètres!$A$1:$I$89,5,0)</f>
        <v>6.8741921481984889</v>
      </c>
      <c r="CA10" s="13">
        <f t="shared" si="39"/>
        <v>2.531168925914105</v>
      </c>
      <c r="CB10" s="20">
        <f t="shared" si="10"/>
        <v>16.381003870746099</v>
      </c>
      <c r="CC10" s="59">
        <f t="shared" si="11"/>
        <v>200.50518480648233</v>
      </c>
      <c r="CD10" s="59">
        <f ca="1">AVERAGE(OFFSET($CC$3,0,0,'Données projet'!$E$12+1,1))-AVERAGE(OFFSET($H$3,0,0,'Données projet'!$E$12+1,1))</f>
        <v>290.69667785754848</v>
      </c>
      <c r="CE10" s="59">
        <f t="shared" si="40"/>
        <v>256.28124185489082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4.333333333333333</v>
      </c>
      <c r="CT10" s="12">
        <f>IF('Données projet'!$A$140&gt;35,CT9+CS10-DB9,IF(A10&lt;'Données projet'!$A$140,$CQ$205^A10,IF(A10='Données projet'!$A$140,'Données projet'!$B$140,CT9+CS10-DB9)))</f>
        <v>7.0149767036694106</v>
      </c>
      <c r="CU10" s="17">
        <f>CT10*VLOOKUP('Données projet'!$B$13,Paramètres!$A$1:$I$89,3,0)*VLOOKUP('Données projet'!$B$13,Paramètres!$A$1:$I$89,5,0)</f>
        <v>6.1282836483255982</v>
      </c>
      <c r="CV10" s="13">
        <f t="shared" si="41"/>
        <v>2.2868868656807066</v>
      </c>
      <c r="CW10" s="20">
        <f t="shared" si="13"/>
        <v>14.656421978560983</v>
      </c>
      <c r="CX10" s="59">
        <f t="shared" si="14"/>
        <v>198.78060291429722</v>
      </c>
      <c r="CY10" s="59">
        <f ca="1">AVERAGE(OFFSET($CX$3,0,0,'Données projet'!$E$13+1,1))-AVERAGE(OFFSET($H$3,0,0,'Données projet'!$E$13+1,1))</f>
        <v>408.246209980743</v>
      </c>
      <c r="CZ10" s="59">
        <f t="shared" si="42"/>
        <v>394.10236303013903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9.300476190476191</v>
      </c>
      <c r="DO10" s="12">
        <f>IF('Données projet'!$A$166&gt;35,DO9+DN10-DW9,IF(A10&lt;'Données projet'!$A$166,$DL$205^A10,IF(A10='Données projet'!$A$166,'Données projet'!$B$166,DO9+DN10-DW9)))</f>
        <v>5.8019612867699086</v>
      </c>
      <c r="DP10" s="17">
        <f>DO10*VLOOKUP('Données projet'!$B$14,Paramètres!$A$1:$I$89,3,0)*VLOOKUP('Données projet'!$B$14,Paramètres!$A$1:$I$89,5,0)</f>
        <v>3.2432963593043791</v>
      </c>
      <c r="DQ10" s="13">
        <f t="shared" si="43"/>
        <v>1.3033463953779079</v>
      </c>
      <c r="DR10" s="20">
        <f t="shared" si="16"/>
        <v>7.9187361310716495</v>
      </c>
      <c r="DS10" s="59">
        <f t="shared" si="17"/>
        <v>192.04291706680789</v>
      </c>
      <c r="DT10" s="59">
        <f ca="1">AVERAGE(OFFSET($DS$3,0,0,'Données projet'!$E$14+1,1))-AVERAGE(OFFSET($H$3,0,0,'Données projet'!$E$14+1,1))</f>
        <v>407.05634973057056</v>
      </c>
      <c r="DU10" s="59">
        <f t="shared" si="44"/>
        <v>375.32891954889965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6.7</v>
      </c>
      <c r="EJ10" s="12">
        <f>IF('Données projet'!$A$192&gt;35,EJ9+EI10-ER9,IF(A10&lt;'Données projet'!$A$192,$EG$205^A10,IF(A10='Données projet'!$A$192,'Données projet'!$B$192,EJ9+EI10-ER9)))</f>
        <v>5.5524758644253227</v>
      </c>
      <c r="EK10" s="17">
        <f>EJ10*VLOOKUP('Données projet'!$B$15,Paramètres!$A$1:$I$89,3,0)*VLOOKUP('Données projet'!$B$15,Paramètres!$A$1:$I$89,5,0)</f>
        <v>2.4541943320759931</v>
      </c>
      <c r="EL10" s="13">
        <f t="shared" si="45"/>
        <v>1.0187687433948276</v>
      </c>
      <c r="EM10" s="20">
        <f t="shared" si="19"/>
        <v>6.0487440231116798</v>
      </c>
      <c r="EN10" s="59">
        <f t="shared" si="20"/>
        <v>190.17292495884791</v>
      </c>
      <c r="EO10" s="59">
        <f ca="1">AVERAGE(OFFSET($EN$3,0,0,'Données projet'!$E$15+1,1))-AVERAGE(OFFSET($H$3,0,0,'Données projet'!$E$15+1,1))</f>
        <v>418.28022549686278</v>
      </c>
      <c r="EP10" s="59">
        <f t="shared" si="46"/>
        <v>354.55070454517158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3.3603333333333336</v>
      </c>
      <c r="FE10" s="12">
        <f>IF('Données projet'!$A$218&gt;35,FE9+FD10-FM9,IF(A10&lt;'Données projet'!$A$218,$FB$205^A10,IF(A10='Données projet'!$A$218,'Données projet'!$B$218,FE9+FD10-FM9)))</f>
        <v>23.522333333333336</v>
      </c>
      <c r="FF10" s="17">
        <f>FE10*VLOOKUP('Données projet'!$B$16,Paramètres!$A$1:$I$89,3,0)*VLOOKUP('Données projet'!$B$16,Paramètres!$A$1:$I$89,5,0)</f>
        <v>26.787233200000003</v>
      </c>
      <c r="FG10" s="13">
        <f t="shared" si="47"/>
        <v>8.4191669324310805</v>
      </c>
      <c r="FH10" s="20">
        <f t="shared" si="22"/>
        <v>61.317813563984139</v>
      </c>
      <c r="FI10" s="59">
        <f t="shared" si="23"/>
        <v>245.44199449972038</v>
      </c>
      <c r="FJ10" s="59">
        <f ca="1">AVERAGE(OFFSET($FI$3,0,0,'Données projet'!$E$16+1,1))-AVERAGE(OFFSET($H$3,0,0,'Données projet'!$E$16+1,1))</f>
        <v>640.05156427113661</v>
      </c>
      <c r="FK10" s="59">
        <f t="shared" si="48"/>
        <v>308.77220155372902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7.2723529411764707</v>
      </c>
      <c r="N11" s="13">
        <f>IF('Données projet'!$A$36&gt;35,N10+M11-V10,IF(A11&lt;'Données projet'!$A$36,$K$205^A11,IF(A11='Données projet'!$A$36,'Données projet'!$B$36,N10+M11-V10)))</f>
        <v>9.6500348031768652</v>
      </c>
      <c r="O11" s="13">
        <f>N11*VLOOKUP('Données projet'!$B$9,Paramètres!$A$1:$I$89,3,0)*VLOOKUP('Données projet'!$B$9,Paramètres!$A$1:$I$89,5,0)</f>
        <v>5.770720812299766</v>
      </c>
      <c r="P11" s="13">
        <f t="shared" si="33"/>
        <v>2.168577508198295</v>
      </c>
      <c r="Q11" s="20">
        <f t="shared" si="2"/>
        <v>13.827611241534122</v>
      </c>
      <c r="R11" s="59">
        <f t="shared" si="0"/>
        <v>200.58088410775468</v>
      </c>
      <c r="S11" s="59">
        <f ca="1">AVERAGE(OFFSET($R$3,0,0,'Données projet'!$E$9+1,1))-AVERAGE(OFFSET($H$3,0,0,'Données projet'!$E$9+1,1))</f>
        <v>318.50474972254085</v>
      </c>
      <c r="T11" s="59">
        <f t="shared" si="34"/>
        <v>326.45858332753562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7.7715686274509812</v>
      </c>
      <c r="AI11" s="13">
        <f>IF('Données projet'!$A$62&gt;35,AI10+AH11-AQ10,IF(A11&lt;'Données projet'!$A$62,$AF$205^A11,IF(A11='Données projet'!$A$62,'Données projet'!$B$62,AI10+AH11-AQ10)))</f>
        <v>62.17254901960785</v>
      </c>
      <c r="AJ11" s="13">
        <f>AI11*VLOOKUP('Données projet'!$B$10,Paramètres!$A$1:$I$89,3,0)*VLOOKUP('Données projet'!$B$10,Paramètres!$A$1:$I$89,5,0)</f>
        <v>29.096752941176472</v>
      </c>
      <c r="AK11" s="13">
        <f t="shared" si="35"/>
        <v>9.0574321312547941</v>
      </c>
      <c r="AL11" s="20">
        <f t="shared" si="4"/>
        <v>66.451872334484463</v>
      </c>
      <c r="AM11" s="59">
        <f t="shared" si="5"/>
        <v>253.20514520070503</v>
      </c>
      <c r="AN11" s="59">
        <f ca="1">AVERAGE(OFFSET($AM$3,0,0,'Données projet'!$E$10+1,1))-AVERAGE(OFFSET($H$3,0,0,'Données projet'!$E$10+1,1))</f>
        <v>374.38106339726073</v>
      </c>
      <c r="AO11" s="59">
        <f t="shared" si="36"/>
        <v>296.53283288925957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4.0942857142857143</v>
      </c>
      <c r="BD11" s="12">
        <f>IF('Données projet'!$A$88&gt;35,BD10+BC11-BL10,IF(A11&lt;'Données projet'!$A$88,$BA$205^A11,IF(A11='Données projet'!$A$88,'Données projet'!$B$88,BD10+BC11-BL10)))</f>
        <v>32.754285714285714</v>
      </c>
      <c r="BE11" s="13">
        <f>BD11*VLOOKUP('Données projet'!$B$11,Paramètres!$A$1:$I$89,3,0)*VLOOKUP('Données projet'!$B$11,Paramètres!$A$1:$I$89,5,0)</f>
        <v>29.636077714285712</v>
      </c>
      <c r="BF11" s="13">
        <f t="shared" si="37"/>
        <v>9.205616053429063</v>
      </c>
      <c r="BG11" s="20">
        <f t="shared" si="7"/>
        <v>67.649283312103222</v>
      </c>
      <c r="BH11" s="59">
        <f t="shared" si="8"/>
        <v>254.40255617832378</v>
      </c>
      <c r="BI11" s="59">
        <f ca="1">AVERAGE(OFFSET($BH$3,0,0,'Données projet'!$E$11+1,1))-AVERAGE(OFFSET($H$3,0,0,'Données projet'!$E$11+1,1))</f>
        <v>681.47578137804555</v>
      </c>
      <c r="BJ11" s="59">
        <f t="shared" si="38"/>
        <v>300.88511065995885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1.4743589743589742</v>
      </c>
      <c r="BY11" s="12">
        <f>IF('Données projet'!$A$114&gt;35,BY10+BX11-CG10,IF(A11&lt;'Données projet'!$A$114,$BV$205^A11,IF(A11='Données projet'!$A$114,'Données projet'!$B$114,BY10+BX11-CG10)))</f>
        <v>8.6076101724325031</v>
      </c>
      <c r="BZ11" s="13">
        <f>BY11*VLOOKUP('Données projet'!$B$12,Paramètres!$A$1:$I$89,3,0)*VLOOKUP('Données projet'!$B$12,Paramètres!$A$1:$I$89,5,0)</f>
        <v>8.9966741522264542</v>
      </c>
      <c r="CA11" s="13">
        <f t="shared" si="39"/>
        <v>3.2105461146437353</v>
      </c>
      <c r="CB11" s="20">
        <f t="shared" si="10"/>
        <v>21.260908631465579</v>
      </c>
      <c r="CC11" s="59">
        <f t="shared" si="11"/>
        <v>208.01418149768614</v>
      </c>
      <c r="CD11" s="59">
        <f ca="1">AVERAGE(OFFSET($CC$3,0,0,'Données projet'!$E$12+1,1))-AVERAGE(OFFSET($H$3,0,0,'Données projet'!$E$12+1,1))</f>
        <v>290.69667785754848</v>
      </c>
      <c r="CE11" s="59">
        <f t="shared" si="40"/>
        <v>256.28124185489082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4.333333333333333</v>
      </c>
      <c r="CT11" s="12">
        <f>IF('Données projet'!$A$140&gt;35,CT10+CS11-DB10,IF(A11&lt;'Données projet'!$A$140,$CQ$205^A11,IF(A11='Données projet'!$A$140,'Données projet'!$B$140,CT10+CS11-DB10)))</f>
        <v>9.2658896452214261</v>
      </c>
      <c r="CU11" s="17">
        <f>CT11*VLOOKUP('Données projet'!$B$13,Paramètres!$A$1:$I$89,3,0)*VLOOKUP('Données projet'!$B$13,Paramètres!$A$1:$I$89,5,0)</f>
        <v>8.0946811940654388</v>
      </c>
      <c r="CV11" s="13">
        <f t="shared" si="41"/>
        <v>2.924403957846573</v>
      </c>
      <c r="CW11" s="20">
        <f t="shared" si="13"/>
        <v>19.191573306246756</v>
      </c>
      <c r="CX11" s="59">
        <f t="shared" si="14"/>
        <v>205.94484617246732</v>
      </c>
      <c r="CY11" s="59">
        <f ca="1">AVERAGE(OFFSET($CX$3,0,0,'Données projet'!$E$13+1,1))-AVERAGE(OFFSET($H$3,0,0,'Données projet'!$E$13+1,1))</f>
        <v>408.246209980743</v>
      </c>
      <c r="CZ11" s="59">
        <f t="shared" si="42"/>
        <v>394.10236303013903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9.300476190476191</v>
      </c>
      <c r="DO11" s="12">
        <f>IF('Données projet'!$A$166&gt;35,DO10+DN11-DW10,IF(A11&lt;'Données projet'!$A$166,$DL$205^A11,IF(A11='Données projet'!$A$166,'Données projet'!$B$166,DO10+DN11-DW10)))</f>
        <v>7.4585936100691947</v>
      </c>
      <c r="DP11" s="17">
        <f>DO11*VLOOKUP('Données projet'!$B$14,Paramètres!$A$1:$I$89,3,0)*VLOOKUP('Données projet'!$B$14,Paramètres!$A$1:$I$89,5,0)</f>
        <v>4.1693538280286795</v>
      </c>
      <c r="DQ11" s="13">
        <f t="shared" si="43"/>
        <v>1.6272145342868833</v>
      </c>
      <c r="DR11" s="20">
        <f t="shared" si="16"/>
        <v>10.095689897699605</v>
      </c>
      <c r="DS11" s="59">
        <f t="shared" si="17"/>
        <v>196.84896276392016</v>
      </c>
      <c r="DT11" s="59">
        <f ca="1">AVERAGE(OFFSET($DS$3,0,0,'Données projet'!$E$14+1,1))-AVERAGE(OFFSET($H$3,0,0,'Données projet'!$E$14+1,1))</f>
        <v>407.05634973057056</v>
      </c>
      <c r="DU11" s="59">
        <f t="shared" si="44"/>
        <v>375.32891954889965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6.7</v>
      </c>
      <c r="EJ11" s="12">
        <f>IF('Données projet'!$A$192&gt;35,EJ10+EI11-ER10,IF(A11&lt;'Données projet'!$A$192,$EG$205^A11,IF(A11='Données projet'!$A$192,'Données projet'!$B$192,EJ10+EI11-ER10)))</f>
        <v>7.0931953280240609</v>
      </c>
      <c r="EK11" s="17">
        <f>EJ11*VLOOKUP('Données projet'!$B$15,Paramètres!$A$1:$I$89,3,0)*VLOOKUP('Données projet'!$B$15,Paramètres!$A$1:$I$89,5,0)</f>
        <v>3.1351923349866353</v>
      </c>
      <c r="EL11" s="13">
        <f t="shared" si="45"/>
        <v>1.2648851735849818</v>
      </c>
      <c r="EM11" s="20">
        <f t="shared" si="19"/>
        <v>7.6634683274288991</v>
      </c>
      <c r="EN11" s="59">
        <f t="shared" si="20"/>
        <v>194.41674119364944</v>
      </c>
      <c r="EO11" s="59">
        <f ca="1">AVERAGE(OFFSET($EN$3,0,0,'Données projet'!$E$15+1,1))-AVERAGE(OFFSET($H$3,0,0,'Données projet'!$E$15+1,1))</f>
        <v>418.28022549686278</v>
      </c>
      <c r="EP11" s="59">
        <f t="shared" si="46"/>
        <v>354.55070454517158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3.3603333333333336</v>
      </c>
      <c r="FE11" s="12">
        <f>IF('Données projet'!$A$218&gt;35,FE10+FD11-FM10,IF(A11&lt;'Données projet'!$A$218,$FB$205^A11,IF(A11='Données projet'!$A$218,'Données projet'!$B$218,FE10+FD11-FM10)))</f>
        <v>26.882666666666669</v>
      </c>
      <c r="FF11" s="17">
        <f>FE11*VLOOKUP('Données projet'!$B$16,Paramètres!$A$1:$I$89,3,0)*VLOOKUP('Données projet'!$B$16,Paramètres!$A$1:$I$89,5,0)</f>
        <v>30.613980800000004</v>
      </c>
      <c r="FG11" s="13">
        <f t="shared" si="47"/>
        <v>9.473507537602579</v>
      </c>
      <c r="FH11" s="20">
        <f t="shared" si="22"/>
        <v>69.819042187991144</v>
      </c>
      <c r="FI11" s="59">
        <f t="shared" si="23"/>
        <v>256.57231505421169</v>
      </c>
      <c r="FJ11" s="59">
        <f ca="1">AVERAGE(OFFSET($FI$3,0,0,'Données projet'!$E$16+1,1))-AVERAGE(OFFSET($H$3,0,0,'Données projet'!$E$16+1,1))</f>
        <v>640.05156427113661</v>
      </c>
      <c r="FK11" s="59">
        <f t="shared" si="48"/>
        <v>308.77220155372902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7.2723529411764707</v>
      </c>
      <c r="N12" s="13">
        <f>IF('Données projet'!$A$36&gt;35,N11+M12-V11,IF(A12&lt;'Données projet'!$A$36,$K$205^A12,IF(A12='Données projet'!$A$36,'Données projet'!$B$36,N11+M12-V11)))</f>
        <v>12.811352758986937</v>
      </c>
      <c r="O12" s="13">
        <f>N12*VLOOKUP('Données projet'!$B$9,Paramètres!$A$1:$I$89,3,0)*VLOOKUP('Données projet'!$B$9,Paramètres!$A$1:$I$89,5,0)</f>
        <v>7.6611889498741892</v>
      </c>
      <c r="P12" s="13">
        <f t="shared" si="33"/>
        <v>2.7855833880858762</v>
      </c>
      <c r="Q12" s="20">
        <f t="shared" si="2"/>
        <v>18.194795155280449</v>
      </c>
      <c r="R12" s="59">
        <f t="shared" si="0"/>
        <v>207.55275390783652</v>
      </c>
      <c r="S12" s="59">
        <f ca="1">AVERAGE(OFFSET($R$3,0,0,'Données projet'!$E$9+1,1))-AVERAGE(OFFSET($H$3,0,0,'Données projet'!$E$9+1,1))</f>
        <v>318.50474972254085</v>
      </c>
      <c r="T12" s="59">
        <f t="shared" si="34"/>
        <v>326.45858332753562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7.7715686274509812</v>
      </c>
      <c r="AI12" s="13">
        <f>IF('Données projet'!$A$62&gt;35,AI11+AH12-AQ11,IF(A12&lt;'Données projet'!$A$62,$AF$205^A12,IF(A12='Données projet'!$A$62,'Données projet'!$B$62,AI11+AH12-AQ11)))</f>
        <v>69.944117647058832</v>
      </c>
      <c r="AJ12" s="13">
        <f>AI12*VLOOKUP('Données projet'!$B$10,Paramètres!$A$1:$I$89,3,0)*VLOOKUP('Données projet'!$B$10,Paramètres!$A$1:$I$89,5,0)</f>
        <v>32.733847058823535</v>
      </c>
      <c r="AK12" s="13">
        <f t="shared" si="35"/>
        <v>10.050865407189132</v>
      </c>
      <c r="AL12" s="20">
        <f t="shared" si="4"/>
        <v>74.51670754497205</v>
      </c>
      <c r="AM12" s="59">
        <f t="shared" si="5"/>
        <v>263.87466629752811</v>
      </c>
      <c r="AN12" s="59">
        <f ca="1">AVERAGE(OFFSET($AM$3,0,0,'Données projet'!$E$10+1,1))-AVERAGE(OFFSET($H$3,0,0,'Données projet'!$E$10+1,1))</f>
        <v>374.38106339726073</v>
      </c>
      <c r="AO12" s="59">
        <f t="shared" si="36"/>
        <v>296.53283288925957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4.0942857142857143</v>
      </c>
      <c r="BD12" s="12">
        <f>IF('Données projet'!$A$88&gt;35,BD11+BC12-BL11,IF(A12&lt;'Données projet'!$A$88,$BA$205^A12,IF(A12='Données projet'!$A$88,'Données projet'!$B$88,BD11+BC12-BL11)))</f>
        <v>36.848571428571432</v>
      </c>
      <c r="BE12" s="13">
        <f>BD12*VLOOKUP('Données projet'!$B$11,Paramètres!$A$1:$I$89,3,0)*VLOOKUP('Données projet'!$B$11,Paramètres!$A$1:$I$89,5,0)</f>
        <v>33.340587428571432</v>
      </c>
      <c r="BF12" s="13">
        <f t="shared" si="37"/>
        <v>10.215302372953809</v>
      </c>
      <c r="BG12" s="20">
        <f t="shared" si="7"/>
        <v>75.85984140432312</v>
      </c>
      <c r="BH12" s="59">
        <f t="shared" si="8"/>
        <v>265.21780015687921</v>
      </c>
      <c r="BI12" s="59">
        <f ca="1">AVERAGE(OFFSET($BH$3,0,0,'Données projet'!$E$11+1,1))-AVERAGE(OFFSET($H$3,0,0,'Données projet'!$E$11+1,1))</f>
        <v>681.47578137804555</v>
      </c>
      <c r="BJ12" s="59">
        <f t="shared" si="38"/>
        <v>300.88511065995885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1.4743589743589742</v>
      </c>
      <c r="BY12" s="12">
        <f>IF('Données projet'!$A$114&gt;35,BY11+BX12-CG11,IF(A12&lt;'Données projet'!$A$114,$BV$205^A12,IF(A12='Données projet'!$A$114,'Données projet'!$B$114,BY11+BX12-CG11)))</f>
        <v>11.265303948633376</v>
      </c>
      <c r="BZ12" s="13">
        <f>BY12*VLOOKUP('Données projet'!$B$12,Paramètres!$A$1:$I$89,3,0)*VLOOKUP('Données projet'!$B$12,Paramètres!$A$1:$I$89,5,0)</f>
        <v>11.774495687111605</v>
      </c>
      <c r="CA12" s="13">
        <f t="shared" si="39"/>
        <v>4.0722712137956174</v>
      </c>
      <c r="CB12" s="20">
        <f t="shared" si="10"/>
        <v>27.599785685746742</v>
      </c>
      <c r="CC12" s="59">
        <f t="shared" si="11"/>
        <v>216.95774443830283</v>
      </c>
      <c r="CD12" s="59">
        <f ca="1">AVERAGE(OFFSET($CC$3,0,0,'Données projet'!$E$12+1,1))-AVERAGE(OFFSET($H$3,0,0,'Données projet'!$E$12+1,1))</f>
        <v>290.69667785754848</v>
      </c>
      <c r="CE12" s="59">
        <f t="shared" si="40"/>
        <v>256.28124185489082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4.333333333333333</v>
      </c>
      <c r="CT12" s="12">
        <f>IF('Données projet'!$A$140&gt;35,CT11+CS12-DB11,IF(A12&lt;'Données projet'!$A$140,$CQ$205^A12,IF(A12='Données projet'!$A$140,'Données projet'!$B$140,CT11+CS12-DB11)))</f>
        <v>12.23905859480781</v>
      </c>
      <c r="CU12" s="17">
        <f>CT12*VLOOKUP('Données projet'!$B$13,Paramètres!$A$1:$I$89,3,0)*VLOOKUP('Données projet'!$B$13,Paramètres!$A$1:$I$89,5,0)</f>
        <v>10.692041588424106</v>
      </c>
      <c r="CV12" s="13">
        <f t="shared" si="41"/>
        <v>3.739642147152348</v>
      </c>
      <c r="CW12" s="20">
        <f t="shared" si="13"/>
        <v>25.135182506128984</v>
      </c>
      <c r="CX12" s="59">
        <f t="shared" si="14"/>
        <v>214.49314125868506</v>
      </c>
      <c r="CY12" s="59">
        <f ca="1">AVERAGE(OFFSET($CX$3,0,0,'Données projet'!$E$13+1,1))-AVERAGE(OFFSET($H$3,0,0,'Données projet'!$E$13+1,1))</f>
        <v>408.246209980743</v>
      </c>
      <c r="CZ12" s="59">
        <f t="shared" si="42"/>
        <v>394.10236303013903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9.300476190476191</v>
      </c>
      <c r="DO12" s="12">
        <f>IF('Données projet'!$A$166&gt;35,DO11+DN12-DW11,IF(A12&lt;'Données projet'!$A$166,$DL$205^A12,IF(A12='Données projet'!$A$166,'Données projet'!$B$166,DO11+DN12-DW11)))</f>
        <v>9.5882436801187154</v>
      </c>
      <c r="DP12" s="17">
        <f>DO12*VLOOKUP('Données projet'!$B$14,Paramètres!$A$1:$I$89,3,0)*VLOOKUP('Données projet'!$B$14,Paramètres!$A$1:$I$89,5,0)</f>
        <v>5.3598282171863616</v>
      </c>
      <c r="DQ12" s="13">
        <f t="shared" si="43"/>
        <v>2.0315605659282445</v>
      </c>
      <c r="DR12" s="20">
        <f t="shared" si="16"/>
        <v>12.873335463924604</v>
      </c>
      <c r="DS12" s="59">
        <f t="shared" si="17"/>
        <v>202.23129421648068</v>
      </c>
      <c r="DT12" s="59">
        <f ca="1">AVERAGE(OFFSET($DS$3,0,0,'Données projet'!$E$14+1,1))-AVERAGE(OFFSET($H$3,0,0,'Données projet'!$E$14+1,1))</f>
        <v>407.05634973057056</v>
      </c>
      <c r="DU12" s="59">
        <f t="shared" si="44"/>
        <v>375.32891954889965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6.7</v>
      </c>
      <c r="EJ12" s="12">
        <f>IF('Données projet'!$A$192&gt;35,EJ11+EI12-ER11,IF(A12&lt;'Données projet'!$A$192,$EG$205^A12,IF(A12='Données projet'!$A$192,'Données projet'!$B$192,EJ11+EI12-ER11)))</f>
        <v>9.0614387509291365</v>
      </c>
      <c r="EK12" s="17">
        <f>EJ12*VLOOKUP('Données projet'!$B$15,Paramètres!$A$1:$I$89,3,0)*VLOOKUP('Données projet'!$B$15,Paramètres!$A$1:$I$89,5,0)</f>
        <v>4.0051559279106792</v>
      </c>
      <c r="EL12" s="13">
        <f t="shared" si="45"/>
        <v>1.5704589611020769</v>
      </c>
      <c r="EM12" s="20">
        <f t="shared" si="19"/>
        <v>9.7108625983638834</v>
      </c>
      <c r="EN12" s="59">
        <f t="shared" si="20"/>
        <v>199.06882135091996</v>
      </c>
      <c r="EO12" s="59">
        <f ca="1">AVERAGE(OFFSET($EN$3,0,0,'Données projet'!$E$15+1,1))-AVERAGE(OFFSET($H$3,0,0,'Données projet'!$E$15+1,1))</f>
        <v>418.28022549686278</v>
      </c>
      <c r="EP12" s="59">
        <f t="shared" si="46"/>
        <v>354.55070454517158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3.3603333333333336</v>
      </c>
      <c r="FE12" s="12">
        <f>IF('Données projet'!$A$218&gt;35,FE11+FD12-FM11,IF(A12&lt;'Données projet'!$A$218,$FB$205^A12,IF(A12='Données projet'!$A$218,'Données projet'!$B$218,FE11+FD12-FM11)))</f>
        <v>30.243000000000002</v>
      </c>
      <c r="FF12" s="17">
        <f>FE12*VLOOKUP('Données projet'!$B$16,Paramètres!$A$1:$I$89,3,0)*VLOOKUP('Données projet'!$B$16,Paramètres!$A$1:$I$89,5,0)</f>
        <v>34.440728400000005</v>
      </c>
      <c r="FG12" s="13">
        <f t="shared" si="47"/>
        <v>10.512576612731865</v>
      </c>
      <c r="FH12" s="20">
        <f t="shared" si="22"/>
        <v>78.293672897174659</v>
      </c>
      <c r="FI12" s="59">
        <f t="shared" si="23"/>
        <v>267.65163164973075</v>
      </c>
      <c r="FJ12" s="59">
        <f ca="1">AVERAGE(OFFSET($FI$3,0,0,'Données projet'!$E$16+1,1))-AVERAGE(OFFSET($H$3,0,0,'Données projet'!$E$16+1,1))</f>
        <v>640.05156427113661</v>
      </c>
      <c r="FK12" s="59">
        <f t="shared" si="48"/>
        <v>308.77220155372902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7.2723529411764707</v>
      </c>
      <c r="N13" s="13">
        <f>IF('Données projet'!$A$36&gt;35,N12+M13-V12,IF(A13&lt;'Données projet'!$A$36,$K$205^A13,IF(A13='Données projet'!$A$36,'Données projet'!$B$36,N12+M13-V12)))</f>
        <v>17.008307520421493</v>
      </c>
      <c r="O13" s="13">
        <f>N13*VLOOKUP('Données projet'!$B$9,Paramètres!$A$1:$I$89,3,0)*VLOOKUP('Données projet'!$B$9,Paramètres!$A$1:$I$89,5,0)</f>
        <v>10.170967897212053</v>
      </c>
      <c r="P13" s="13">
        <f t="shared" si="33"/>
        <v>3.5781404089295137</v>
      </c>
      <c r="Q13" s="20">
        <f t="shared" si="2"/>
        <v>23.946363633196558</v>
      </c>
      <c r="R13" s="59">
        <f t="shared" si="0"/>
        <v>215.88502561824146</v>
      </c>
      <c r="S13" s="59">
        <f ca="1">AVERAGE(OFFSET($R$3,0,0,'Données projet'!$E$9+1,1))-AVERAGE(OFFSET($H$3,0,0,'Données projet'!$E$9+1,1))</f>
        <v>318.50474972254085</v>
      </c>
      <c r="T13" s="59">
        <f t="shared" si="34"/>
        <v>326.45858332753562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7.7715686274509812</v>
      </c>
      <c r="AI13" s="13">
        <f>IF('Données projet'!$A$62&gt;35,AI12+AH13-AQ12,IF(A13&lt;'Données projet'!$A$62,$AF$205^A13,IF(A13='Données projet'!$A$62,'Données projet'!$B$62,AI12+AH13-AQ12)))</f>
        <v>77.715686274509807</v>
      </c>
      <c r="AJ13" s="13">
        <f>AI13*VLOOKUP('Données projet'!$B$10,Paramètres!$A$1:$I$89,3,0)*VLOOKUP('Données projet'!$B$10,Paramètres!$A$1:$I$89,5,0)</f>
        <v>36.370941176470588</v>
      </c>
      <c r="AK13" s="13">
        <f t="shared" si="35"/>
        <v>11.031505249173463</v>
      </c>
      <c r="AL13" s="20">
        <f t="shared" si="4"/>
        <v>82.559260857996719</v>
      </c>
      <c r="AM13" s="59">
        <f t="shared" si="5"/>
        <v>274.49792284304158</v>
      </c>
      <c r="AN13" s="59">
        <f ca="1">AVERAGE(OFFSET($AM$3,0,0,'Données projet'!$E$10+1,1))-AVERAGE(OFFSET($H$3,0,0,'Données projet'!$E$10+1,1))</f>
        <v>374.38106339726073</v>
      </c>
      <c r="AO13" s="59">
        <f t="shared" si="36"/>
        <v>296.53283288925957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4.0942857142857143</v>
      </c>
      <c r="BD13" s="12">
        <f>IF('Données projet'!$A$88&gt;35,BD12+BC13-BL12,IF(A13&lt;'Données projet'!$A$88,$BA$205^A13,IF(A13='Données projet'!$A$88,'Données projet'!$B$88,BD12+BC13-BL12)))</f>
        <v>40.94285714285715</v>
      </c>
      <c r="BE13" s="13">
        <f>BD13*VLOOKUP('Données projet'!$B$11,Paramètres!$A$1:$I$89,3,0)*VLOOKUP('Données projet'!$B$11,Paramètres!$A$1:$I$89,5,0)</f>
        <v>37.045097142857145</v>
      </c>
      <c r="BF13" s="13">
        <f t="shared" si="37"/>
        <v>11.211985951829543</v>
      </c>
      <c r="BG13" s="20">
        <f t="shared" si="7"/>
        <v>84.04775305657931</v>
      </c>
      <c r="BH13" s="59">
        <f t="shared" si="8"/>
        <v>275.98641504162418</v>
      </c>
      <c r="BI13" s="59">
        <f ca="1">AVERAGE(OFFSET($BH$3,0,0,'Données projet'!$E$11+1,1))-AVERAGE(OFFSET($H$3,0,0,'Données projet'!$E$11+1,1))</f>
        <v>681.47578137804555</v>
      </c>
      <c r="BJ13" s="59">
        <f t="shared" si="38"/>
        <v>300.88511065995885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14.743589743589743</v>
      </c>
      <c r="BW13" s="12">
        <f>VLOOKUP(A13,'Données projet'!$A$113:$I$133,9,0)</f>
        <v>1.4743589743589742</v>
      </c>
      <c r="BX13" s="12">
        <f t="array" ref="BX13">INDEX(BW:BW,MIN(IF(ISNUMBER(BW13:BW209),ROW(BW13:BW209),"")))</f>
        <v>1.4743589743589742</v>
      </c>
      <c r="BY13" s="12">
        <f>IF('Données projet'!$A$114&gt;35,BY12+BX13-CG12,IF(A13&lt;'Données projet'!$A$114,$BV$205^A13,IF(A13='Données projet'!$A$114,'Données projet'!$B$114,BY12+BX13-CG12)))</f>
        <v>14.743589743589743</v>
      </c>
      <c r="BZ13" s="13">
        <f>BY13*VLOOKUP('Données projet'!$B$12,Paramètres!$A$1:$I$89,3,0)*VLOOKUP('Données projet'!$B$12,Paramètres!$A$1:$I$89,5,0)</f>
        <v>15.41</v>
      </c>
      <c r="CA13" s="13">
        <f t="shared" si="39"/>
        <v>5.1652872273253818</v>
      </c>
      <c r="CB13" s="20">
        <f t="shared" si="10"/>
        <v>35.835291920925037</v>
      </c>
      <c r="CC13" s="59">
        <f t="shared" si="11"/>
        <v>227.77395390596993</v>
      </c>
      <c r="CD13" s="59">
        <f ca="1">AVERAGE(OFFSET($CC$3,0,0,'Données projet'!$E$12+1,1))-AVERAGE(OFFSET($H$3,0,0,'Données projet'!$E$12+1,1))</f>
        <v>290.69667785754848</v>
      </c>
      <c r="CE13" s="59">
        <f t="shared" si="40"/>
        <v>256.28124185489082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0.215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4.333333333333333</v>
      </c>
      <c r="CT13" s="12">
        <f>IF('Données projet'!$A$140&gt;35,CT12+CS13-DB12,IF(A13&lt;'Données projet'!$A$140,$CQ$205^A13,IF(A13='Données projet'!$A$140,'Données projet'!$B$140,CT12+CS13-DB12)))</f>
        <v>16.166235625781542</v>
      </c>
      <c r="CU13" s="17">
        <f>CT13*VLOOKUP('Données projet'!$B$13,Paramètres!$A$1:$I$89,3,0)*VLOOKUP('Données projet'!$B$13,Paramètres!$A$1:$I$89,5,0)</f>
        <v>14.122823442682758</v>
      </c>
      <c r="CV13" s="13">
        <f t="shared" si="41"/>
        <v>4.7821448713454142</v>
      </c>
      <c r="CW13" s="20">
        <f t="shared" si="13"/>
        <v>32.9261531469324</v>
      </c>
      <c r="CX13" s="59">
        <f t="shared" si="14"/>
        <v>224.86481513197728</v>
      </c>
      <c r="CY13" s="59">
        <f ca="1">AVERAGE(OFFSET($CX$3,0,0,'Données projet'!$E$13+1,1))-AVERAGE(OFFSET($H$3,0,0,'Données projet'!$E$13+1,1))</f>
        <v>408.246209980743</v>
      </c>
      <c r="CZ13" s="59">
        <f t="shared" si="42"/>
        <v>394.10236303013903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9.300476190476191</v>
      </c>
      <c r="DO13" s="12">
        <f>IF('Données projet'!$A$166&gt;35,DO12+DN13-DW12,IF(A13&lt;'Données projet'!$A$166,$DL$205^A13,IF(A13='Données projet'!$A$166,'Données projet'!$B$166,DO12+DN13-DW12)))</f>
        <v>12.325972116944925</v>
      </c>
      <c r="DP13" s="17">
        <f>DO13*VLOOKUP('Données projet'!$B$14,Paramètres!$A$1:$I$89,3,0)*VLOOKUP('Données projet'!$B$14,Paramètres!$A$1:$I$89,5,0)</f>
        <v>6.8902184133722137</v>
      </c>
      <c r="DQ13" s="13">
        <f t="shared" si="43"/>
        <v>2.5363824167434852</v>
      </c>
      <c r="DR13" s="20">
        <f t="shared" si="16"/>
        <v>16.417996445784841</v>
      </c>
      <c r="DS13" s="59">
        <f t="shared" si="17"/>
        <v>208.35665843082973</v>
      </c>
      <c r="DT13" s="59">
        <f ca="1">AVERAGE(OFFSET($DS$3,0,0,'Données projet'!$E$14+1,1))-AVERAGE(OFFSET($H$3,0,0,'Données projet'!$E$14+1,1))</f>
        <v>407.05634973057056</v>
      </c>
      <c r="DU13" s="59">
        <f t="shared" si="44"/>
        <v>375.32891954889965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6.7</v>
      </c>
      <c r="EJ13" s="12">
        <f>IF('Données projet'!$A$192&gt;35,EJ12+EI13-ER12,IF(A13&lt;'Données projet'!$A$192,$EG$205^A13,IF(A13='Données projet'!$A$192,'Données projet'!$B$192,EJ12+EI13-ER12)))</f>
        <v>11.575836902790231</v>
      </c>
      <c r="EK13" s="17">
        <f>EJ13*VLOOKUP('Données projet'!$B$15,Paramètres!$A$1:$I$89,3,0)*VLOOKUP('Données projet'!$B$15,Paramètres!$A$1:$I$89,5,0)</f>
        <v>5.1165199110332829</v>
      </c>
      <c r="EL13" s="13">
        <f t="shared" si="45"/>
        <v>1.9498539472287628</v>
      </c>
      <c r="EM13" s="20">
        <f t="shared" si="19"/>
        <v>12.30726780313973</v>
      </c>
      <c r="EN13" s="59">
        <f t="shared" si="20"/>
        <v>204.24592978818461</v>
      </c>
      <c r="EO13" s="59">
        <f ca="1">AVERAGE(OFFSET($EN$3,0,0,'Données projet'!$E$15+1,1))-AVERAGE(OFFSET($H$3,0,0,'Données projet'!$E$15+1,1))</f>
        <v>418.28022549686278</v>
      </c>
      <c r="EP13" s="59">
        <f t="shared" si="46"/>
        <v>354.55070454517158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3.3603333333333336</v>
      </c>
      <c r="FE13" s="12">
        <f>IF('Données projet'!$A$218&gt;35,FE12+FD13-FM12,IF(A13&lt;'Données projet'!$A$218,$FB$205^A13,IF(A13='Données projet'!$A$218,'Données projet'!$B$218,FE12+FD13-FM12)))</f>
        <v>33.603333333333339</v>
      </c>
      <c r="FF13" s="17">
        <f>FE13*VLOOKUP('Données projet'!$B$16,Paramètres!$A$1:$I$89,3,0)*VLOOKUP('Données projet'!$B$16,Paramètres!$A$1:$I$89,5,0)</f>
        <v>38.267476000000009</v>
      </c>
      <c r="FG13" s="13">
        <f t="shared" si="47"/>
        <v>11.538264556078891</v>
      </c>
      <c r="FH13" s="20">
        <f t="shared" si="22"/>
        <v>86.744998135170761</v>
      </c>
      <c r="FI13" s="59">
        <f t="shared" si="23"/>
        <v>278.68366012021568</v>
      </c>
      <c r="FJ13" s="59">
        <f ca="1">AVERAGE(OFFSET($FI$3,0,0,'Données projet'!$E$16+1,1))-AVERAGE(OFFSET($H$3,0,0,'Données projet'!$E$16+1,1))</f>
        <v>640.05156427113661</v>
      </c>
      <c r="FK13" s="59">
        <f t="shared" si="48"/>
        <v>308.77220155372902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7.2723529411764707</v>
      </c>
      <c r="N14" s="13">
        <f>IF('Données projet'!$A$36&gt;35,N13+M14-V13,IF(A14&lt;'Données projet'!$A$36,$K$205^A14,IF(A14='Données projet'!$A$36,'Données projet'!$B$36,N13+M14-V13)))</f>
        <v>22.580170115626522</v>
      </c>
      <c r="O14" s="13">
        <f>N14*VLOOKUP('Données projet'!$B$9,Paramètres!$A$1:$I$89,3,0)*VLOOKUP('Données projet'!$B$9,Paramètres!$A$1:$I$89,5,0)</f>
        <v>13.502941729144661</v>
      </c>
      <c r="P14" s="13">
        <f t="shared" si="33"/>
        <v>4.5961965600361916</v>
      </c>
      <c r="Q14" s="20">
        <f t="shared" si="2"/>
        <v>31.522665853656651</v>
      </c>
      <c r="R14" s="59">
        <f t="shared" si="0"/>
        <v>226.01846446277079</v>
      </c>
      <c r="S14" s="59">
        <f ca="1">AVERAGE(OFFSET($R$3,0,0,'Données projet'!$E$9+1,1))-AVERAGE(OFFSET($H$3,0,0,'Données projet'!$E$9+1,1))</f>
        <v>318.50474972254085</v>
      </c>
      <c r="T14" s="59">
        <f t="shared" si="34"/>
        <v>326.45858332753562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7.7715686274509812</v>
      </c>
      <c r="AI14" s="13">
        <f>IF('Données projet'!$A$62&gt;35,AI13+AH14-AQ13,IF(A14&lt;'Données projet'!$A$62,$AF$205^A14,IF(A14='Données projet'!$A$62,'Données projet'!$B$62,AI13+AH14-AQ13)))</f>
        <v>85.487254901960782</v>
      </c>
      <c r="AJ14" s="13">
        <f>AI14*VLOOKUP('Données projet'!$B$10,Paramètres!$A$1:$I$89,3,0)*VLOOKUP('Données projet'!$B$10,Paramètres!$A$1:$I$89,5,0)</f>
        <v>40.008035294117647</v>
      </c>
      <c r="AK14" s="13">
        <f t="shared" si="35"/>
        <v>12.000776637389773</v>
      </c>
      <c r="AL14" s="20">
        <f t="shared" si="4"/>
        <v>90.582014114042082</v>
      </c>
      <c r="AM14" s="59">
        <f t="shared" si="5"/>
        <v>285.07781272315623</v>
      </c>
      <c r="AN14" s="59">
        <f ca="1">AVERAGE(OFFSET($AM$3,0,0,'Données projet'!$E$10+1,1))-AVERAGE(OFFSET($H$3,0,0,'Données projet'!$E$10+1,1))</f>
        <v>374.38106339726073</v>
      </c>
      <c r="AO14" s="59">
        <f t="shared" si="36"/>
        <v>296.53283288925957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4.0942857142857143</v>
      </c>
      <c r="BD14" s="12">
        <f>IF('Données projet'!$A$88&gt;35,BD13+BC14-BL13,IF(A14&lt;'Données projet'!$A$88,$BA$205^A14,IF(A14='Données projet'!$A$88,'Données projet'!$B$88,BD13+BC14-BL13)))</f>
        <v>45.037142857142868</v>
      </c>
      <c r="BE14" s="13">
        <f>BD14*VLOOKUP('Données projet'!$B$11,Paramètres!$A$1:$I$89,3,0)*VLOOKUP('Données projet'!$B$11,Paramètres!$A$1:$I$89,5,0)</f>
        <v>40.749606857142865</v>
      </c>
      <c r="BF14" s="13">
        <f t="shared" si="37"/>
        <v>12.197115083595657</v>
      </c>
      <c r="BG14" s="20">
        <f t="shared" si="7"/>
        <v>92.215540713452924</v>
      </c>
      <c r="BH14" s="59">
        <f t="shared" si="8"/>
        <v>286.71133932256703</v>
      </c>
      <c r="BI14" s="59">
        <f ca="1">AVERAGE(OFFSET($BH$3,0,0,'Données projet'!$E$11+1,1))-AVERAGE(OFFSET($H$3,0,0,'Données projet'!$E$11+1,1))</f>
        <v>681.47578137804555</v>
      </c>
      <c r="BJ14" s="59">
        <f t="shared" si="38"/>
        <v>300.88511065995885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4.7435897435897427</v>
      </c>
      <c r="BY14" s="12">
        <f>IF('Données projet'!$A$114&gt;35,BY13+BX14-CG13,IF(A14&lt;'Données projet'!$A$114,$BV$205^A14,IF(A14='Données projet'!$A$114,'Données projet'!$B$114,BY13+BX14-CG13)))</f>
        <v>19.487179487179485</v>
      </c>
      <c r="BZ14" s="13">
        <f>BY14*VLOOKUP('Données projet'!$B$12,Paramètres!$A$1:$I$89,3,0)*VLOOKUP('Données projet'!$B$12,Paramètres!$A$1:$I$89,5,0)</f>
        <v>20.368000000000002</v>
      </c>
      <c r="CA14" s="13">
        <f t="shared" si="39"/>
        <v>6.609047283991738</v>
      </c>
      <c r="CB14" s="20">
        <f t="shared" si="10"/>
        <v>46.985024019618947</v>
      </c>
      <c r="CC14" s="59">
        <f t="shared" si="11"/>
        <v>241.48082262873308</v>
      </c>
      <c r="CD14" s="59">
        <f ca="1">AVERAGE(OFFSET($CC$3,0,0,'Données projet'!$E$12+1,1))-AVERAGE(OFFSET($H$3,0,0,'Données projet'!$E$12+1,1))</f>
        <v>290.69667785754848</v>
      </c>
      <c r="CE14" s="59">
        <f t="shared" si="40"/>
        <v>256.28124185489082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4.333333333333333</v>
      </c>
      <c r="CT14" s="12">
        <f>IF('Données projet'!$A$140&gt;35,CT13+CS14-DB13,IF(A14&lt;'Données projet'!$A$140,$CQ$205^A14,IF(A14='Données projet'!$A$140,'Données projet'!$B$140,CT13+CS14-DB13)))</f>
        <v>21.353535673010011</v>
      </c>
      <c r="CU14" s="17">
        <f>CT14*VLOOKUP('Données projet'!$B$13,Paramètres!$A$1:$I$89,3,0)*VLOOKUP('Données projet'!$B$13,Paramètres!$A$1:$I$89,5,0)</f>
        <v>18.654448763941549</v>
      </c>
      <c r="CV14" s="13">
        <f t="shared" si="41"/>
        <v>6.1152668278566198</v>
      </c>
      <c r="CW14" s="20">
        <f t="shared" si="13"/>
        <v>43.140587989048477</v>
      </c>
      <c r="CX14" s="59">
        <f t="shared" si="14"/>
        <v>237.6363865981626</v>
      </c>
      <c r="CY14" s="59">
        <f ca="1">AVERAGE(OFFSET($CX$3,0,0,'Données projet'!$E$13+1,1))-AVERAGE(OFFSET($H$3,0,0,'Données projet'!$E$13+1,1))</f>
        <v>408.246209980743</v>
      </c>
      <c r="CZ14" s="59">
        <f t="shared" si="42"/>
        <v>394.10236303013903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9.300476190476191</v>
      </c>
      <c r="DO14" s="12">
        <f>IF('Données projet'!$A$166&gt;35,DO13+DN14-DW13,IF(A14&lt;'Données projet'!$A$166,$DL$205^A14,IF(A14='Données projet'!$A$166,'Données projet'!$B$166,DO13+DN14-DW13)))</f>
        <v>15.845403360234862</v>
      </c>
      <c r="DP14" s="17">
        <f>DO14*VLOOKUP('Données projet'!$B$14,Paramètres!$A$1:$I$89,3,0)*VLOOKUP('Données projet'!$B$14,Paramètres!$A$1:$I$89,5,0)</f>
        <v>8.8575804783712879</v>
      </c>
      <c r="DQ14" s="13">
        <f t="shared" si="43"/>
        <v>3.1666472916725947</v>
      </c>
      <c r="DR14" s="20">
        <f t="shared" si="16"/>
        <v>20.942196699493092</v>
      </c>
      <c r="DS14" s="59">
        <f t="shared" si="17"/>
        <v>215.43799530860721</v>
      </c>
      <c r="DT14" s="59">
        <f ca="1">AVERAGE(OFFSET($DS$3,0,0,'Données projet'!$E$14+1,1))-AVERAGE(OFFSET($H$3,0,0,'Données projet'!$E$14+1,1))</f>
        <v>407.05634973057056</v>
      </c>
      <c r="DU14" s="59">
        <f t="shared" si="44"/>
        <v>375.32891954889965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6.7</v>
      </c>
      <c r="EJ14" s="12">
        <f>IF('Données projet'!$A$192&gt;35,EJ13+EI14-ER13,IF(A14&lt;'Données projet'!$A$192,$EG$205^A14,IF(A14='Données projet'!$A$192,'Données projet'!$B$192,EJ13+EI14-ER13)))</f>
        <v>14.787938613640149</v>
      </c>
      <c r="EK14" s="17">
        <f>EJ14*VLOOKUP('Données projet'!$B$15,Paramètres!$A$1:$I$89,3,0)*VLOOKUP('Données projet'!$B$15,Paramètres!$A$1:$I$89,5,0)</f>
        <v>6.5362688672289471</v>
      </c>
      <c r="EL14" s="13">
        <f t="shared" si="45"/>
        <v>2.4209040221309337</v>
      </c>
      <c r="EM14" s="20">
        <f t="shared" si="19"/>
        <v>15.600409448968461</v>
      </c>
      <c r="EN14" s="59">
        <f t="shared" si="20"/>
        <v>210.0962080580826</v>
      </c>
      <c r="EO14" s="59">
        <f ca="1">AVERAGE(OFFSET($EN$3,0,0,'Données projet'!$E$15+1,1))-AVERAGE(OFFSET($H$3,0,0,'Données projet'!$E$15+1,1))</f>
        <v>418.28022549686278</v>
      </c>
      <c r="EP14" s="59">
        <f t="shared" si="46"/>
        <v>354.55070454517158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3.3603333333333336</v>
      </c>
      <c r="FE14" s="12">
        <f>IF('Données projet'!$A$218&gt;35,FE13+FD14-FM13,IF(A14&lt;'Données projet'!$A$218,$FB$205^A14,IF(A14='Données projet'!$A$218,'Données projet'!$B$218,FE13+FD14-FM13)))</f>
        <v>36.963666666666676</v>
      </c>
      <c r="FF14" s="17">
        <f>FE14*VLOOKUP('Données projet'!$B$16,Paramètres!$A$1:$I$89,3,0)*VLOOKUP('Données projet'!$B$16,Paramètres!$A$1:$I$89,5,0)</f>
        <v>42.094223600000007</v>
      </c>
      <c r="FG14" s="13">
        <f t="shared" si="47"/>
        <v>12.552061807792626</v>
      </c>
      <c r="FH14" s="20">
        <f t="shared" si="22"/>
        <v>95.175613751905487</v>
      </c>
      <c r="FI14" s="59">
        <f t="shared" si="23"/>
        <v>289.67141236101963</v>
      </c>
      <c r="FJ14" s="59">
        <f ca="1">AVERAGE(OFFSET($FI$3,0,0,'Données projet'!$E$16+1,1))-AVERAGE(OFFSET($H$3,0,0,'Données projet'!$E$16+1,1))</f>
        <v>640.05156427113661</v>
      </c>
      <c r="FK14" s="59">
        <f t="shared" si="48"/>
        <v>308.77220155372902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7.2723529411764707</v>
      </c>
      <c r="N15" s="13">
        <f>IF('Données projet'!$A$36&gt;35,N14+M15-V14,IF(A15&lt;'Données projet'!$A$36,$K$205^A15,IF(A15='Données projet'!$A$36,'Données projet'!$B$36,N14+M15-V14)))</f>
        <v>29.977355585701336</v>
      </c>
      <c r="O15" s="13">
        <f>N15*VLOOKUP('Données projet'!$B$9,Paramètres!$A$1:$I$89,3,0)*VLOOKUP('Données projet'!$B$9,Paramètres!$A$1:$I$89,5,0)</f>
        <v>17.9264586402494</v>
      </c>
      <c r="P15" s="13">
        <f t="shared" si="33"/>
        <v>5.9039110834693549</v>
      </c>
      <c r="Q15" s="20">
        <f t="shared" si="2"/>
        <v>41.504560602143492</v>
      </c>
      <c r="R15" s="59">
        <f t="shared" si="0"/>
        <v>238.53433805487637</v>
      </c>
      <c r="S15" s="59">
        <f ca="1">AVERAGE(OFFSET($R$3,0,0,'Données projet'!$E$9+1,1))-AVERAGE(OFFSET($H$3,0,0,'Données projet'!$E$9+1,1))</f>
        <v>318.50474972254085</v>
      </c>
      <c r="T15" s="59">
        <f t="shared" si="34"/>
        <v>326.45858332753562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7.7715686274509812</v>
      </c>
      <c r="AI15" s="13">
        <f>IF('Données projet'!$A$62&gt;35,AI14+AH15-AQ14,IF(A15&lt;'Données projet'!$A$62,$AF$205^A15,IF(A15='Données projet'!$A$62,'Données projet'!$B$62,AI14+AH15-AQ14)))</f>
        <v>93.258823529411757</v>
      </c>
      <c r="AJ15" s="13">
        <f>AI15*VLOOKUP('Données projet'!$B$10,Paramètres!$A$1:$I$89,3,0)*VLOOKUP('Données projet'!$B$10,Paramètres!$A$1:$I$89,5,0)</f>
        <v>43.6451294117647</v>
      </c>
      <c r="AK15" s="13">
        <f t="shared" si="35"/>
        <v>12.959830604318677</v>
      </c>
      <c r="AL15" s="20">
        <f t="shared" si="4"/>
        <v>98.586972028011871</v>
      </c>
      <c r="AM15" s="59">
        <f t="shared" si="5"/>
        <v>295.61674948074472</v>
      </c>
      <c r="AN15" s="59">
        <f ca="1">AVERAGE(OFFSET($AM$3,0,0,'Données projet'!$E$10+1,1))-AVERAGE(OFFSET($H$3,0,0,'Données projet'!$E$10+1,1))</f>
        <v>374.38106339726073</v>
      </c>
      <c r="AO15" s="59">
        <f t="shared" si="36"/>
        <v>296.53283288925957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4.0942857142857143</v>
      </c>
      <c r="BD15" s="12">
        <f>IF('Données projet'!$A$88&gt;35,BD14+BC15-BL14,IF(A15&lt;'Données projet'!$A$88,$BA$205^A15,IF(A15='Données projet'!$A$88,'Données projet'!$B$88,BD14+BC15-BL14)))</f>
        <v>49.131428571428586</v>
      </c>
      <c r="BE15" s="13">
        <f>BD15*VLOOKUP('Données projet'!$B$11,Paramètres!$A$1:$I$89,3,0)*VLOOKUP('Données projet'!$B$11,Paramètres!$A$1:$I$89,5,0)</f>
        <v>44.454116571428585</v>
      </c>
      <c r="BF15" s="13">
        <f t="shared" si="37"/>
        <v>13.17185963217473</v>
      </c>
      <c r="BG15" s="20">
        <f t="shared" si="7"/>
        <v>100.36524188794243</v>
      </c>
      <c r="BH15" s="59">
        <f t="shared" si="8"/>
        <v>297.39501934067528</v>
      </c>
      <c r="BI15" s="59">
        <f ca="1">AVERAGE(OFFSET($BH$3,0,0,'Données projet'!$E$11+1,1))-AVERAGE(OFFSET($H$3,0,0,'Données projet'!$E$11+1,1))</f>
        <v>681.47578137804555</v>
      </c>
      <c r="BJ15" s="59">
        <f t="shared" si="38"/>
        <v>300.88511065995885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4.7435897435897427</v>
      </c>
      <c r="BY15" s="12">
        <f>IF('Données projet'!$A$114&gt;35,BY14+BX15-CG14,IF(A15&lt;'Données projet'!$A$114,$BV$205^A15,IF(A15='Données projet'!$A$114,'Données projet'!$B$114,BY14+BX15-CG14)))</f>
        <v>24.230769230769226</v>
      </c>
      <c r="BZ15" s="13">
        <f>BY15*VLOOKUP('Données projet'!$B$12,Paramètres!$A$1:$I$89,3,0)*VLOOKUP('Données projet'!$B$12,Paramètres!$A$1:$I$89,5,0)</f>
        <v>25.325999999999997</v>
      </c>
      <c r="CA15" s="13">
        <f t="shared" si="39"/>
        <v>8.0120474907190182</v>
      </c>
      <c r="CB15" s="20">
        <f t="shared" si="10"/>
        <v>58.063766046335616</v>
      </c>
      <c r="CC15" s="59">
        <f t="shared" si="11"/>
        <v>255.09354349906849</v>
      </c>
      <c r="CD15" s="59">
        <f ca="1">AVERAGE(OFFSET($CC$3,0,0,'Données projet'!$E$12+1,1))-AVERAGE(OFFSET($H$3,0,0,'Données projet'!$E$12+1,1))</f>
        <v>290.69667785754848</v>
      </c>
      <c r="CE15" s="59">
        <f t="shared" si="40"/>
        <v>256.28124185489082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4.333333333333333</v>
      </c>
      <c r="CT15" s="12">
        <f>IF('Données projet'!$A$140&gt;35,CT14+CS15-DB14,IF(A15&lt;'Données projet'!$A$140,$CQ$205^A15,IF(A15='Données projet'!$A$140,'Données projet'!$B$140,CT14+CS15-DB14)))</f>
        <v>28.205297528345746</v>
      </c>
      <c r="CU15" s="17">
        <f>CT15*VLOOKUP('Données projet'!$B$13,Paramètres!$A$1:$I$89,3,0)*VLOOKUP('Données projet'!$B$13,Paramètres!$A$1:$I$89,5,0)</f>
        <v>24.640147920762846</v>
      </c>
      <c r="CV15" s="13">
        <f t="shared" si="41"/>
        <v>7.8200241485704662</v>
      </c>
      <c r="CW15" s="20">
        <f t="shared" si="13"/>
        <v>56.534799687422179</v>
      </c>
      <c r="CX15" s="59">
        <f t="shared" si="14"/>
        <v>253.56457714015505</v>
      </c>
      <c r="CY15" s="59">
        <f ca="1">AVERAGE(OFFSET($CX$3,0,0,'Données projet'!$E$13+1,1))-AVERAGE(OFFSET($H$3,0,0,'Données projet'!$E$13+1,1))</f>
        <v>408.246209980743</v>
      </c>
      <c r="CZ15" s="59">
        <f t="shared" si="42"/>
        <v>394.10236303013903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9.300476190476191</v>
      </c>
      <c r="DO15" s="12">
        <f>IF('Données projet'!$A$166&gt;35,DO14+DN15-DW14,IF(A15&lt;'Données projet'!$A$166,$DL$205^A15,IF(A15='Données projet'!$A$166,'Données projet'!$B$166,DO14+DN15-DW14)))</f>
        <v>20.369736785578038</v>
      </c>
      <c r="DP15" s="17">
        <f>DO15*VLOOKUP('Données projet'!$B$14,Paramètres!$A$1:$I$89,3,0)*VLOOKUP('Données projet'!$B$14,Paramètres!$A$1:$I$89,5,0)</f>
        <v>11.386682863138123</v>
      </c>
      <c r="DQ15" s="13">
        <f t="shared" si="43"/>
        <v>3.9535264886168462</v>
      </c>
      <c r="DR15" s="20">
        <f t="shared" si="16"/>
        <v>26.717531287639904</v>
      </c>
      <c r="DS15" s="59">
        <f t="shared" si="17"/>
        <v>223.74730874037277</v>
      </c>
      <c r="DT15" s="59">
        <f ca="1">AVERAGE(OFFSET($DS$3,0,0,'Données projet'!$E$14+1,1))-AVERAGE(OFFSET($H$3,0,0,'Données projet'!$E$14+1,1))</f>
        <v>407.05634973057056</v>
      </c>
      <c r="DU15" s="59">
        <f t="shared" si="44"/>
        <v>375.32891954889965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6.7</v>
      </c>
      <c r="EJ15" s="12">
        <f>IF('Données projet'!$A$192&gt;35,EJ14+EI15-ER14,IF(A15&lt;'Données projet'!$A$192,$EG$205^A15,IF(A15='Données projet'!$A$192,'Données projet'!$B$192,EJ14+EI15-ER14)))</f>
        <v>18.891344986735092</v>
      </c>
      <c r="EK15" s="17">
        <f>EJ15*VLOOKUP('Données projet'!$B$15,Paramètres!$A$1:$I$89,3,0)*VLOOKUP('Données projet'!$B$15,Paramètres!$A$1:$I$89,5,0)</f>
        <v>8.3499744841369115</v>
      </c>
      <c r="EL15" s="13">
        <f t="shared" si="45"/>
        <v>3.0057514270232302</v>
      </c>
      <c r="EM15" s="20">
        <f t="shared" si="19"/>
        <v>19.77788929527058</v>
      </c>
      <c r="EN15" s="59">
        <f t="shared" si="20"/>
        <v>216.80766674800344</v>
      </c>
      <c r="EO15" s="59">
        <f ca="1">AVERAGE(OFFSET($EN$3,0,0,'Données projet'!$E$15+1,1))-AVERAGE(OFFSET($H$3,0,0,'Données projet'!$E$15+1,1))</f>
        <v>418.28022549686278</v>
      </c>
      <c r="EP15" s="59">
        <f t="shared" si="46"/>
        <v>354.55070454517158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3.3603333333333336</v>
      </c>
      <c r="FE15" s="12">
        <f>IF('Données projet'!$A$218&gt;35,FE14+FD15-FM14,IF(A15&lt;'Données projet'!$A$218,$FB$205^A15,IF(A15='Données projet'!$A$218,'Données projet'!$B$218,FE14+FD15-FM14)))</f>
        <v>40.324000000000012</v>
      </c>
      <c r="FF15" s="17">
        <f>FE15*VLOOKUP('Données projet'!$B$16,Paramètres!$A$1:$I$89,3,0)*VLOOKUP('Données projet'!$B$16,Paramètres!$A$1:$I$89,5,0)</f>
        <v>45.920971200000018</v>
      </c>
      <c r="FG15" s="13">
        <f t="shared" si="47"/>
        <v>13.555172275859681</v>
      </c>
      <c r="FH15" s="20">
        <f t="shared" si="22"/>
        <v>103.58761655378898</v>
      </c>
      <c r="FI15" s="59">
        <f t="shared" si="23"/>
        <v>300.61739400652186</v>
      </c>
      <c r="FJ15" s="59">
        <f ca="1">AVERAGE(OFFSET($FI$3,0,0,'Données projet'!$E$16+1,1))-AVERAGE(OFFSET($H$3,0,0,'Données projet'!$E$16+1,1))</f>
        <v>640.05156427113661</v>
      </c>
      <c r="FK15" s="59">
        <f t="shared" si="48"/>
        <v>308.77220155372902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7.2723529411764707</v>
      </c>
      <c r="N16" s="13">
        <f>IF('Données projet'!$A$36&gt;35,N15+M16-V15,IF(A16&lt;'Données projet'!$A$36,$K$205^A16,IF(A16='Données projet'!$A$36,'Données projet'!$B$36,N15+M16-V15)))</f>
        <v>39.797833378131948</v>
      </c>
      <c r="O16" s="13">
        <f>N16*VLOOKUP('Données projet'!$B$9,Paramètres!$A$1:$I$89,3,0)*VLOOKUP('Données projet'!$B$9,Paramètres!$A$1:$I$89,5,0)</f>
        <v>23.799104360122907</v>
      </c>
      <c r="P16" s="13">
        <f t="shared" si="33"/>
        <v>7.583697874147882</v>
      </c>
      <c r="Q16" s="20">
        <f t="shared" si="2"/>
        <v>54.658380558021626</v>
      </c>
      <c r="R16" s="59">
        <f t="shared" si="0"/>
        <v>254.19938080964045</v>
      </c>
      <c r="S16" s="59">
        <f ca="1">AVERAGE(OFFSET($R$3,0,0,'Données projet'!$E$9+1,1))-AVERAGE(OFFSET($H$3,0,0,'Données projet'!$E$9+1,1))</f>
        <v>318.50474972254085</v>
      </c>
      <c r="T16" s="59">
        <f t="shared" si="34"/>
        <v>326.45858332753562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7.7715686274509812</v>
      </c>
      <c r="AI16" s="13">
        <f>IF('Données projet'!$A$62&gt;35,AI15+AH16-AQ15,IF(A16&lt;'Données projet'!$A$62,$AF$205^A16,IF(A16='Données projet'!$A$62,'Données projet'!$B$62,AI15+AH16-AQ15)))</f>
        <v>101.03039215686273</v>
      </c>
      <c r="AJ16" s="13">
        <f>AI16*VLOOKUP('Données projet'!$B$10,Paramètres!$A$1:$I$89,3,0)*VLOOKUP('Données projet'!$B$10,Paramètres!$A$1:$I$89,5,0)</f>
        <v>47.282223529411759</v>
      </c>
      <c r="AK16" s="13">
        <f t="shared" si="35"/>
        <v>13.909615404239247</v>
      </c>
      <c r="AL16" s="20">
        <f t="shared" si="4"/>
        <v>106.5757861427755</v>
      </c>
      <c r="AM16" s="59">
        <f t="shared" si="5"/>
        <v>306.1167863943943</v>
      </c>
      <c r="AN16" s="59">
        <f ca="1">AVERAGE(OFFSET($AM$3,0,0,'Données projet'!$E$10+1,1))-AVERAGE(OFFSET($H$3,0,0,'Données projet'!$E$10+1,1))</f>
        <v>374.38106339726073</v>
      </c>
      <c r="AO16" s="59">
        <f t="shared" si="36"/>
        <v>296.53283288925957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4.0942857142857143</v>
      </c>
      <c r="BD16" s="12">
        <f>IF('Données projet'!$A$88&gt;35,BD15+BC16-BL15,IF(A16&lt;'Données projet'!$A$88,$BA$205^A16,IF(A16='Données projet'!$A$88,'Données projet'!$B$88,BD15+BC16-BL15)))</f>
        <v>53.225714285714304</v>
      </c>
      <c r="BE16" s="13">
        <f>BD16*VLOOKUP('Données projet'!$B$11,Paramètres!$A$1:$I$89,3,0)*VLOOKUP('Données projet'!$B$11,Paramètres!$A$1:$I$89,5,0)</f>
        <v>48.158626285714305</v>
      </c>
      <c r="BF16" s="13">
        <f t="shared" si="37"/>
        <v>14.137183365739432</v>
      </c>
      <c r="BG16" s="20">
        <f t="shared" si="7"/>
        <v>108.4985351429486</v>
      </c>
      <c r="BH16" s="59">
        <f t="shared" si="8"/>
        <v>308.03953539456739</v>
      </c>
      <c r="BI16" s="59">
        <f ca="1">AVERAGE(OFFSET($BH$3,0,0,'Données projet'!$E$11+1,1))-AVERAGE(OFFSET($H$3,0,0,'Données projet'!$E$11+1,1))</f>
        <v>681.47578137804555</v>
      </c>
      <c r="BJ16" s="59">
        <f t="shared" si="38"/>
        <v>300.88511065995885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4.7435897435897427</v>
      </c>
      <c r="BY16" s="12">
        <f>IF('Données projet'!$A$114&gt;35,BY15+BX16-CG15,IF(A16&lt;'Données projet'!$A$114,$BV$205^A16,IF(A16='Données projet'!$A$114,'Données projet'!$B$114,BY15+BX16-CG15)))</f>
        <v>28.974358974358971</v>
      </c>
      <c r="BZ16" s="13">
        <f>BY16*VLOOKUP('Données projet'!$B$12,Paramètres!$A$1:$I$89,3,0)*VLOOKUP('Données projet'!$B$12,Paramètres!$A$1:$I$89,5,0)</f>
        <v>30.284000000000002</v>
      </c>
      <c r="CA16" s="13">
        <f t="shared" si="39"/>
        <v>9.3832239446418253</v>
      </c>
      <c r="CB16" s="20">
        <f t="shared" si="10"/>
        <v>69.087081703584502</v>
      </c>
      <c r="CC16" s="59">
        <f t="shared" si="11"/>
        <v>268.6280819552033</v>
      </c>
      <c r="CD16" s="59">
        <f ca="1">AVERAGE(OFFSET($CC$3,0,0,'Données projet'!$E$12+1,1))-AVERAGE(OFFSET($H$3,0,0,'Données projet'!$E$12+1,1))</f>
        <v>290.69667785754848</v>
      </c>
      <c r="CE16" s="59">
        <f t="shared" si="40"/>
        <v>256.28124185489082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4.333333333333333</v>
      </c>
      <c r="CT16" s="12">
        <f>IF('Données projet'!$A$140&gt;35,CT15+CS16-DB15,IF(A16&lt;'Données projet'!$A$140,$CQ$205^A16,IF(A16='Données projet'!$A$140,'Données projet'!$B$140,CT15+CS16-DB15)))</f>
        <v>37.255601172785397</v>
      </c>
      <c r="CU16" s="17">
        <f>CT16*VLOOKUP('Données projet'!$B$13,Paramètres!$A$1:$I$89,3,0)*VLOOKUP('Données projet'!$B$13,Paramètres!$A$1:$I$89,5,0)</f>
        <v>32.546493184545326</v>
      </c>
      <c r="CV16" s="13">
        <f t="shared" si="41"/>
        <v>10.000017890578144</v>
      </c>
      <c r="CW16" s="20">
        <f t="shared" si="13"/>
        <v>74.101840122506715</v>
      </c>
      <c r="CX16" s="59">
        <f t="shared" si="14"/>
        <v>273.64284037412551</v>
      </c>
      <c r="CY16" s="59">
        <f ca="1">AVERAGE(OFFSET($CX$3,0,0,'Données projet'!$E$13+1,1))-AVERAGE(OFFSET($H$3,0,0,'Données projet'!$E$13+1,1))</f>
        <v>408.246209980743</v>
      </c>
      <c r="CZ16" s="59">
        <f t="shared" si="42"/>
        <v>394.10236303013903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9.300476190476191</v>
      </c>
      <c r="DO16" s="12">
        <f>IF('Données projet'!$A$166&gt;35,DO15+DN16-DW15,IF(A16&lt;'Données projet'!$A$166,$DL$205^A16,IF(A16='Données projet'!$A$166,'Données projet'!$B$166,DO15+DN16-DW15)))</f>
        <v>26.185901821535015</v>
      </c>
      <c r="DP16" s="17">
        <f>DO16*VLOOKUP('Données projet'!$B$14,Paramètres!$A$1:$I$89,3,0)*VLOOKUP('Données projet'!$B$14,Paramètres!$A$1:$I$89,5,0)</f>
        <v>14.637919118238074</v>
      </c>
      <c r="DQ16" s="13">
        <f t="shared" si="43"/>
        <v>4.935937051561945</v>
      </c>
      <c r="DR16" s="20">
        <f t="shared" si="16"/>
        <v>34.091132829068357</v>
      </c>
      <c r="DS16" s="59">
        <f t="shared" si="17"/>
        <v>233.63213308068717</v>
      </c>
      <c r="DT16" s="59">
        <f ca="1">AVERAGE(OFFSET($DS$3,0,0,'Données projet'!$E$14+1,1))-AVERAGE(OFFSET($H$3,0,0,'Données projet'!$E$14+1,1))</f>
        <v>407.05634973057056</v>
      </c>
      <c r="DU16" s="59">
        <f t="shared" si="44"/>
        <v>375.32891954889965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6.7</v>
      </c>
      <c r="EJ16" s="12">
        <f>IF('Données projet'!$A$192&gt;35,EJ15+EI16-ER15,IF(A16&lt;'Données projet'!$A$192,$EG$205^A16,IF(A16='Données projet'!$A$192,'Données projet'!$B$192,EJ15+EI16-ER15)))</f>
        <v>24.133378203143081</v>
      </c>
      <c r="EK16" s="17">
        <f>EJ16*VLOOKUP('Données projet'!$B$15,Paramètres!$A$1:$I$89,3,0)*VLOOKUP('Données projet'!$B$15,Paramètres!$A$1:$I$89,5,0)</f>
        <v>10.666953165789243</v>
      </c>
      <c r="EL16" s="13">
        <f t="shared" si="45"/>
        <v>3.7318875752454574</v>
      </c>
      <c r="EM16" s="20">
        <f t="shared" si="19"/>
        <v>25.077980957302103</v>
      </c>
      <c r="EN16" s="59">
        <f t="shared" si="20"/>
        <v>224.6189812089209</v>
      </c>
      <c r="EO16" s="59">
        <f ca="1">AVERAGE(OFFSET($EN$3,0,0,'Données projet'!$E$15+1,1))-AVERAGE(OFFSET($H$3,0,0,'Données projet'!$E$15+1,1))</f>
        <v>418.28022549686278</v>
      </c>
      <c r="EP16" s="59">
        <f t="shared" si="46"/>
        <v>354.55070454517158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3.3603333333333336</v>
      </c>
      <c r="FE16" s="12">
        <f>IF('Données projet'!$A$218&gt;35,FE15+FD16-FM15,IF(A16&lt;'Données projet'!$A$218,$FB$205^A16,IF(A16='Données projet'!$A$218,'Données projet'!$B$218,FE15+FD16-FM15)))</f>
        <v>43.684333333333349</v>
      </c>
      <c r="FF16" s="17">
        <f>FE16*VLOOKUP('Données projet'!$B$16,Paramètres!$A$1:$I$89,3,0)*VLOOKUP('Données projet'!$B$16,Paramètres!$A$1:$I$89,5,0)</f>
        <v>49.747718800000023</v>
      </c>
      <c r="FG16" s="13">
        <f t="shared" si="47"/>
        <v>14.548587774950079</v>
      </c>
      <c r="FH16" s="20">
        <f t="shared" si="22"/>
        <v>111.98273395137143</v>
      </c>
      <c r="FI16" s="59">
        <f t="shared" si="23"/>
        <v>311.52373420299023</v>
      </c>
      <c r="FJ16" s="59">
        <f ca="1">AVERAGE(OFFSET($FI$3,0,0,'Données projet'!$E$16+1,1))-AVERAGE(OFFSET($H$3,0,0,'Données projet'!$E$16+1,1))</f>
        <v>640.05156427113661</v>
      </c>
      <c r="FK16" s="59">
        <f t="shared" si="48"/>
        <v>308.77220155372902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7.2723529411764707</v>
      </c>
      <c r="N17" s="13">
        <f>IF('Données projet'!$A$36&gt;35,N16+M17-V16,IF(A17&lt;'Données projet'!$A$36,$K$205^A17,IF(A17='Données projet'!$A$36,'Données projet'!$B$36,N16+M17-V16)))</f>
        <v>52.835465658919915</v>
      </c>
      <c r="O17" s="13">
        <f>N17*VLOOKUP('Données projet'!$B$9,Paramètres!$A$1:$I$89,3,0)*VLOOKUP('Données projet'!$B$9,Paramètres!$A$1:$I$89,5,0)</f>
        <v>31.595608464034111</v>
      </c>
      <c r="P17" s="13">
        <f t="shared" si="33"/>
        <v>9.7414193122567614</v>
      </c>
      <c r="Q17" s="20">
        <f t="shared" si="2"/>
        <v>71.995323377039924</v>
      </c>
      <c r="R17" s="59">
        <f t="shared" si="0"/>
        <v>274.02518514931313</v>
      </c>
      <c r="S17" s="59">
        <f ca="1">AVERAGE(OFFSET($R$3,0,0,'Données projet'!$E$9+1,1))-AVERAGE(OFFSET($H$3,0,0,'Données projet'!$E$9+1,1))</f>
        <v>318.50474972254085</v>
      </c>
      <c r="T17" s="59">
        <f t="shared" si="34"/>
        <v>326.45858332753562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7.7715686274509812</v>
      </c>
      <c r="AI17" s="13">
        <f>IF('Données projet'!$A$62&gt;35,AI16+AH17-AQ16,IF(A17&lt;'Données projet'!$A$62,$AF$205^A17,IF(A17='Données projet'!$A$62,'Données projet'!$B$62,AI16+AH17-AQ16)))</f>
        <v>108.80196078431371</v>
      </c>
      <c r="AJ17" s="13">
        <f>AI17*VLOOKUP('Données projet'!$B$10,Paramètres!$A$1:$I$89,3,0)*VLOOKUP('Données projet'!$B$10,Paramètres!$A$1:$I$89,5,0)</f>
        <v>50.919317647058811</v>
      </c>
      <c r="AK17" s="13">
        <f t="shared" si="35"/>
        <v>14.850925118934597</v>
      </c>
      <c r="AL17" s="20">
        <f t="shared" si="4"/>
        <v>114.54983948410518</v>
      </c>
      <c r="AM17" s="59">
        <f t="shared" si="5"/>
        <v>316.57970125637837</v>
      </c>
      <c r="AN17" s="59">
        <f ca="1">AVERAGE(OFFSET($AM$3,0,0,'Données projet'!$E$10+1,1))-AVERAGE(OFFSET($H$3,0,0,'Données projet'!$E$10+1,1))</f>
        <v>374.38106339726073</v>
      </c>
      <c r="AO17" s="59">
        <f t="shared" si="36"/>
        <v>296.53283288925957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4.0942857142857143</v>
      </c>
      <c r="BD17" s="12">
        <f>IF('Données projet'!$A$88&gt;35,BD16+BC17-BL16,IF(A17&lt;'Données projet'!$A$88,$BA$205^A17,IF(A17='Données projet'!$A$88,'Données projet'!$B$88,BD16+BC17-BL16)))</f>
        <v>57.320000000000022</v>
      </c>
      <c r="BE17" s="13">
        <f>BD17*VLOOKUP('Données projet'!$B$11,Paramètres!$A$1:$I$89,3,0)*VLOOKUP('Données projet'!$B$11,Paramètres!$A$1:$I$89,5,0)</f>
        <v>51.863136000000019</v>
      </c>
      <c r="BF17" s="13">
        <f t="shared" si="37"/>
        <v>15.093893357630675</v>
      </c>
      <c r="BG17" s="20">
        <f t="shared" si="7"/>
        <v>116.61682613120678</v>
      </c>
      <c r="BH17" s="59">
        <f t="shared" si="8"/>
        <v>318.64668790347997</v>
      </c>
      <c r="BI17" s="59">
        <f ca="1">AVERAGE(OFFSET($BH$3,0,0,'Données projet'!$E$11+1,1))-AVERAGE(OFFSET($H$3,0,0,'Données projet'!$E$11+1,1))</f>
        <v>681.47578137804555</v>
      </c>
      <c r="BJ17" s="59">
        <f t="shared" si="38"/>
        <v>300.88511065995885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4.7435897435897427</v>
      </c>
      <c r="BY17" s="12">
        <f>IF('Données projet'!$A$114&gt;35,BY16+BX17-CG16,IF(A17&lt;'Données projet'!$A$114,$BV$205^A17,IF(A17='Données projet'!$A$114,'Données projet'!$B$114,BY16+BX17-CG16)))</f>
        <v>33.717948717948715</v>
      </c>
      <c r="BZ17" s="13">
        <f>BY17*VLOOKUP('Données projet'!$B$12,Paramètres!$A$1:$I$89,3,0)*VLOOKUP('Données projet'!$B$12,Paramètres!$A$1:$I$89,5,0)</f>
        <v>35.242000000000004</v>
      </c>
      <c r="CA17" s="13">
        <f t="shared" si="39"/>
        <v>10.72839522230381</v>
      </c>
      <c r="CB17" s="20">
        <f t="shared" si="10"/>
        <v>80.065105012179131</v>
      </c>
      <c r="CC17" s="59">
        <f t="shared" si="11"/>
        <v>282.09496678445231</v>
      </c>
      <c r="CD17" s="59">
        <f ca="1">AVERAGE(OFFSET($CC$3,0,0,'Données projet'!$E$12+1,1))-AVERAGE(OFFSET($H$3,0,0,'Données projet'!$E$12+1,1))</f>
        <v>290.69667785754848</v>
      </c>
      <c r="CE17" s="59">
        <f t="shared" si="40"/>
        <v>256.28124185489082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4.333333333333333</v>
      </c>
      <c r="CT17" s="12">
        <f>IF('Données projet'!$A$140&gt;35,CT16+CS17-DB16,IF(A17&lt;'Données projet'!$A$140,$CQ$205^A17,IF(A17='Données projet'!$A$140,'Données projet'!$B$140,CT16+CS17-DB16)))</f>
        <v>49.209898153024547</v>
      </c>
      <c r="CU17" s="17">
        <f>CT17*VLOOKUP('Données projet'!$B$13,Paramètres!$A$1:$I$89,3,0)*VLOOKUP('Données projet'!$B$13,Paramètres!$A$1:$I$89,5,0)</f>
        <v>42.989767026482248</v>
      </c>
      <c r="CV17" s="13">
        <f t="shared" si="41"/>
        <v>12.78773005197989</v>
      </c>
      <c r="CW17" s="20">
        <f t="shared" si="13"/>
        <v>97.145807411654872</v>
      </c>
      <c r="CX17" s="59">
        <f t="shared" si="14"/>
        <v>299.17566918392805</v>
      </c>
      <c r="CY17" s="59">
        <f ca="1">AVERAGE(OFFSET($CX$3,0,0,'Données projet'!$E$13+1,1))-AVERAGE(OFFSET($H$3,0,0,'Données projet'!$E$13+1,1))</f>
        <v>408.246209980743</v>
      </c>
      <c r="CZ17" s="59">
        <f t="shared" si="42"/>
        <v>394.10236303013903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9.300476190476191</v>
      </c>
      <c r="DO17" s="12">
        <f>IF('Données projet'!$A$166&gt;35,DO16+DN17-DW16,IF(A17&lt;'Données projet'!$A$166,$DL$205^A17,IF(A17='Données projet'!$A$166,'Données projet'!$B$166,DO16+DN17-DW16)))</f>
        <v>33.662754773176729</v>
      </c>
      <c r="DP17" s="17">
        <f>DO17*VLOOKUP('Données projet'!$B$14,Paramètres!$A$1:$I$89,3,0)*VLOOKUP('Données projet'!$B$14,Paramètres!$A$1:$I$89,5,0)</f>
        <v>18.817479918205791</v>
      </c>
      <c r="DQ17" s="13">
        <f t="shared" si="43"/>
        <v>6.1624665086044912</v>
      </c>
      <c r="DR17" s="20">
        <f t="shared" si="16"/>
        <v>43.50674002669458</v>
      </c>
      <c r="DS17" s="59">
        <f t="shared" si="17"/>
        <v>245.53660179896778</v>
      </c>
      <c r="DT17" s="59">
        <f ca="1">AVERAGE(OFFSET($DS$3,0,0,'Données projet'!$E$14+1,1))-AVERAGE(OFFSET($H$3,0,0,'Données projet'!$E$14+1,1))</f>
        <v>407.05634973057056</v>
      </c>
      <c r="DU17" s="59">
        <f t="shared" si="44"/>
        <v>375.32891954889965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6.7</v>
      </c>
      <c r="EJ17" s="12">
        <f>IF('Données projet'!$A$192&gt;35,EJ16+EI17-ER16,IF(A17&lt;'Données projet'!$A$192,$EG$205^A17,IF(A17='Données projet'!$A$192,'Données projet'!$B$192,EJ16+EI17-ER16)))</f>
        <v>30.829988225025726</v>
      </c>
      <c r="EK17" s="17">
        <f>EJ17*VLOOKUP('Données projet'!$B$15,Paramètres!$A$1:$I$89,3,0)*VLOOKUP('Données projet'!$B$15,Paramètres!$A$1:$I$89,5,0)</f>
        <v>13.626854795461373</v>
      </c>
      <c r="EL17" s="13">
        <f t="shared" si="45"/>
        <v>4.6334453172210992</v>
      </c>
      <c r="EM17" s="20">
        <f t="shared" si="19"/>
        <v>31.803356029588638</v>
      </c>
      <c r="EN17" s="59">
        <f t="shared" si="20"/>
        <v>233.83321780186182</v>
      </c>
      <c r="EO17" s="59">
        <f ca="1">AVERAGE(OFFSET($EN$3,0,0,'Données projet'!$E$15+1,1))-AVERAGE(OFFSET($H$3,0,0,'Données projet'!$E$15+1,1))</f>
        <v>418.28022549686278</v>
      </c>
      <c r="EP17" s="59">
        <f t="shared" si="46"/>
        <v>354.55070454517158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3.3603333333333336</v>
      </c>
      <c r="FE17" s="12">
        <f>IF('Données projet'!$A$218&gt;35,FE16+FD17-FM16,IF(A17&lt;'Données projet'!$A$218,$FB$205^A17,IF(A17='Données projet'!$A$218,'Données projet'!$B$218,FE16+FD17-FM16)))</f>
        <v>47.044666666666686</v>
      </c>
      <c r="FF17" s="17">
        <f>FE17*VLOOKUP('Données projet'!$B$16,Paramètres!$A$1:$I$89,3,0)*VLOOKUP('Données projet'!$B$16,Paramètres!$A$1:$I$89,5,0)</f>
        <v>53.574466400000027</v>
      </c>
      <c r="FG17" s="13">
        <f t="shared" si="47"/>
        <v>15.533138864945339</v>
      </c>
      <c r="FH17" s="20">
        <f t="shared" si="22"/>
        <v>120.36241250311315</v>
      </c>
      <c r="FI17" s="59">
        <f t="shared" si="23"/>
        <v>322.39227427538634</v>
      </c>
      <c r="FJ17" s="59">
        <f ca="1">AVERAGE(OFFSET($FI$3,0,0,'Données projet'!$E$16+1,1))-AVERAGE(OFFSET($H$3,0,0,'Données projet'!$E$16+1,1))</f>
        <v>640.05156427113661</v>
      </c>
      <c r="FK17" s="59">
        <f t="shared" si="48"/>
        <v>308.77220155372902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7.2723529411764707</v>
      </c>
      <c r="N18" s="13">
        <f>IF('Données projet'!$A$36&gt;35,N17+M18-V17,IF(A18&lt;'Données projet'!$A$36,$K$205^A18,IF(A18='Données projet'!$A$36,'Données projet'!$B$36,N17+M18-V17)))</f>
        <v>70.144181088230326</v>
      </c>
      <c r="O18" s="13">
        <f>N18*VLOOKUP('Données projet'!$B$9,Paramètres!$A$1:$I$89,3,0)*VLOOKUP('Données projet'!$B$9,Paramètres!$A$1:$I$89,5,0)</f>
        <v>41.946220290761737</v>
      </c>
      <c r="P18" s="13">
        <f t="shared" si="33"/>
        <v>12.51305785014169</v>
      </c>
      <c r="Q18" s="20">
        <f t="shared" si="2"/>
        <v>94.849909428740133</v>
      </c>
      <c r="R18" s="59">
        <f t="shared" si="0"/>
        <v>299.34665936162116</v>
      </c>
      <c r="S18" s="59">
        <f ca="1">AVERAGE(OFFSET($R$3,0,0,'Données projet'!$E$9+1,1))-AVERAGE(OFFSET($H$3,0,0,'Données projet'!$E$9+1,1))</f>
        <v>318.50474972254085</v>
      </c>
      <c r="T18" s="59">
        <f t="shared" si="34"/>
        <v>326.45858332753562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7.7715686274509812</v>
      </c>
      <c r="AI18" s="13">
        <f>IF('Données projet'!$A$62&gt;35,AI17+AH18-AQ17,IF(A18&lt;'Données projet'!$A$62,$AF$205^A18,IF(A18='Données projet'!$A$62,'Données projet'!$B$62,AI17+AH18-AQ17)))</f>
        <v>116.57352941176468</v>
      </c>
      <c r="AJ18" s="13">
        <f>AI18*VLOOKUP('Données projet'!$B$10,Paramètres!$A$1:$I$89,3,0)*VLOOKUP('Données projet'!$B$10,Paramètres!$A$1:$I$89,5,0)</f>
        <v>54.556411764705871</v>
      </c>
      <c r="AK18" s="13">
        <f t="shared" si="35"/>
        <v>15.784433961873273</v>
      </c>
      <c r="AL18" s="20">
        <f t="shared" si="4"/>
        <v>122.51030630712535</v>
      </c>
      <c r="AM18" s="59">
        <f t="shared" si="5"/>
        <v>327.00705624000636</v>
      </c>
      <c r="AN18" s="59">
        <f ca="1">AVERAGE(OFFSET($AM$3,0,0,'Données projet'!$E$10+1,1))-AVERAGE(OFFSET($H$3,0,0,'Données projet'!$E$10+1,1))</f>
        <v>374.38106339726073</v>
      </c>
      <c r="AO18" s="59">
        <f t="shared" si="36"/>
        <v>296.53283288925957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4.0942857142857143</v>
      </c>
      <c r="BD18" s="12">
        <f>IF('Données projet'!$A$88&gt;35,BD17+BC18-BL17,IF(A18&lt;'Données projet'!$A$88,$BA$205^A18,IF(A18='Données projet'!$A$88,'Données projet'!$B$88,BD17+BC18-BL17)))</f>
        <v>61.414285714285739</v>
      </c>
      <c r="BE18" s="13">
        <f>BD18*VLOOKUP('Données projet'!$B$11,Paramètres!$A$1:$I$89,3,0)*VLOOKUP('Données projet'!$B$11,Paramètres!$A$1:$I$89,5,0)</f>
        <v>55.567645714285739</v>
      </c>
      <c r="BF18" s="13">
        <f t="shared" si="37"/>
        <v>16.042674851771864</v>
      </c>
      <c r="BG18" s="20">
        <f t="shared" si="7"/>
        <v>124.72130831921697</v>
      </c>
      <c r="BH18" s="59">
        <f t="shared" si="8"/>
        <v>329.21805825209799</v>
      </c>
      <c r="BI18" s="59">
        <f ca="1">AVERAGE(OFFSET($BH$3,0,0,'Données projet'!$E$11+1,1))-AVERAGE(OFFSET($H$3,0,0,'Données projet'!$E$11+1,1))</f>
        <v>681.47578137804555</v>
      </c>
      <c r="BJ18" s="59">
        <f t="shared" si="38"/>
        <v>300.88511065995885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38.46153846153846</v>
      </c>
      <c r="BW18" s="12">
        <f>VLOOKUP(A18,'Données projet'!$A$113:$I$133,9,0)</f>
        <v>4.7435897435897427</v>
      </c>
      <c r="BX18" s="12">
        <f t="array" ref="BX18">INDEX(BW:BW,MIN(IF(ISNUMBER(BW18:BW214),ROW(BW18:BW214),"")))</f>
        <v>4.7435897435897427</v>
      </c>
      <c r="BY18" s="12">
        <f>IF('Données projet'!$A$114&gt;35,BY17+BX18-CG17,IF(A18&lt;'Données projet'!$A$114,$BV$205^A18,IF(A18='Données projet'!$A$114,'Données projet'!$B$114,BY17+BX18-CG17)))</f>
        <v>38.46153846153846</v>
      </c>
      <c r="BZ18" s="13">
        <f>BY18*VLOOKUP('Données projet'!$B$12,Paramètres!$A$1:$I$89,3,0)*VLOOKUP('Données projet'!$B$12,Paramètres!$A$1:$I$89,5,0)</f>
        <v>40.200000000000003</v>
      </c>
      <c r="CA18" s="13">
        <f t="shared" si="39"/>
        <v>12.051641531440687</v>
      </c>
      <c r="CB18" s="20">
        <f t="shared" si="10"/>
        <v>91.004942333925854</v>
      </c>
      <c r="CC18" s="59">
        <f t="shared" si="11"/>
        <v>295.50169226680691</v>
      </c>
      <c r="CD18" s="59">
        <f ca="1">AVERAGE(OFFSET($CC$3,0,0,'Données projet'!$E$12+1,1))-AVERAGE(OFFSET($H$3,0,0,'Données projet'!$E$12+1,1))</f>
        <v>290.69667785754848</v>
      </c>
      <c r="CE18" s="59">
        <f t="shared" si="40"/>
        <v>256.28124185489082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0.215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65</v>
      </c>
      <c r="CR18" s="12">
        <f>VLOOKUP(A18,'Données projet'!$A$139:$I$159,9,0)</f>
        <v>4.333333333333333</v>
      </c>
      <c r="CS18" s="12">
        <f t="array" ref="CS18">INDEX(CR:CR,MIN(IF(ISNUMBER(CR18:CR214),ROW(CR18:CR214),"")))</f>
        <v>4.333333333333333</v>
      </c>
      <c r="CT18" s="12">
        <f>IF('Données projet'!$A$140&gt;35,CT17+CS18-DB17,IF(A18&lt;'Données projet'!$A$140,$CQ$205^A18,IF(A18='Données projet'!$A$140,'Données projet'!$B$140,CT17+CS18-DB17)))</f>
        <v>65</v>
      </c>
      <c r="CU18" s="17">
        <f>CT18*VLOOKUP('Données projet'!$B$13,Paramètres!$A$1:$I$89,3,0)*VLOOKUP('Données projet'!$B$13,Paramètres!$A$1:$I$89,5,0)</f>
        <v>56.784000000000013</v>
      </c>
      <c r="CV18" s="13">
        <f t="shared" si="41"/>
        <v>16.352574732529362</v>
      </c>
      <c r="CW18" s="20">
        <f t="shared" si="13"/>
        <v>127.37953432582198</v>
      </c>
      <c r="CX18" s="59">
        <f t="shared" si="14"/>
        <v>331.87628425870304</v>
      </c>
      <c r="CY18" s="59">
        <f ca="1">AVERAGE(OFFSET($CX$3,0,0,'Données projet'!$E$13+1,1))-AVERAGE(OFFSET($H$3,0,0,'Données projet'!$E$13+1,1))</f>
        <v>408.246209980743</v>
      </c>
      <c r="CZ18" s="59">
        <f t="shared" si="42"/>
        <v>394.10236303013903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0.13250000000000001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4.0786105117164171</v>
      </c>
      <c r="DH18" s="21">
        <f>EXP(-LN(2)/2)*DH17+(1-EXP(-LN(2)/2))/(LN(2)/2)*DB18*DE18*VLOOKUP('Données projet'!$B$13,Paramètres!$A$1:$I$89,3,0)*0.475*44/12</f>
        <v>6.5941209007941382</v>
      </c>
      <c r="DI18" s="22">
        <f t="shared" si="15"/>
        <v>10.672731412510554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9.300476190476191</v>
      </c>
      <c r="DO18" s="12">
        <f>IF('Données projet'!$A$166&gt;35,DO17+DN18-DW17,IF(A18&lt;'Données projet'!$A$166,$DL$205^A18,IF(A18='Données projet'!$A$166,'Données projet'!$B$166,DO17+DN18-DW17)))</f>
        <v>43.274471379370887</v>
      </c>
      <c r="DP18" s="17">
        <f>DO18*VLOOKUP('Données projet'!$B$14,Paramètres!$A$1:$I$89,3,0)*VLOOKUP('Données projet'!$B$14,Paramètres!$A$1:$I$89,5,0)</f>
        <v>24.190429501068326</v>
      </c>
      <c r="DQ18" s="13">
        <f t="shared" si="43"/>
        <v>7.6937758875297604</v>
      </c>
      <c r="DR18" s="20">
        <f t="shared" si="16"/>
        <v>55.531657718475003</v>
      </c>
      <c r="DS18" s="59">
        <f t="shared" si="17"/>
        <v>260.02840765135602</v>
      </c>
      <c r="DT18" s="59">
        <f ca="1">AVERAGE(OFFSET($DS$3,0,0,'Données projet'!$E$14+1,1))-AVERAGE(OFFSET($H$3,0,0,'Données projet'!$E$14+1,1))</f>
        <v>407.05634973057056</v>
      </c>
      <c r="DU18" s="59">
        <f t="shared" si="44"/>
        <v>375.32891954889965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6.7</v>
      </c>
      <c r="EJ18" s="12">
        <f>IF('Données projet'!$A$192&gt;35,EJ17+EI18-ER17,IF(A18&lt;'Données projet'!$A$192,$EG$205^A18,IF(A18='Données projet'!$A$192,'Données projet'!$B$192,EJ17+EI18-ER17)))</f>
        <v>39.384795860508056</v>
      </c>
      <c r="EK18" s="17">
        <f>EJ18*VLOOKUP('Données projet'!$B$15,Paramètres!$A$1:$I$89,3,0)*VLOOKUP('Données projet'!$B$15,Paramètres!$A$1:$I$89,5,0)</f>
        <v>17.408079770344564</v>
      </c>
      <c r="EL18" s="13">
        <f t="shared" si="45"/>
        <v>5.7528033936729912</v>
      </c>
      <c r="EM18" s="20">
        <f t="shared" si="19"/>
        <v>40.33853817733057</v>
      </c>
      <c r="EN18" s="59">
        <f t="shared" si="20"/>
        <v>244.83528811021162</v>
      </c>
      <c r="EO18" s="59">
        <f ca="1">AVERAGE(OFFSET($EN$3,0,0,'Données projet'!$E$15+1,1))-AVERAGE(OFFSET($H$3,0,0,'Données projet'!$E$15+1,1))</f>
        <v>418.28022549686278</v>
      </c>
      <c r="EP18" s="59">
        <f t="shared" si="46"/>
        <v>354.55070454517158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3.3603333333333336</v>
      </c>
      <c r="FE18" s="12">
        <f>IF('Données projet'!$A$218&gt;35,FE17+FD18-FM17,IF(A18&lt;'Données projet'!$A$218,$FB$205^A18,IF(A18='Données projet'!$A$218,'Données projet'!$B$218,FE17+FD18-FM17)))</f>
        <v>50.405000000000022</v>
      </c>
      <c r="FF18" s="17">
        <f>FE18*VLOOKUP('Données projet'!$B$16,Paramètres!$A$1:$I$89,3,0)*VLOOKUP('Données projet'!$B$16,Paramètres!$A$1:$I$89,5,0)</f>
        <v>57.401214000000024</v>
      </c>
      <c r="FG18" s="13">
        <f t="shared" si="47"/>
        <v>16.509530730966755</v>
      </c>
      <c r="FH18" s="20">
        <f t="shared" si="22"/>
        <v>128.7278804064338</v>
      </c>
      <c r="FI18" s="59">
        <f t="shared" si="23"/>
        <v>333.22463033931484</v>
      </c>
      <c r="FJ18" s="59">
        <f ca="1">AVERAGE(OFFSET($FI$3,0,0,'Données projet'!$E$16+1,1))-AVERAGE(OFFSET($H$3,0,0,'Données projet'!$E$16+1,1))</f>
        <v>640.05156427113661</v>
      </c>
      <c r="FK18" s="59">
        <f t="shared" si="48"/>
        <v>308.77220155372902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7.2723529411764707</v>
      </c>
      <c r="N19" s="13">
        <f>IF('Données projet'!$A$36&gt;35,N18+M19-V18,IF(A19&lt;'Données projet'!$A$36,$K$205^A19,IF(A19='Données projet'!$A$36,'Données projet'!$B$36,N18+M19-V18)))</f>
        <v>93.123171702524758</v>
      </c>
      <c r="O19" s="13">
        <f>N19*VLOOKUP('Données projet'!$B$9,Paramètres!$A$1:$I$89,3,0)*VLOOKUP('Données projet'!$B$9,Paramètres!$A$1:$I$89,5,0)</f>
        <v>55.687656678109811</v>
      </c>
      <c r="P19" s="13">
        <f t="shared" si="33"/>
        <v>16.073285805897523</v>
      </c>
      <c r="Q19" s="20">
        <f t="shared" si="2"/>
        <v>124.98364149297942</v>
      </c>
      <c r="R19" s="59">
        <f t="shared" si="0"/>
        <v>331.92568741509348</v>
      </c>
      <c r="S19" s="59">
        <f ca="1">AVERAGE(OFFSET($R$3,0,0,'Données projet'!$E$9+1,1))-AVERAGE(OFFSET($H$3,0,0,'Données projet'!$E$9+1,1))</f>
        <v>318.50474972254085</v>
      </c>
      <c r="T19" s="59">
        <f t="shared" si="34"/>
        <v>326.45858332753562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7.7715686274509812</v>
      </c>
      <c r="AI19" s="13">
        <f>IF('Données projet'!$A$62&gt;35,AI18+AH19-AQ18,IF(A19&lt;'Données projet'!$A$62,$AF$205^A19,IF(A19='Données projet'!$A$62,'Données projet'!$B$62,AI18+AH19-AQ18)))</f>
        <v>124.34509803921566</v>
      </c>
      <c r="AJ19" s="13">
        <f>AI19*VLOOKUP('Données projet'!$B$10,Paramètres!$A$1:$I$89,3,0)*VLOOKUP('Données projet'!$B$10,Paramètres!$A$1:$I$89,5,0)</f>
        <v>58.193505882352923</v>
      </c>
      <c r="AK19" s="13">
        <f t="shared" si="35"/>
        <v>16.710721165612199</v>
      </c>
      <c r="AL19" s="20">
        <f t="shared" si="4"/>
        <v>130.45819544187259</v>
      </c>
      <c r="AM19" s="59">
        <f t="shared" si="5"/>
        <v>337.40024136398665</v>
      </c>
      <c r="AN19" s="59">
        <f ca="1">AVERAGE(OFFSET($AM$3,0,0,'Données projet'!$E$10+1,1))-AVERAGE(OFFSET($H$3,0,0,'Données projet'!$E$10+1,1))</f>
        <v>374.38106339726073</v>
      </c>
      <c r="AO19" s="59">
        <f t="shared" si="36"/>
        <v>296.53283288925957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4.0942857142857143</v>
      </c>
      <c r="BD19" s="12">
        <f>IF('Données projet'!$A$88&gt;35,BD18+BC19-BL18,IF(A19&lt;'Données projet'!$A$88,$BA$205^A19,IF(A19='Données projet'!$A$88,'Données projet'!$B$88,BD18+BC19-BL18)))</f>
        <v>65.508571428571457</v>
      </c>
      <c r="BE19" s="13">
        <f>BD19*VLOOKUP('Données projet'!$B$11,Paramètres!$A$1:$I$89,3,0)*VLOOKUP('Données projet'!$B$11,Paramètres!$A$1:$I$89,5,0)</f>
        <v>59.272155428571445</v>
      </c>
      <c r="BF19" s="13">
        <f t="shared" si="37"/>
        <v>16.984116557241595</v>
      </c>
      <c r="BG19" s="20">
        <f t="shared" si="7"/>
        <v>132.81300704195772</v>
      </c>
      <c r="BH19" s="59">
        <f t="shared" si="8"/>
        <v>339.75505296407175</v>
      </c>
      <c r="BI19" s="59">
        <f ca="1">AVERAGE(OFFSET($BH$3,0,0,'Données projet'!$E$11+1,1))-AVERAGE(OFFSET($H$3,0,0,'Données projet'!$E$11+1,1))</f>
        <v>681.47578137804555</v>
      </c>
      <c r="BJ19" s="59">
        <f t="shared" si="38"/>
        <v>300.88511065995885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6.1538461538461533</v>
      </c>
      <c r="BY19" s="12">
        <f>IF('Données projet'!$A$114&gt;35,BY18+BX19-CG18,IF(A19&lt;'Données projet'!$A$114,$BV$205^A19,IF(A19='Données projet'!$A$114,'Données projet'!$B$114,BY18+BX19-CG18)))</f>
        <v>44.615384615384613</v>
      </c>
      <c r="BZ19" s="13">
        <f>BY19*VLOOKUP('Données projet'!$B$12,Paramètres!$A$1:$I$89,3,0)*VLOOKUP('Données projet'!$B$12,Paramètres!$A$1:$I$89,5,0)</f>
        <v>46.632000000000005</v>
      </c>
      <c r="CA19" s="13">
        <f t="shared" si="39"/>
        <v>13.740460394752377</v>
      </c>
      <c r="CB19" s="20">
        <f t="shared" si="10"/>
        <v>105.14870185419373</v>
      </c>
      <c r="CC19" s="59">
        <f t="shared" si="11"/>
        <v>312.09074777630781</v>
      </c>
      <c r="CD19" s="59">
        <f ca="1">AVERAGE(OFFSET($CC$3,0,0,'Données projet'!$E$12+1,1))-AVERAGE(OFFSET($H$3,0,0,'Données projet'!$E$12+1,1))</f>
        <v>290.69667785754848</v>
      </c>
      <c r="CE19" s="59">
        <f t="shared" si="40"/>
        <v>256.28124185489082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13.8</v>
      </c>
      <c r="CT19" s="12">
        <f>IF('Données projet'!$A$140&gt;35,CT18+CS19-DB18,IF(A19&lt;'Données projet'!$A$140,$CQ$205^A19,IF(A19='Données projet'!$A$140,'Données projet'!$B$140,CT18+CS19-DB18)))</f>
        <v>46.8</v>
      </c>
      <c r="CU19" s="17">
        <f>CT19*VLOOKUP('Données projet'!$B$13,Paramètres!$A$1:$I$89,3,0)*VLOOKUP('Données projet'!$B$13,Paramètres!$A$1:$I$89,5,0)</f>
        <v>40.884480000000003</v>
      </c>
      <c r="CV19" s="13">
        <f t="shared" si="41"/>
        <v>12.23277918777527</v>
      </c>
      <c r="CW19" s="20">
        <f t="shared" si="13"/>
        <v>92.512559752041952</v>
      </c>
      <c r="CX19" s="59">
        <f t="shared" si="14"/>
        <v>299.45460567415603</v>
      </c>
      <c r="CY19" s="59">
        <f ca="1">AVERAGE(OFFSET($CX$3,0,0,'Données projet'!$E$13+1,1))-AVERAGE(OFFSET($H$3,0,0,'Données projet'!$E$13+1,1))</f>
        <v>408.246209980743</v>
      </c>
      <c r="CZ19" s="59">
        <f t="shared" si="42"/>
        <v>394.10236303013903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3.9670806927887265</v>
      </c>
      <c r="DH19" s="21">
        <f>EXP(-LN(2)/2)*DH18+(1-EXP(-LN(2)/2))/(LN(2)/2)*DB19*DE19*VLOOKUP('Données projet'!$B$13,Paramètres!$A$1:$I$89,3,0)*0.475*44/12</f>
        <v>4.6627476049154808</v>
      </c>
      <c r="DI19" s="22">
        <f t="shared" si="15"/>
        <v>8.6298282977042078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9.300476190476191</v>
      </c>
      <c r="DO19" s="12">
        <f>IF('Données projet'!$A$166&gt;35,DO18+DN19-DW18,IF(A19&lt;'Données projet'!$A$166,$DL$205^A19,IF(A19='Données projet'!$A$166,'Données projet'!$B$166,DO18+DN19-DW18)))</f>
        <v>55.630618640165025</v>
      </c>
      <c r="DP19" s="17">
        <f>DO19*VLOOKUP('Données projet'!$B$14,Paramètres!$A$1:$I$89,3,0)*VLOOKUP('Données projet'!$B$14,Paramètres!$A$1:$I$89,5,0)</f>
        <v>31.097515819852248</v>
      </c>
      <c r="DQ19" s="13">
        <f t="shared" si="43"/>
        <v>9.6055998559802376</v>
      </c>
      <c r="DR19" s="20">
        <f t="shared" si="16"/>
        <v>70.891259802074913</v>
      </c>
      <c r="DS19" s="59">
        <f t="shared" si="17"/>
        <v>277.83330572418896</v>
      </c>
      <c r="DT19" s="59">
        <f ca="1">AVERAGE(OFFSET($DS$3,0,0,'Données projet'!$E$14+1,1))-AVERAGE(OFFSET($H$3,0,0,'Données projet'!$E$14+1,1))</f>
        <v>407.05634973057056</v>
      </c>
      <c r="DU19" s="59">
        <f t="shared" si="44"/>
        <v>375.32891954889965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6.7</v>
      </c>
      <c r="EJ19" s="12">
        <f>IF('Données projet'!$A$192&gt;35,EJ18+EI19-ER18,IF(A19&lt;'Données projet'!$A$192,$EG$205^A19,IF(A19='Données projet'!$A$192,'Données projet'!$B$192,EJ18+EI19-ER18)))</f>
        <v>50.313419961502369</v>
      </c>
      <c r="EK19" s="17">
        <f>EJ19*VLOOKUP('Données projet'!$B$15,Paramètres!$A$1:$I$89,3,0)*VLOOKUP('Données projet'!$B$15,Paramètres!$A$1:$I$89,5,0)</f>
        <v>22.238531622984048</v>
      </c>
      <c r="EL19" s="13">
        <f t="shared" si="45"/>
        <v>7.1425784962331207</v>
      </c>
      <c r="EM19" s="20">
        <f t="shared" si="19"/>
        <v>51.172100124303235</v>
      </c>
      <c r="EN19" s="59">
        <f t="shared" si="20"/>
        <v>258.11414604641732</v>
      </c>
      <c r="EO19" s="59">
        <f ca="1">AVERAGE(OFFSET($EN$3,0,0,'Données projet'!$E$15+1,1))-AVERAGE(OFFSET($H$3,0,0,'Données projet'!$E$15+1,1))</f>
        <v>418.28022549686278</v>
      </c>
      <c r="EP19" s="59">
        <f t="shared" si="46"/>
        <v>354.55070454517158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3.3603333333333336</v>
      </c>
      <c r="FE19" s="12">
        <f>IF('Données projet'!$A$218&gt;35,FE18+FD19-FM18,IF(A19&lt;'Données projet'!$A$218,$FB$205^A19,IF(A19='Données projet'!$A$218,'Données projet'!$B$218,FE18+FD19-FM18)))</f>
        <v>53.765333333333359</v>
      </c>
      <c r="FF19" s="17">
        <f>FE19*VLOOKUP('Données projet'!$B$16,Paramètres!$A$1:$I$89,3,0)*VLOOKUP('Données projet'!$B$16,Paramètres!$A$1:$I$89,5,0)</f>
        <v>61.227961600000029</v>
      </c>
      <c r="FG19" s="13">
        <f t="shared" si="47"/>
        <v>17.478369214042406</v>
      </c>
      <c r="FH19" s="20">
        <f t="shared" si="22"/>
        <v>137.08019283445722</v>
      </c>
      <c r="FI19" s="59">
        <f t="shared" si="23"/>
        <v>344.02223875657126</v>
      </c>
      <c r="FJ19" s="59">
        <f ca="1">AVERAGE(OFFSET($FI$3,0,0,'Données projet'!$E$16+1,1))-AVERAGE(OFFSET($H$3,0,0,'Données projet'!$E$16+1,1))</f>
        <v>640.05156427113661</v>
      </c>
      <c r="FK19" s="59">
        <f t="shared" si="48"/>
        <v>308.77220155372902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123.63</v>
      </c>
      <c r="L20" s="12">
        <f>VLOOKUP(A20,'Données projet'!$A$35:$I$55,9,0)</f>
        <v>7.2723529411764707</v>
      </c>
      <c r="M20" s="12">
        <f t="array" ref="M20">INDEX(L:L,MIN(IF(ISNUMBER(L20:L216),ROW(L20:L216),"")))</f>
        <v>7.2723529411764707</v>
      </c>
      <c r="N20" s="13">
        <f>IF('Données projet'!$A$36&gt;35,N19+M20-V19,IF(A20&lt;'Données projet'!$A$36,$K$205^A20,IF(A20='Données projet'!$A$36,'Données projet'!$B$36,N19+M20-V19)))</f>
        <v>123.63</v>
      </c>
      <c r="O20" s="13">
        <f>N20*VLOOKUP('Données projet'!$B$9,Paramètres!$A$1:$I$89,3,0)*VLOOKUP('Données projet'!$B$9,Paramètres!$A$1:$I$89,5,0)</f>
        <v>73.93074</v>
      </c>
      <c r="P20" s="13">
        <f t="shared" si="33"/>
        <v>20.646473443351134</v>
      </c>
      <c r="Q20" s="20">
        <f t="shared" si="2"/>
        <v>164.72198008050322</v>
      </c>
      <c r="R20" s="59">
        <f t="shared" si="0"/>
        <v>374.08810439637591</v>
      </c>
      <c r="S20" s="59">
        <f ca="1">AVERAGE(OFFSET($R$3,0,0,'Données projet'!$E$9+1,1))-AVERAGE(OFFSET($H$3,0,0,'Données projet'!$E$9+1,1))</f>
        <v>318.50474972254085</v>
      </c>
      <c r="T20" s="59">
        <f t="shared" si="34"/>
        <v>326.45858332753562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41.179999999999993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0.22500000000000001</v>
      </c>
      <c r="Y20" s="16">
        <f>IF(ISNA(VLOOKUP(A20,'Données projet'!$A$35:$I$55,7,0)),0%,VLOOKUP(A20,'Données projet'!$A$35:$I$55,7,0))</f>
        <v>0.5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7.3212467235098906</v>
      </c>
      <c r="AB20" s="21">
        <f>EXP(-LN(2)/2)*AB19+(1-EXP(-LN(2)/2))/(LN(2)/2)*V20*Y20*VLOOKUP('Données projet'!$B$9,Paramètres!$A$1:$I$89,3,0)*0.475*44/12</f>
        <v>13.940972477629819</v>
      </c>
      <c r="AC20" s="22">
        <f t="shared" si="3"/>
        <v>21.262219201139708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7.7715686274509812</v>
      </c>
      <c r="AI20" s="13">
        <f>IF('Données projet'!$A$62&gt;35,AI19+AH20-AQ19,IF(A20&lt;'Données projet'!$A$62,$AF$205^A20,IF(A20='Données projet'!$A$62,'Données projet'!$B$62,AI19+AH20-AQ19)))</f>
        <v>132.11666666666665</v>
      </c>
      <c r="AJ20" s="13">
        <f>AI20*VLOOKUP('Données projet'!$B$10,Paramètres!$A$1:$I$89,3,0)*VLOOKUP('Données projet'!$B$10,Paramètres!$A$1:$I$89,5,0)</f>
        <v>61.83059999999999</v>
      </c>
      <c r="AK20" s="13">
        <f t="shared" si="35"/>
        <v>17.630289466347477</v>
      </c>
      <c r="AL20" s="20">
        <f t="shared" si="4"/>
        <v>138.39438248722183</v>
      </c>
      <c r="AM20" s="59">
        <f t="shared" si="5"/>
        <v>347.76050680309459</v>
      </c>
      <c r="AN20" s="59">
        <f ca="1">AVERAGE(OFFSET($AM$3,0,0,'Données projet'!$E$10+1,1))-AVERAGE(OFFSET($H$3,0,0,'Données projet'!$E$10+1,1))</f>
        <v>374.38106339726073</v>
      </c>
      <c r="AO20" s="59">
        <f t="shared" si="36"/>
        <v>296.53283288925957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4.0942857142857143</v>
      </c>
      <c r="BD20" s="12">
        <f>IF('Données projet'!$A$88&gt;35,BD19+BC20-BL19,IF(A20&lt;'Données projet'!$A$88,$BA$205^A20,IF(A20='Données projet'!$A$88,'Données projet'!$B$88,BD19+BC20-BL19)))</f>
        <v>69.602857142857175</v>
      </c>
      <c r="BE20" s="13">
        <f>BD20*VLOOKUP('Données projet'!$B$11,Paramètres!$A$1:$I$89,3,0)*VLOOKUP('Données projet'!$B$11,Paramètres!$A$1:$I$89,5,0)</f>
        <v>62.976665142857165</v>
      </c>
      <c r="BF20" s="13">
        <f t="shared" si="37"/>
        <v>17.918729435240664</v>
      </c>
      <c r="BG20" s="20">
        <f t="shared" si="7"/>
        <v>140.89281222352039</v>
      </c>
      <c r="BH20" s="59">
        <f t="shared" si="8"/>
        <v>350.25893653939312</v>
      </c>
      <c r="BI20" s="59">
        <f ca="1">AVERAGE(OFFSET($BH$3,0,0,'Données projet'!$E$11+1,1))-AVERAGE(OFFSET($H$3,0,0,'Données projet'!$E$11+1,1))</f>
        <v>681.47578137804555</v>
      </c>
      <c r="BJ20" s="59">
        <f t="shared" si="38"/>
        <v>300.88511065995885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6.1538461538461533</v>
      </c>
      <c r="BY20" s="12">
        <f>IF('Données projet'!$A$114&gt;35,BY19+BX20-CG19,IF(A20&lt;'Données projet'!$A$114,$BV$205^A20,IF(A20='Données projet'!$A$114,'Données projet'!$B$114,BY19+BX20-CG19)))</f>
        <v>50.769230769230766</v>
      </c>
      <c r="BZ20" s="13">
        <f>BY20*VLOOKUP('Données projet'!$B$12,Paramètres!$A$1:$I$89,3,0)*VLOOKUP('Données projet'!$B$12,Paramètres!$A$1:$I$89,5,0)</f>
        <v>53.064000000000007</v>
      </c>
      <c r="CA20" s="13">
        <f t="shared" si="39"/>
        <v>15.402291234172077</v>
      </c>
      <c r="CB20" s="20">
        <f t="shared" si="10"/>
        <v>119.24545723284972</v>
      </c>
      <c r="CC20" s="59">
        <f t="shared" si="11"/>
        <v>328.61158154872243</v>
      </c>
      <c r="CD20" s="59">
        <f ca="1">AVERAGE(OFFSET($CC$3,0,0,'Données projet'!$E$12+1,1))-AVERAGE(OFFSET($H$3,0,0,'Données projet'!$E$12+1,1))</f>
        <v>290.69667785754848</v>
      </c>
      <c r="CE20" s="59">
        <f t="shared" si="40"/>
        <v>256.28124185489082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13.8</v>
      </c>
      <c r="CT20" s="12">
        <f>IF('Données projet'!$A$140&gt;35,CT19+CS20-DB19,IF(A20&lt;'Données projet'!$A$140,$CQ$205^A20,IF(A20='Données projet'!$A$140,'Données projet'!$B$140,CT19+CS20-DB19)))</f>
        <v>60.599999999999994</v>
      </c>
      <c r="CU20" s="17">
        <f>CT20*VLOOKUP('Données projet'!$B$13,Paramètres!$A$1:$I$89,3,0)*VLOOKUP('Données projet'!$B$13,Paramètres!$A$1:$I$89,5,0)</f>
        <v>52.940159999999999</v>
      </c>
      <c r="CV20" s="13">
        <f t="shared" si="41"/>
        <v>15.37052534377243</v>
      </c>
      <c r="CW20" s="20">
        <f t="shared" si="13"/>
        <v>118.97444364040366</v>
      </c>
      <c r="CX20" s="59">
        <f t="shared" si="14"/>
        <v>328.3405679562764</v>
      </c>
      <c r="CY20" s="59">
        <f ca="1">AVERAGE(OFFSET($CX$3,0,0,'Données projet'!$E$13+1,1))-AVERAGE(OFFSET($H$3,0,0,'Données projet'!$E$13+1,1))</f>
        <v>408.246209980743</v>
      </c>
      <c r="CZ20" s="59">
        <f t="shared" si="42"/>
        <v>394.10236303013903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3.858600662624712</v>
      </c>
      <c r="DH20" s="21">
        <f>EXP(-LN(2)/2)*DH19+(1-EXP(-LN(2)/2))/(LN(2)/2)*DB20*DE20*VLOOKUP('Données projet'!$B$13,Paramètres!$A$1:$I$89,3,0)*0.475*44/12</f>
        <v>3.2970604503970695</v>
      </c>
      <c r="DI20" s="22">
        <f t="shared" si="15"/>
        <v>7.1556611130217815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9.300476190476191</v>
      </c>
      <c r="DO20" s="12">
        <f>IF('Données projet'!$A$166&gt;35,DO19+DN20-DW19,IF(A20&lt;'Données projet'!$A$166,$DL$205^A20,IF(A20='Données projet'!$A$166,'Données projet'!$B$166,DO19+DN20-DW19)))</f>
        <v>71.514813044319794</v>
      </c>
      <c r="DP20" s="17">
        <f>DO20*VLOOKUP('Données projet'!$B$14,Paramètres!$A$1:$I$89,3,0)*VLOOKUP('Données projet'!$B$14,Paramètres!$A$1:$I$89,5,0)</f>
        <v>39.976780491774768</v>
      </c>
      <c r="DQ20" s="13">
        <f t="shared" si="43"/>
        <v>11.992492365518064</v>
      </c>
      <c r="DR20" s="20">
        <f t="shared" si="16"/>
        <v>90.513150226451685</v>
      </c>
      <c r="DS20" s="59">
        <f t="shared" si="17"/>
        <v>299.87927454232442</v>
      </c>
      <c r="DT20" s="59">
        <f ca="1">AVERAGE(OFFSET($DS$3,0,0,'Données projet'!$E$14+1,1))-AVERAGE(OFFSET($H$3,0,0,'Données projet'!$E$14+1,1))</f>
        <v>407.05634973057056</v>
      </c>
      <c r="DU20" s="59">
        <f t="shared" si="44"/>
        <v>375.32891954889965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6.7</v>
      </c>
      <c r="EJ20" s="12">
        <f>IF('Données projet'!$A$192&gt;35,EJ19+EI20-ER19,IF(A20&lt;'Données projet'!$A$192,$EG$205^A20,IF(A20='Données projet'!$A$192,'Données projet'!$B$192,EJ19+EI20-ER19)))</f>
        <v>64.274555013266735</v>
      </c>
      <c r="EK20" s="17">
        <f>EJ20*VLOOKUP('Données projet'!$B$15,Paramètres!$A$1:$I$89,3,0)*VLOOKUP('Données projet'!$B$15,Paramètres!$A$1:$I$89,5,0)</f>
        <v>28.4093533158639</v>
      </c>
      <c r="EL20" s="13">
        <f t="shared" si="45"/>
        <v>8.8680985745072238</v>
      </c>
      <c r="EM20" s="20">
        <f t="shared" si="19"/>
        <v>64.924895375729704</v>
      </c>
      <c r="EN20" s="59">
        <f t="shared" si="20"/>
        <v>274.2910196916024</v>
      </c>
      <c r="EO20" s="59">
        <f ca="1">AVERAGE(OFFSET($EN$3,0,0,'Données projet'!$E$15+1,1))-AVERAGE(OFFSET($H$3,0,0,'Données projet'!$E$15+1,1))</f>
        <v>418.28022549686278</v>
      </c>
      <c r="EP20" s="59">
        <f t="shared" si="46"/>
        <v>354.55070454517158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3.3603333333333336</v>
      </c>
      <c r="FE20" s="12">
        <f>IF('Données projet'!$A$218&gt;35,FE19+FD20-FM19,IF(A20&lt;'Données projet'!$A$218,$FB$205^A20,IF(A20='Données projet'!$A$218,'Données projet'!$B$218,FE19+FD20-FM19)))</f>
        <v>57.125666666666696</v>
      </c>
      <c r="FF20" s="17">
        <f>FE20*VLOOKUP('Données projet'!$B$16,Paramètres!$A$1:$I$89,3,0)*VLOOKUP('Données projet'!$B$16,Paramètres!$A$1:$I$89,5,0)</f>
        <v>65.054709200000033</v>
      </c>
      <c r="FG20" s="13">
        <f t="shared" si="47"/>
        <v>18.440180144791182</v>
      </c>
      <c r="FH20" s="20">
        <f t="shared" si="22"/>
        <v>145.42026560884469</v>
      </c>
      <c r="FI20" s="59">
        <f t="shared" si="23"/>
        <v>354.78638992471741</v>
      </c>
      <c r="FJ20" s="59">
        <f ca="1">AVERAGE(OFFSET($FI$3,0,0,'Données projet'!$E$16+1,1))-AVERAGE(OFFSET($H$3,0,0,'Données projet'!$E$16+1,1))</f>
        <v>640.05156427113661</v>
      </c>
      <c r="FK20" s="59">
        <f t="shared" si="48"/>
        <v>308.77220155372902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17.793333333333333</v>
      </c>
      <c r="N21" s="13">
        <f>IF('Données projet'!$A$36&gt;35,N20+M21-V20,IF(A21&lt;'Données projet'!$A$36,$K$205^A21,IF(A21='Données projet'!$A$36,'Données projet'!$B$36,N20+M21-V20)))</f>
        <v>100.24333333333333</v>
      </c>
      <c r="O21" s="13">
        <f>N21*VLOOKUP('Données projet'!$B$9,Paramètres!$A$1:$I$89,3,0)*VLOOKUP('Données projet'!$B$9,Paramètres!$A$1:$I$89,5,0)</f>
        <v>59.945513333333338</v>
      </c>
      <c r="P21" s="13">
        <f t="shared" si="33"/>
        <v>17.15449234531231</v>
      </c>
      <c r="Q21" s="20">
        <f t="shared" si="2"/>
        <v>134.28250989030781</v>
      </c>
      <c r="R21" s="59">
        <f t="shared" si="0"/>
        <v>346.05186308231089</v>
      </c>
      <c r="S21" s="59">
        <f ca="1">AVERAGE(OFFSET($R$3,0,0,'Données projet'!$E$9+1,1))-AVERAGE(OFFSET($H$3,0,0,'Données projet'!$E$9+1,1))</f>
        <v>318.50474972254085</v>
      </c>
      <c r="T21" s="59">
        <f t="shared" si="34"/>
        <v>326.45858332753562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7.1210468468478805</v>
      </c>
      <c r="AB21" s="21">
        <f>EXP(-LN(2)/2)*AB20+(1-EXP(-LN(2)/2))/(LN(2)/2)*V21*Y21*VLOOKUP('Données projet'!$B$9,Paramètres!$A$1:$I$89,3,0)*0.475*44/12</f>
        <v>9.8577561752670704</v>
      </c>
      <c r="AC21" s="22">
        <f t="shared" si="3"/>
        <v>16.978803022114953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7.7715686274509812</v>
      </c>
      <c r="AI21" s="13">
        <f>IF('Données projet'!$A$62&gt;35,AI20+AH21-AQ20,IF(A21&lt;'Données projet'!$A$62,$AF$205^A21,IF(A21='Données projet'!$A$62,'Données projet'!$B$62,AI20+AH21-AQ20)))</f>
        <v>139.88823529411764</v>
      </c>
      <c r="AJ21" s="13">
        <f>AI21*VLOOKUP('Données projet'!$B$10,Paramètres!$A$1:$I$89,3,0)*VLOOKUP('Données projet'!$B$10,Paramètres!$A$1:$I$89,5,0)</f>
        <v>65.467694117647056</v>
      </c>
      <c r="AK21" s="13">
        <f t="shared" si="35"/>
        <v>18.543579113671662</v>
      </c>
      <c r="AL21" s="20">
        <f t="shared" si="4"/>
        <v>146.31963421121341</v>
      </c>
      <c r="AM21" s="59">
        <f t="shared" si="5"/>
        <v>358.08898740321649</v>
      </c>
      <c r="AN21" s="59">
        <f ca="1">AVERAGE(OFFSET($AM$3,0,0,'Données projet'!$E$10+1,1))-AVERAGE(OFFSET($H$3,0,0,'Données projet'!$E$10+1,1))</f>
        <v>374.38106339726073</v>
      </c>
      <c r="AO21" s="59">
        <f t="shared" si="36"/>
        <v>296.53283288925957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4.0942857142857143</v>
      </c>
      <c r="BD21" s="12">
        <f>IF('Données projet'!$A$88&gt;35,BD20+BC21-BL20,IF(A21&lt;'Données projet'!$A$88,$BA$205^A21,IF(A21='Données projet'!$A$88,'Données projet'!$B$88,BD20+BC21-BL20)))</f>
        <v>73.697142857142893</v>
      </c>
      <c r="BE21" s="13">
        <f>BD21*VLOOKUP('Données projet'!$B$11,Paramètres!$A$1:$I$89,3,0)*VLOOKUP('Données projet'!$B$11,Paramètres!$A$1:$I$89,5,0)</f>
        <v>66.681174857142892</v>
      </c>
      <c r="BF21" s="13">
        <f t="shared" si="37"/>
        <v>18.846960938055496</v>
      </c>
      <c r="BG21" s="20">
        <f t="shared" si="7"/>
        <v>148.96150317663719</v>
      </c>
      <c r="BH21" s="59">
        <f t="shared" si="8"/>
        <v>360.73085636864027</v>
      </c>
      <c r="BI21" s="59">
        <f ca="1">AVERAGE(OFFSET($BH$3,0,0,'Données projet'!$E$11+1,1))-AVERAGE(OFFSET($H$3,0,0,'Données projet'!$E$11+1,1))</f>
        <v>681.47578137804555</v>
      </c>
      <c r="BJ21" s="59">
        <f t="shared" si="38"/>
        <v>300.88511065995885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6.1538461538461533</v>
      </c>
      <c r="BY21" s="12">
        <f>IF('Données projet'!$A$114&gt;35,BY20+BX21-CG20,IF(A21&lt;'Données projet'!$A$114,$BV$205^A21,IF(A21='Données projet'!$A$114,'Données projet'!$B$114,BY20+BX21-CG20)))</f>
        <v>56.92307692307692</v>
      </c>
      <c r="BZ21" s="13">
        <f>BY21*VLOOKUP('Données projet'!$B$12,Paramètres!$A$1:$I$89,3,0)*VLOOKUP('Données projet'!$B$12,Paramètres!$A$1:$I$89,5,0)</f>
        <v>59.496000000000009</v>
      </c>
      <c r="CA21" s="13">
        <f t="shared" si="39"/>
        <v>17.040779507379909</v>
      </c>
      <c r="CB21" s="20">
        <f t="shared" si="10"/>
        <v>133.30155764202001</v>
      </c>
      <c r="CC21" s="59">
        <f t="shared" si="11"/>
        <v>345.07091083402315</v>
      </c>
      <c r="CD21" s="59">
        <f ca="1">AVERAGE(OFFSET($CC$3,0,0,'Données projet'!$E$12+1,1))-AVERAGE(OFFSET($H$3,0,0,'Données projet'!$E$12+1,1))</f>
        <v>290.69667785754848</v>
      </c>
      <c r="CE21" s="59">
        <f t="shared" si="40"/>
        <v>256.28124185489082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13.8</v>
      </c>
      <c r="CT21" s="12">
        <f>IF('Données projet'!$A$140&gt;35,CT20+CS21-DB20,IF(A21&lt;'Données projet'!$A$140,$CQ$205^A21,IF(A21='Données projet'!$A$140,'Données projet'!$B$140,CT20+CS21-DB20)))</f>
        <v>74.399999999999991</v>
      </c>
      <c r="CU21" s="17">
        <f>CT21*VLOOKUP('Données projet'!$B$13,Paramètres!$A$1:$I$89,3,0)*VLOOKUP('Données projet'!$B$13,Paramètres!$A$1:$I$89,5,0)</f>
        <v>64.995840000000001</v>
      </c>
      <c r="CV21" s="13">
        <f t="shared" si="41"/>
        <v>18.425434860828894</v>
      </c>
      <c r="CW21" s="20">
        <f t="shared" si="13"/>
        <v>145.29205371594367</v>
      </c>
      <c r="CX21" s="59">
        <f t="shared" si="14"/>
        <v>357.06140690794678</v>
      </c>
      <c r="CY21" s="59">
        <f ca="1">AVERAGE(OFFSET($CX$3,0,0,'Données projet'!$E$13+1,1))-AVERAGE(OFFSET($H$3,0,0,'Données projet'!$E$13+1,1))</f>
        <v>408.246209980743</v>
      </c>
      <c r="CZ21" s="59">
        <f t="shared" si="42"/>
        <v>394.10236303013903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3.7530870245902492</v>
      </c>
      <c r="DH21" s="21">
        <f>EXP(-LN(2)/2)*DH20+(1-EXP(-LN(2)/2))/(LN(2)/2)*DB21*DE21*VLOOKUP('Données projet'!$B$13,Paramètres!$A$1:$I$89,3,0)*0.475*44/12</f>
        <v>2.3313738024577408</v>
      </c>
      <c r="DI21" s="22">
        <f t="shared" si="15"/>
        <v>6.0844608270479901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9.300476190476191</v>
      </c>
      <c r="DO21" s="12">
        <f>IF('Données projet'!$A$166&gt;35,DO20+DN21-DW20,IF(A21&lt;'Données projet'!$A$166,$DL$205^A21,IF(A21='Données projet'!$A$166,'Données projet'!$B$166,DO20+DN21-DW20)))</f>
        <v>91.934416869336488</v>
      </c>
      <c r="DP21" s="17">
        <f>DO21*VLOOKUP('Données projet'!$B$14,Paramètres!$A$1:$I$89,3,0)*VLOOKUP('Données projet'!$B$14,Paramètres!$A$1:$I$89,5,0)</f>
        <v>51.391339029959099</v>
      </c>
      <c r="DQ21" s="13">
        <f t="shared" si="43"/>
        <v>14.972503049611195</v>
      </c>
      <c r="DR21" s="20">
        <f t="shared" si="16"/>
        <v>115.58369162191825</v>
      </c>
      <c r="DS21" s="59">
        <f t="shared" si="17"/>
        <v>327.35304481392137</v>
      </c>
      <c r="DT21" s="59">
        <f ca="1">AVERAGE(OFFSET($DS$3,0,0,'Données projet'!$E$14+1,1))-AVERAGE(OFFSET($H$3,0,0,'Données projet'!$E$14+1,1))</f>
        <v>407.05634973057056</v>
      </c>
      <c r="DU21" s="59">
        <f t="shared" si="44"/>
        <v>375.32891954889965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6.7</v>
      </c>
      <c r="EJ21" s="12">
        <f>IF('Données projet'!$A$192&gt;35,EJ20+EI21-ER20,IF(A21&lt;'Données projet'!$A$192,$EG$205^A21,IF(A21='Données projet'!$A$192,'Données projet'!$B$192,EJ20+EI21-ER20)))</f>
        <v>82.109672236840183</v>
      </c>
      <c r="EK21" s="17">
        <f>EJ21*VLOOKUP('Données projet'!$B$15,Paramètres!$A$1:$I$89,3,0)*VLOOKUP('Données projet'!$B$15,Paramètres!$A$1:$I$89,5,0)</f>
        <v>36.292475128683364</v>
      </c>
      <c r="EL21" s="13">
        <f t="shared" si="45"/>
        <v>11.010473650188397</v>
      </c>
      <c r="EM21" s="20">
        <f t="shared" si="19"/>
        <v>82.385969123201647</v>
      </c>
      <c r="EN21" s="59">
        <f t="shared" si="20"/>
        <v>294.15532231520478</v>
      </c>
      <c r="EO21" s="59">
        <f ca="1">AVERAGE(OFFSET($EN$3,0,0,'Données projet'!$E$15+1,1))-AVERAGE(OFFSET($H$3,0,0,'Données projet'!$E$15+1,1))</f>
        <v>418.28022549686278</v>
      </c>
      <c r="EP21" s="59">
        <f t="shared" si="46"/>
        <v>354.55070454517158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3.3603333333333336</v>
      </c>
      <c r="FE21" s="12">
        <f>IF('Données projet'!$A$218&gt;35,FE20+FD21-FM20,IF(A21&lt;'Données projet'!$A$218,$FB$205^A21,IF(A21='Données projet'!$A$218,'Données projet'!$B$218,FE20+FD21-FM20)))</f>
        <v>60.486000000000033</v>
      </c>
      <c r="FF21" s="17">
        <f>FE21*VLOOKUP('Données projet'!$B$16,Paramètres!$A$1:$I$89,3,0)*VLOOKUP('Données projet'!$B$16,Paramètres!$A$1:$I$89,5,0)</f>
        <v>68.881456800000038</v>
      </c>
      <c r="FG21" s="13">
        <f t="shared" si="47"/>
        <v>19.395423996752726</v>
      </c>
      <c r="FH21" s="20">
        <f t="shared" si="22"/>
        <v>153.74890072101104</v>
      </c>
      <c r="FI21" s="59">
        <f t="shared" si="23"/>
        <v>365.51825391301418</v>
      </c>
      <c r="FJ21" s="59">
        <f ca="1">AVERAGE(OFFSET($FI$3,0,0,'Données projet'!$E$16+1,1))-AVERAGE(OFFSET($H$3,0,0,'Données projet'!$E$16+1,1))</f>
        <v>640.05156427113661</v>
      </c>
      <c r="FK21" s="59">
        <f t="shared" si="48"/>
        <v>308.77220155372902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17.793333333333333</v>
      </c>
      <c r="N22" s="13">
        <f>IF('Données projet'!$A$36&gt;35,N21+M22-V21,IF(A22&lt;'Données projet'!$A$36,$K$205^A22,IF(A22='Données projet'!$A$36,'Données projet'!$B$36,N21+M22-V21)))</f>
        <v>118.03666666666666</v>
      </c>
      <c r="O22" s="13">
        <f>N22*VLOOKUP('Données projet'!$B$9,Paramètres!$A$1:$I$89,3,0)*VLOOKUP('Données projet'!$B$9,Paramètres!$A$1:$I$89,5,0)</f>
        <v>70.585926666666666</v>
      </c>
      <c r="P22" s="13">
        <f t="shared" si="33"/>
        <v>19.818893148924182</v>
      </c>
      <c r="Q22" s="20">
        <f t="shared" si="2"/>
        <v>157.45506117882073</v>
      </c>
      <c r="R22" s="59">
        <f t="shared" si="0"/>
        <v>371.60715542184425</v>
      </c>
      <c r="S22" s="59">
        <f ca="1">AVERAGE(OFFSET($R$3,0,0,'Données projet'!$E$9+1,1))-AVERAGE(OFFSET($H$3,0,0,'Données projet'!$E$9+1,1))</f>
        <v>318.50474972254085</v>
      </c>
      <c r="T22" s="59">
        <f t="shared" si="34"/>
        <v>326.45858332753562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6.9263214463412472</v>
      </c>
      <c r="AB22" s="21">
        <f>EXP(-LN(2)/2)*AB21+(1-EXP(-LN(2)/2))/(LN(2)/2)*V22*Y22*VLOOKUP('Données projet'!$B$9,Paramètres!$A$1:$I$89,3,0)*0.475*44/12</f>
        <v>6.9704862388149103</v>
      </c>
      <c r="AC22" s="22">
        <f t="shared" si="3"/>
        <v>13.896807685156158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7.7715686274509812</v>
      </c>
      <c r="AI22" s="13">
        <f>IF('Données projet'!$A$62&gt;35,AI21+AH22-AQ21,IF(A22&lt;'Données projet'!$A$62,$AF$205^A22,IF(A22='Données projet'!$A$62,'Données projet'!$B$62,AI21+AH22-AQ21)))</f>
        <v>147.65980392156862</v>
      </c>
      <c r="AJ22" s="13">
        <f>AI22*VLOOKUP('Données projet'!$B$10,Paramètres!$A$1:$I$89,3,0)*VLOOKUP('Données projet'!$B$10,Paramètres!$A$1:$I$89,5,0)</f>
        <v>69.104788235294123</v>
      </c>
      <c r="AK22" s="13">
        <f t="shared" si="35"/>
        <v>19.450978677796666</v>
      </c>
      <c r="AL22" s="20">
        <f t="shared" si="4"/>
        <v>154.23462737363312</v>
      </c>
      <c r="AM22" s="59">
        <f t="shared" si="5"/>
        <v>368.38672161665664</v>
      </c>
      <c r="AN22" s="59">
        <f ca="1">AVERAGE(OFFSET($AM$3,0,0,'Données projet'!$E$10+1,1))-AVERAGE(OFFSET($H$3,0,0,'Données projet'!$E$10+1,1))</f>
        <v>374.38106339726073</v>
      </c>
      <c r="AO22" s="59">
        <f t="shared" si="36"/>
        <v>296.53283288925957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4.0942857142857143</v>
      </c>
      <c r="BD22" s="12">
        <f>IF('Données projet'!$A$88&gt;35,BD21+BC22-BL21,IF(A22&lt;'Données projet'!$A$88,$BA$205^A22,IF(A22='Données projet'!$A$88,'Données projet'!$B$88,BD21+BC22-BL21)))</f>
        <v>77.791428571428611</v>
      </c>
      <c r="BE22" s="13">
        <f>BD22*VLOOKUP('Données projet'!$B$11,Paramètres!$A$1:$I$89,3,0)*VLOOKUP('Données projet'!$B$11,Paramètres!$A$1:$I$89,5,0)</f>
        <v>70.385684571428612</v>
      </c>
      <c r="BF22" s="13">
        <f t="shared" si="37"/>
        <v>19.769205993092573</v>
      </c>
      <c r="BG22" s="20">
        <f t="shared" si="7"/>
        <v>157.01976773320771</v>
      </c>
      <c r="BH22" s="59">
        <f t="shared" si="8"/>
        <v>371.17186197623124</v>
      </c>
      <c r="BI22" s="59">
        <f ca="1">AVERAGE(OFFSET($BH$3,0,0,'Données projet'!$E$11+1,1))-AVERAGE(OFFSET($H$3,0,0,'Données projet'!$E$11+1,1))</f>
        <v>681.47578137804555</v>
      </c>
      <c r="BJ22" s="59">
        <f t="shared" si="38"/>
        <v>300.88511065995885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6.1538461538461533</v>
      </c>
      <c r="BY22" s="12">
        <f>IF('Données projet'!$A$114&gt;35,BY21+BX22-CG21,IF(A22&lt;'Données projet'!$A$114,$BV$205^A22,IF(A22='Données projet'!$A$114,'Données projet'!$B$114,BY21+BX22-CG21)))</f>
        <v>63.076923076923073</v>
      </c>
      <c r="BZ22" s="13">
        <f>BY22*VLOOKUP('Données projet'!$B$12,Paramètres!$A$1:$I$89,3,0)*VLOOKUP('Données projet'!$B$12,Paramètres!$A$1:$I$89,5,0)</f>
        <v>65.928000000000011</v>
      </c>
      <c r="CA22" s="13">
        <f t="shared" si="39"/>
        <v>18.658736410003279</v>
      </c>
      <c r="CB22" s="20">
        <f t="shared" si="10"/>
        <v>147.32189924742238</v>
      </c>
      <c r="CC22" s="59">
        <f t="shared" si="11"/>
        <v>361.47399349044588</v>
      </c>
      <c r="CD22" s="59">
        <f ca="1">AVERAGE(OFFSET($CC$3,0,0,'Données projet'!$E$12+1,1))-AVERAGE(OFFSET($H$3,0,0,'Données projet'!$E$12+1,1))</f>
        <v>290.69667785754848</v>
      </c>
      <c r="CE22" s="59">
        <f t="shared" si="40"/>
        <v>256.28124185489082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13.8</v>
      </c>
      <c r="CT22" s="12">
        <f>IF('Données projet'!$A$140&gt;35,CT21+CS22-DB21,IF(A22&lt;'Données projet'!$A$140,$CQ$205^A22,IF(A22='Données projet'!$A$140,'Données projet'!$B$140,CT21+CS22-DB21)))</f>
        <v>88.199999999999989</v>
      </c>
      <c r="CU22" s="17">
        <f>CT22*VLOOKUP('Données projet'!$B$13,Paramètres!$A$1:$I$89,3,0)*VLOOKUP('Données projet'!$B$13,Paramètres!$A$1:$I$89,5,0)</f>
        <v>77.051519999999996</v>
      </c>
      <c r="CV22" s="13">
        <f t="shared" si="41"/>
        <v>21.414697423431697</v>
      </c>
      <c r="CW22" s="20">
        <f t="shared" si="13"/>
        <v>171.49532867914351</v>
      </c>
      <c r="CX22" s="59">
        <f t="shared" si="14"/>
        <v>385.64742292216704</v>
      </c>
      <c r="CY22" s="59">
        <f ca="1">AVERAGE(OFFSET($CX$3,0,0,'Données projet'!$E$13+1,1))-AVERAGE(OFFSET($H$3,0,0,'Données projet'!$E$13+1,1))</f>
        <v>408.246209980743</v>
      </c>
      <c r="CZ22" s="59">
        <f t="shared" si="42"/>
        <v>394.10236303013903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3.6504586625365603</v>
      </c>
      <c r="DH22" s="21">
        <f>EXP(-LN(2)/2)*DH21+(1-EXP(-LN(2)/2))/(LN(2)/2)*DB22*DE22*VLOOKUP('Données projet'!$B$13,Paramètres!$A$1:$I$89,3,0)*0.475*44/12</f>
        <v>1.6485302251985352</v>
      </c>
      <c r="DI22" s="22">
        <f t="shared" si="15"/>
        <v>5.2989888877350957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9.300476190476191</v>
      </c>
      <c r="DO22" s="12">
        <f>IF('Données projet'!$A$166&gt;35,DO21+DN22-DW21,IF(A22&lt;'Données projet'!$A$166,$DL$205^A22,IF(A22='Données projet'!$A$166,'Données projet'!$B$166,DO21+DN22-DW21)))</f>
        <v>118.18442425161669</v>
      </c>
      <c r="DP22" s="17">
        <f>DO22*VLOOKUP('Données projet'!$B$14,Paramètres!$A$1:$I$89,3,0)*VLOOKUP('Données projet'!$B$14,Paramètres!$A$1:$I$89,5,0)</f>
        <v>66.065093156653731</v>
      </c>
      <c r="DQ22" s="13">
        <f t="shared" si="43"/>
        <v>18.693015658295351</v>
      </c>
      <c r="DR22" s="20">
        <f t="shared" si="16"/>
        <v>147.62037285270299</v>
      </c>
      <c r="DS22" s="59">
        <f t="shared" si="17"/>
        <v>361.77246709572648</v>
      </c>
      <c r="DT22" s="59">
        <f ca="1">AVERAGE(OFFSET($DS$3,0,0,'Données projet'!$E$14+1,1))-AVERAGE(OFFSET($H$3,0,0,'Données projet'!$E$14+1,1))</f>
        <v>407.05634973057056</v>
      </c>
      <c r="DU22" s="59">
        <f t="shared" si="44"/>
        <v>375.32891954889965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6.7</v>
      </c>
      <c r="EJ22" s="12">
        <f>IF('Données projet'!$A$192&gt;35,EJ21+EI22-ER21,IF(A22&lt;'Données projet'!$A$192,$EG$205^A22,IF(A22='Données projet'!$A$192,'Données projet'!$B$192,EJ21+EI22-ER21)))</f>
        <v>104.89373708537892</v>
      </c>
      <c r="EK22" s="17">
        <f>EJ22*VLOOKUP('Données projet'!$B$15,Paramètres!$A$1:$I$89,3,0)*VLOOKUP('Données projet'!$B$15,Paramètres!$A$1:$I$89,5,0)</f>
        <v>46.363031791737484</v>
      </c>
      <c r="EL22" s="13">
        <f t="shared" si="45"/>
        <v>13.670408485308201</v>
      </c>
      <c r="EM22" s="20">
        <f t="shared" si="19"/>
        <v>104.55824181585456</v>
      </c>
      <c r="EN22" s="59">
        <f t="shared" si="20"/>
        <v>318.71033605887806</v>
      </c>
      <c r="EO22" s="59">
        <f ca="1">AVERAGE(OFFSET($EN$3,0,0,'Données projet'!$E$15+1,1))-AVERAGE(OFFSET($H$3,0,0,'Données projet'!$E$15+1,1))</f>
        <v>418.28022549686278</v>
      </c>
      <c r="EP22" s="59">
        <f t="shared" si="46"/>
        <v>354.55070454517158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3.3603333333333336</v>
      </c>
      <c r="FE22" s="12">
        <f>IF('Données projet'!$A$218&gt;35,FE21+FD22-FM21,IF(A22&lt;'Données projet'!$A$218,$FB$205^A22,IF(A22='Données projet'!$A$218,'Données projet'!$B$218,FE21+FD22-FM21)))</f>
        <v>63.846333333333369</v>
      </c>
      <c r="FF22" s="17">
        <f>FE22*VLOOKUP('Données projet'!$B$16,Paramètres!$A$1:$I$89,3,0)*VLOOKUP('Données projet'!$B$16,Paramètres!$A$1:$I$89,5,0)</f>
        <v>72.708204400000042</v>
      </c>
      <c r="FG22" s="13">
        <f t="shared" si="47"/>
        <v>20.344507190066661</v>
      </c>
      <c r="FH22" s="20">
        <f t="shared" si="22"/>
        <v>162.06680601936617</v>
      </c>
      <c r="FI22" s="59">
        <f t="shared" si="23"/>
        <v>376.2189002623897</v>
      </c>
      <c r="FJ22" s="59">
        <f ca="1">AVERAGE(OFFSET($FI$3,0,0,'Données projet'!$E$16+1,1))-AVERAGE(OFFSET($H$3,0,0,'Données projet'!$E$16+1,1))</f>
        <v>640.05156427113661</v>
      </c>
      <c r="FK22" s="59">
        <f t="shared" si="48"/>
        <v>308.77220155372902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17.793333333333333</v>
      </c>
      <c r="N23" s="13">
        <f>IF('Données projet'!$A$36&gt;35,N22+M23-V22,IF(A23&lt;'Données projet'!$A$36,$K$205^A23,IF(A23='Données projet'!$A$36,'Données projet'!$B$36,N22+M23-V22)))</f>
        <v>135.82999999999998</v>
      </c>
      <c r="O23" s="13">
        <f>N23*VLOOKUP('Données projet'!$B$9,Paramètres!$A$1:$I$89,3,0)*VLOOKUP('Données projet'!$B$9,Paramètres!$A$1:$I$89,5,0)</f>
        <v>81.226339999999993</v>
      </c>
      <c r="P23" s="13">
        <f t="shared" si="33"/>
        <v>22.43676463604092</v>
      </c>
      <c r="Q23" s="20">
        <f t="shared" si="2"/>
        <v>180.54657390777126</v>
      </c>
      <c r="R23" s="59">
        <f t="shared" si="0"/>
        <v>397.06127679466698</v>
      </c>
      <c r="S23" s="59">
        <f ca="1">AVERAGE(OFFSET($R$3,0,0,'Données projet'!$E$9+1,1))-AVERAGE(OFFSET($H$3,0,0,'Données projet'!$E$9+1,1))</f>
        <v>318.50474972254085</v>
      </c>
      <c r="T23" s="59">
        <f t="shared" si="34"/>
        <v>326.45858332753562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6.7369208221516317</v>
      </c>
      <c r="AB23" s="21">
        <f>EXP(-LN(2)/2)*AB22+(1-EXP(-LN(2)/2))/(LN(2)/2)*V23*Y23*VLOOKUP('Données projet'!$B$9,Paramètres!$A$1:$I$89,3,0)*0.475*44/12</f>
        <v>4.9288780876335361</v>
      </c>
      <c r="AC23" s="22">
        <f t="shared" si="3"/>
        <v>11.665798909785167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7.7715686274509812</v>
      </c>
      <c r="AI23" s="13">
        <f>IF('Données projet'!$A$62&gt;35,AI22+AH23-AQ22,IF(A23&lt;'Données projet'!$A$62,$AF$205^A23,IF(A23='Données projet'!$A$62,'Données projet'!$B$62,AI22+AH23-AQ22)))</f>
        <v>155.43137254901961</v>
      </c>
      <c r="AJ23" s="13">
        <f>AI23*VLOOKUP('Données projet'!$B$10,Paramètres!$A$1:$I$89,3,0)*VLOOKUP('Données projet'!$B$10,Paramètres!$A$1:$I$89,5,0)</f>
        <v>72.741882352941175</v>
      </c>
      <c r="AK23" s="13">
        <f t="shared" si="35"/>
        <v>20.352833516665445</v>
      </c>
      <c r="AL23" s="20">
        <f t="shared" si="4"/>
        <v>162.13996347289819</v>
      </c>
      <c r="AM23" s="59">
        <f t="shared" si="5"/>
        <v>378.65466635979391</v>
      </c>
      <c r="AN23" s="59">
        <f ca="1">AVERAGE(OFFSET($AM$3,0,0,'Données projet'!$E$10+1,1))-AVERAGE(OFFSET($H$3,0,0,'Données projet'!$E$10+1,1))</f>
        <v>374.38106339726073</v>
      </c>
      <c r="AO23" s="59">
        <f t="shared" si="36"/>
        <v>296.53283288925957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4.0942857142857143</v>
      </c>
      <c r="BD23" s="12">
        <f>IF('Données projet'!$A$88&gt;35,BD22+BC23-BL22,IF(A23&lt;'Données projet'!$A$88,$BA$205^A23,IF(A23='Données projet'!$A$88,'Données projet'!$B$88,BD22+BC23-BL22)))</f>
        <v>81.885714285714329</v>
      </c>
      <c r="BE23" s="13">
        <f>BD23*VLOOKUP('Données projet'!$B$11,Paramètres!$A$1:$I$89,3,0)*VLOOKUP('Données projet'!$B$11,Paramètres!$A$1:$I$89,5,0)</f>
        <v>74.090194285714318</v>
      </c>
      <c r="BF23" s="13">
        <f t="shared" si="37"/>
        <v>20.685815608516002</v>
      </c>
      <c r="BG23" s="20">
        <f t="shared" si="7"/>
        <v>165.06821723245113</v>
      </c>
      <c r="BH23" s="59">
        <f t="shared" si="8"/>
        <v>381.58292011934685</v>
      </c>
      <c r="BI23" s="59">
        <f ca="1">AVERAGE(OFFSET($BH$3,0,0,'Données projet'!$E$11+1,1))-AVERAGE(OFFSET($H$3,0,0,'Données projet'!$E$11+1,1))</f>
        <v>681.47578137804555</v>
      </c>
      <c r="BJ23" s="59">
        <f t="shared" si="38"/>
        <v>300.88511065995885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69.230769230769226</v>
      </c>
      <c r="BW23" s="12">
        <f>VLOOKUP(A23,'Données projet'!$A$113:$I$133,9,0)</f>
        <v>6.1538461538461533</v>
      </c>
      <c r="BX23" s="12">
        <f t="array" ref="BX23">INDEX(BW:BW,MIN(IF(ISNUMBER(BW23:BW219),ROW(BW23:BW219),"")))</f>
        <v>6.1538461538461533</v>
      </c>
      <c r="BY23" s="12">
        <f>IF('Données projet'!$A$114&gt;35,BY22+BX23-CG22,IF(A23&lt;'Données projet'!$A$114,$BV$205^A23,IF(A23='Données projet'!$A$114,'Données projet'!$B$114,BY22+BX23-CG22)))</f>
        <v>69.230769230769226</v>
      </c>
      <c r="BZ23" s="13">
        <f>BY23*VLOOKUP('Données projet'!$B$12,Paramètres!$A$1:$I$89,3,0)*VLOOKUP('Données projet'!$B$12,Paramètres!$A$1:$I$89,5,0)</f>
        <v>72.36</v>
      </c>
      <c r="CA23" s="13">
        <f t="shared" si="39"/>
        <v>20.258392951825481</v>
      </c>
      <c r="CB23" s="20">
        <f t="shared" si="10"/>
        <v>161.31036772442937</v>
      </c>
      <c r="CC23" s="59">
        <f t="shared" si="11"/>
        <v>377.82507061132509</v>
      </c>
      <c r="CD23" s="59">
        <f ca="1">AVERAGE(OFFSET($CC$3,0,0,'Données projet'!$E$12+1,1))-AVERAGE(OFFSET($H$3,0,0,'Données projet'!$E$12+1,1))</f>
        <v>290.69667785754848</v>
      </c>
      <c r="CE23" s="59">
        <f t="shared" si="40"/>
        <v>256.28124185489082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26.282051282051281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0.215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6.5032563186604611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6.5032563186604611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102</v>
      </c>
      <c r="CR23" s="12">
        <f>VLOOKUP(A23,'Données projet'!$A$139:$I$159,9,0)</f>
        <v>13.8</v>
      </c>
      <c r="CS23" s="12">
        <f t="array" ref="CS23">INDEX(CR:CR,MIN(IF(ISNUMBER(CR23:CR219),ROW(CR23:CR219),"")))</f>
        <v>13.8</v>
      </c>
      <c r="CT23" s="12">
        <f>IF('Données projet'!$A$140&gt;35,CT22+CS23-DB22,IF(A23&lt;'Données projet'!$A$140,$CQ$205^A23,IF(A23='Données projet'!$A$140,'Données projet'!$B$140,CT22+CS23-DB22)))</f>
        <v>101.99999999999999</v>
      </c>
      <c r="CU23" s="17">
        <f>CT23*VLOOKUP('Données projet'!$B$13,Paramètres!$A$1:$I$89,3,0)*VLOOKUP('Données projet'!$B$13,Paramètres!$A$1:$I$89,5,0)</f>
        <v>89.107200000000006</v>
      </c>
      <c r="CV23" s="13">
        <f t="shared" si="41"/>
        <v>24.349778356363352</v>
      </c>
      <c r="CW23" s="20">
        <f t="shared" si="13"/>
        <v>197.6042373039995</v>
      </c>
      <c r="CX23" s="59">
        <f t="shared" si="14"/>
        <v>414.11894019089522</v>
      </c>
      <c r="CY23" s="59">
        <f ca="1">AVERAGE(OFFSET($CX$3,0,0,'Données projet'!$E$13+1,1))-AVERAGE(OFFSET($H$3,0,0,'Données projet'!$E$13+1,1))</f>
        <v>408.246209980743</v>
      </c>
      <c r="CZ23" s="59">
        <f t="shared" si="42"/>
        <v>394.10236303013903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35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8.0116169256300509</v>
      </c>
      <c r="DH23" s="21">
        <f>EXP(-LN(2)/2)*DH22+(1-EXP(-LN(2)/2))/(LN(2)/2)*DB23*DE23*VLOOKUP('Données projet'!$B$13,Paramètres!$A$1:$I$89,3,0)*0.475*44/12</f>
        <v>8.3780066364724597</v>
      </c>
      <c r="DI23" s="22">
        <f t="shared" si="15"/>
        <v>16.389623562102511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9.300476190476191</v>
      </c>
      <c r="DO23" s="12">
        <f>IF('Données projet'!$A$166&gt;35,DO22+DN23-DW22,IF(A23&lt;'Données projet'!$A$166,$DL$205^A23,IF(A23='Données projet'!$A$166,'Données projet'!$B$166,DO22+DN23-DW22)))</f>
        <v>151.92958862770377</v>
      </c>
      <c r="DP23" s="17">
        <f>DO23*VLOOKUP('Données projet'!$B$14,Paramètres!$A$1:$I$89,3,0)*VLOOKUP('Données projet'!$B$14,Paramètres!$A$1:$I$89,5,0)</f>
        <v>84.928640042886414</v>
      </c>
      <c r="DQ23" s="13">
        <f t="shared" si="43"/>
        <v>23.338037283642365</v>
      </c>
      <c r="DR23" s="20">
        <f t="shared" si="16"/>
        <v>188.56446301037093</v>
      </c>
      <c r="DS23" s="59">
        <f t="shared" si="17"/>
        <v>405.07916589726665</v>
      </c>
      <c r="DT23" s="59">
        <f ca="1">AVERAGE(OFFSET($DS$3,0,0,'Données projet'!$E$14+1,1))-AVERAGE(OFFSET($H$3,0,0,'Données projet'!$E$14+1,1))</f>
        <v>407.05634973057056</v>
      </c>
      <c r="DU23" s="59">
        <f t="shared" si="44"/>
        <v>375.32891954889965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134</v>
      </c>
      <c r="EH23" s="12">
        <f>VLOOKUP(A23,'Données projet'!$A$191:$I$211,9,0)</f>
        <v>6.7</v>
      </c>
      <c r="EI23" s="12">
        <f t="array" ref="EI23">INDEX(EH:EH,MIN(IF(ISNUMBER(EH23:EH219),ROW(EH23:EH219),"")))</f>
        <v>6.7</v>
      </c>
      <c r="EJ23" s="12">
        <f>IF('Données projet'!$A$192&gt;35,EJ22+EI23-ER22,IF(A23&lt;'Données projet'!$A$192,$EG$205^A23,IF(A23='Données projet'!$A$192,'Données projet'!$B$192,EJ22+EI23-ER22)))</f>
        <v>134</v>
      </c>
      <c r="EK23" s="17">
        <f>EJ23*VLOOKUP('Données projet'!$B$15,Paramètres!$A$1:$I$89,3,0)*VLOOKUP('Données projet'!$B$15,Paramètres!$A$1:$I$89,5,0)</f>
        <v>59.228000000000002</v>
      </c>
      <c r="EL23" s="13">
        <f t="shared" si="45"/>
        <v>16.972936323405893</v>
      </c>
      <c r="EM23" s="20">
        <f t="shared" si="19"/>
        <v>132.71663076326527</v>
      </c>
      <c r="EN23" s="59">
        <f t="shared" si="20"/>
        <v>349.23133365016099</v>
      </c>
      <c r="EO23" s="59">
        <f ca="1">AVERAGE(OFFSET($EN$3,0,0,'Données projet'!$E$15+1,1))-AVERAGE(OFFSET($H$3,0,0,'Données projet'!$E$15+1,1))</f>
        <v>418.28022549686278</v>
      </c>
      <c r="EP23" s="59">
        <f t="shared" si="46"/>
        <v>354.55070454517158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5</v>
      </c>
      <c r="ES23" s="16">
        <f>IF(ISNA(VLOOKUP(A23,'Données projet'!$A$191:$I$211,5,0)),0%,VLOOKUP(A23,'Données projet'!$A$191:$I$211,5,0)*VLOOKUP('Données projet'!$B$15,Paramètres!$A$1:$I$89,7,0))</f>
        <v>0.13750000000000001</v>
      </c>
      <c r="ET23" s="16">
        <f>IF(ISNA(VLOOKUP(A23,'Données projet'!$A$191:$I$211,6,0)),0%,VLOOKUP(A23,'Données projet'!$A$191:$I$211,6,0)*VLOOKUP('Données projet'!$B$15,Paramètres!$A$1:$I$89,7,0))</f>
        <v>0.20350000000000001</v>
      </c>
      <c r="EU23" s="16">
        <f>IF(ISNA(VLOOKUP(A23,'Données projet'!$A$191:$I$211,7,0)),0%,VLOOKUP(A23,'Données projet'!$A$191:$I$211,7,0))</f>
        <v>0.38</v>
      </c>
      <c r="EV23" s="21">
        <f>EXP(-LN(2)/35)*EV22+(1-EXP(-LN(2)/35))/(LN(2)/35)*ER23*ES23*VLOOKUP('Données projet'!$B$15,Paramètres!$A$1:$I$89,3,0)*0.475*44/12</f>
        <v>0.40310977389669028</v>
      </c>
      <c r="EW23" s="21">
        <f>EXP(-LN(2)/25)*EW22+(1-EXP(-LN(2)/25))/(LN(2)/25)*Calculateur!ER23*Calculateur!ET23*VLOOKUP('Données projet'!$B$15,Paramètres!$A$1:$I$89,3,0)*0.475*44/12</f>
        <v>0.59425341413759025</v>
      </c>
      <c r="EX23" s="21">
        <f>EXP(-LN(2)/2)*EX22+(1-EXP(-LN(2)/2))/(LN(2)/2)*ER23*EU23*VLOOKUP('Données projet'!$B$15,Paramètres!$A$1:$I$89,3,0)*0.475*44/12</f>
        <v>0.95084868346272611</v>
      </c>
      <c r="EY23" s="22">
        <f t="shared" si="21"/>
        <v>1.9482118714970067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3.3603333333333336</v>
      </c>
      <c r="FE23" s="12">
        <f>IF('Données projet'!$A$218&gt;35,FE22+FD23-FM22,IF(A23&lt;'Données projet'!$A$218,$FB$205^A23,IF(A23='Données projet'!$A$218,'Données projet'!$B$218,FE22+FD23-FM22)))</f>
        <v>67.206666666666706</v>
      </c>
      <c r="FF23" s="17">
        <f>FE23*VLOOKUP('Données projet'!$B$16,Paramètres!$A$1:$I$89,3,0)*VLOOKUP('Données projet'!$B$16,Paramètres!$A$1:$I$89,5,0)</f>
        <v>76.534952000000047</v>
      </c>
      <c r="FG23" s="13">
        <f t="shared" si="47"/>
        <v>21.287790947541872</v>
      </c>
      <c r="FH23" s="20">
        <f t="shared" si="22"/>
        <v>170.37461063363551</v>
      </c>
      <c r="FI23" s="59">
        <f t="shared" si="23"/>
        <v>386.88931352053123</v>
      </c>
      <c r="FJ23" s="59">
        <f ca="1">AVERAGE(OFFSET($FI$3,0,0,'Données projet'!$E$16+1,1))-AVERAGE(OFFSET($H$3,0,0,'Données projet'!$E$16+1,1))</f>
        <v>640.05156427113661</v>
      </c>
      <c r="FK23" s="59">
        <f t="shared" si="48"/>
        <v>308.77220155372902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17.793333333333333</v>
      </c>
      <c r="N24" s="13">
        <f>IF('Données projet'!$A$36&gt;35,N23+M24-V23,IF(A24&lt;'Données projet'!$A$36,$K$205^A24,IF(A24='Données projet'!$A$36,'Données projet'!$B$36,N23+M24-V23)))</f>
        <v>153.62333333333331</v>
      </c>
      <c r="O24" s="13">
        <f>N24*VLOOKUP('Données projet'!$B$9,Paramètres!$A$1:$I$89,3,0)*VLOOKUP('Données projet'!$B$9,Paramètres!$A$1:$I$89,5,0)</f>
        <v>91.866753333333321</v>
      </c>
      <c r="P24" s="13">
        <f t="shared" si="33"/>
        <v>25.014901610216608</v>
      </c>
      <c r="Q24" s="20">
        <f t="shared" si="2"/>
        <v>203.56888236001612</v>
      </c>
      <c r="R24" s="59">
        <f t="shared" si="0"/>
        <v>422.4264107358905</v>
      </c>
      <c r="S24" s="59">
        <f ca="1">AVERAGE(OFFSET($R$3,0,0,'Données projet'!$E$9+1,1))-AVERAGE(OFFSET($H$3,0,0,'Données projet'!$E$9+1,1))</f>
        <v>318.50474972254085</v>
      </c>
      <c r="T24" s="59">
        <f t="shared" si="34"/>
        <v>326.45858332753562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6.5526993679906269</v>
      </c>
      <c r="AB24" s="21">
        <f>EXP(-LN(2)/2)*AB23+(1-EXP(-LN(2)/2))/(LN(2)/2)*V24*Y24*VLOOKUP('Données projet'!$B$9,Paramètres!$A$1:$I$89,3,0)*0.475*44/12</f>
        <v>3.485243119407456</v>
      </c>
      <c r="AC24" s="22">
        <f t="shared" si="3"/>
        <v>10.037942487398084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7.7715686274509812</v>
      </c>
      <c r="AI24" s="13">
        <f>IF('Données projet'!$A$62&gt;35,AI23+AH24-AQ23,IF(A24&lt;'Données projet'!$A$62,$AF$205^A24,IF(A24='Données projet'!$A$62,'Données projet'!$B$62,AI23+AH24-AQ23)))</f>
        <v>163.2029411764706</v>
      </c>
      <c r="AJ24" s="13">
        <f>AI24*VLOOKUP('Données projet'!$B$10,Paramètres!$A$1:$I$89,3,0)*VLOOKUP('Données projet'!$B$10,Paramètres!$A$1:$I$89,5,0)</f>
        <v>76.378976470588242</v>
      </c>
      <c r="AK24" s="13">
        <f t="shared" si="35"/>
        <v>21.249452501517116</v>
      </c>
      <c r="AL24" s="20">
        <f t="shared" si="4"/>
        <v>170.03618045975017</v>
      </c>
      <c r="AM24" s="59">
        <f t="shared" si="5"/>
        <v>388.89370883562458</v>
      </c>
      <c r="AN24" s="59">
        <f ca="1">AVERAGE(OFFSET($AM$3,0,0,'Données projet'!$E$10+1,1))-AVERAGE(OFFSET($H$3,0,0,'Données projet'!$E$10+1,1))</f>
        <v>374.38106339726073</v>
      </c>
      <c r="AO24" s="59">
        <f t="shared" si="36"/>
        <v>296.53283288925957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4.0942857142857143</v>
      </c>
      <c r="BD24" s="12">
        <f>IF('Données projet'!$A$88&gt;35,BD23+BC24-BL23,IF(A24&lt;'Données projet'!$A$88,$BA$205^A24,IF(A24='Données projet'!$A$88,'Données projet'!$B$88,BD23+BC24-BL23)))</f>
        <v>85.980000000000047</v>
      </c>
      <c r="BE24" s="13">
        <f>BD24*VLOOKUP('Données projet'!$B$11,Paramètres!$A$1:$I$89,3,0)*VLOOKUP('Données projet'!$B$11,Paramètres!$A$1:$I$89,5,0)</f>
        <v>77.794704000000038</v>
      </c>
      <c r="BF24" s="13">
        <f t="shared" si="37"/>
        <v>21.597103708846074</v>
      </c>
      <c r="BG24" s="20">
        <f t="shared" si="7"/>
        <v>173.10739842624028</v>
      </c>
      <c r="BH24" s="59">
        <f t="shared" si="8"/>
        <v>391.96492680211463</v>
      </c>
      <c r="BI24" s="59">
        <f ca="1">AVERAGE(OFFSET($BH$3,0,0,'Données projet'!$E$11+1,1))-AVERAGE(OFFSET($H$3,0,0,'Données projet'!$E$11+1,1))</f>
        <v>681.47578137804555</v>
      </c>
      <c r="BJ24" s="59">
        <f t="shared" si="38"/>
        <v>300.88511065995885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5.8974358974358978</v>
      </c>
      <c r="BY24" s="12">
        <f>IF('Données projet'!$A$114&gt;35,BY23+BX24-CG23,IF(A24&lt;'Données projet'!$A$114,$BV$205^A24,IF(A24='Données projet'!$A$114,'Données projet'!$B$114,BY23+BX24-CG23)))</f>
        <v>48.84615384615384</v>
      </c>
      <c r="BZ24" s="13">
        <f>BY24*VLOOKUP('Données projet'!$B$12,Paramètres!$A$1:$I$89,3,0)*VLOOKUP('Données projet'!$B$12,Paramètres!$A$1:$I$89,5,0)</f>
        <v>51.053999999999995</v>
      </c>
      <c r="CA24" s="13">
        <f t="shared" si="39"/>
        <v>14.885628400243496</v>
      </c>
      <c r="CB24" s="20">
        <f t="shared" si="10"/>
        <v>114.84485279709075</v>
      </c>
      <c r="CC24" s="59">
        <f t="shared" si="11"/>
        <v>333.70238117296515</v>
      </c>
      <c r="CD24" s="59">
        <f ca="1">AVERAGE(OFFSET($CC$3,0,0,'Données projet'!$E$12+1,1))-AVERAGE(OFFSET($H$3,0,0,'Données projet'!$E$12+1,1))</f>
        <v>290.69667785754848</v>
      </c>
      <c r="CE24" s="59">
        <f t="shared" si="40"/>
        <v>256.28124185489082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6.3254244326353044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6.3254244326353044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14.8</v>
      </c>
      <c r="CT24" s="12">
        <f>IF('Données projet'!$A$140&gt;35,CT23+CS24-DB23,IF(A24&lt;'Données projet'!$A$140,$CQ$205^A24,IF(A24='Données projet'!$A$140,'Données projet'!$B$140,CT23+CS24-DB23)))</f>
        <v>81.799999999999983</v>
      </c>
      <c r="CU24" s="17">
        <f>CT24*VLOOKUP('Données projet'!$B$13,Paramètres!$A$1:$I$89,3,0)*VLOOKUP('Données projet'!$B$13,Paramètres!$A$1:$I$89,5,0)</f>
        <v>71.46047999999999</v>
      </c>
      <c r="CV24" s="13">
        <f t="shared" si="41"/>
        <v>20.035709203981977</v>
      </c>
      <c r="CW24" s="20">
        <f t="shared" si="13"/>
        <v>159.35586286360191</v>
      </c>
      <c r="CX24" s="59">
        <f t="shared" si="14"/>
        <v>378.21339123947632</v>
      </c>
      <c r="CY24" s="59">
        <f ca="1">AVERAGE(OFFSET($CX$3,0,0,'Données projet'!$E$13+1,1))-AVERAGE(OFFSET($H$3,0,0,'Données projet'!$E$13+1,1))</f>
        <v>408.246209980743</v>
      </c>
      <c r="CZ24" s="59">
        <f t="shared" si="42"/>
        <v>394.10236303013903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7.792538839486074</v>
      </c>
      <c r="DH24" s="21">
        <f>EXP(-LN(2)/2)*DH23+(1-EXP(-LN(2)/2))/(LN(2)/2)*DB24*DE24*VLOOKUP('Données projet'!$B$13,Paramètres!$A$1:$I$89,3,0)*0.475*44/12</f>
        <v>5.9241453054755748</v>
      </c>
      <c r="DI24" s="22">
        <f t="shared" si="15"/>
        <v>13.716684144961649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>
        <f>VLOOKUP(A24,'Données projet'!$A$165:$I$185,2,0)</f>
        <v>195.31</v>
      </c>
      <c r="DM24" s="12">
        <f>VLOOKUP(A24,'Données projet'!$A$165:$I$185,9,0)</f>
        <v>9.300476190476191</v>
      </c>
      <c r="DN24" s="12">
        <f t="array" ref="DN24">INDEX(DM:DM,MIN(IF(ISNUMBER(DM24:DM220),ROW(DM24:DM220),"")))</f>
        <v>9.300476190476191</v>
      </c>
      <c r="DO24" s="12">
        <f>IF('Données projet'!$A$166&gt;35,DO23+DN24-DW23,IF(A24&lt;'Données projet'!$A$166,$DL$205^A24,IF(A24='Données projet'!$A$166,'Données projet'!$B$166,DO23+DN24-DW23)))</f>
        <v>195.31</v>
      </c>
      <c r="DP24" s="17">
        <f>DO24*VLOOKUP('Données projet'!$B$14,Paramètres!$A$1:$I$89,3,0)*VLOOKUP('Données projet'!$B$14,Paramètres!$A$1:$I$89,5,0)</f>
        <v>109.17829</v>
      </c>
      <c r="DQ24" s="13">
        <f t="shared" si="43"/>
        <v>29.137298882589644</v>
      </c>
      <c r="DR24" s="20">
        <f t="shared" si="16"/>
        <v>240.89965063717693</v>
      </c>
      <c r="DS24" s="59">
        <f t="shared" si="17"/>
        <v>459.75717901305131</v>
      </c>
      <c r="DT24" s="59">
        <f ca="1">AVERAGE(OFFSET($DS$3,0,0,'Données projet'!$E$14+1,1))-AVERAGE(OFFSET($H$3,0,0,'Données projet'!$E$14+1,1))</f>
        <v>407.05634973057056</v>
      </c>
      <c r="DU24" s="59">
        <f t="shared" si="44"/>
        <v>375.32891954889965</v>
      </c>
      <c r="DV24" s="15">
        <f>IF(ISNA(VLOOKUP(A24,'Données projet'!$A$165:$I$185,3,0)),0,VLOOKUP(A24,'Données projet'!$A$165:$I$185,3,0))</f>
        <v>1</v>
      </c>
      <c r="DW24" s="15">
        <f>IF(ISNA(VLOOKUP(A24,'Données projet'!$A$165:$I$185,4,0)),0,VLOOKUP(A24,'Données projet'!$A$165:$I$185,4,0))</f>
        <v>64.599999999999994</v>
      </c>
      <c r="DX24" s="16">
        <f>IF(ISNA(VLOOKUP(A24,'Données projet'!$A$165:$I$185,5,0)),0%,VLOOKUP(A24,'Données projet'!$A$165:$I$185,5,0)*VLOOKUP('Données projet'!$B$14,Paramètres!$A$1:$I$89,7,0))</f>
        <v>0.13750000000000001</v>
      </c>
      <c r="DY24" s="16">
        <f>IF(ISNA(VLOOKUP(A24,'Données projet'!$A$165:$I$185,6,0)),0%,VLOOKUP(A24,'Données projet'!$A$165:$I$185,6,0)*VLOOKUP('Données projet'!$B$14,Paramètres!$A$1:$I$89,7,0))</f>
        <v>0.20350000000000001</v>
      </c>
      <c r="DZ24" s="16">
        <f>IF(ISNA(VLOOKUP(A24,'Données projet'!$A$165:$I$185,7,0)),0%,VLOOKUP(A24,'Données projet'!$A$165:$I$185,7,0))</f>
        <v>0.38</v>
      </c>
      <c r="EA24" s="21">
        <f>EXP(-LN(2)/35)*EA23+(1-EXP(-LN(2)/35))/(LN(2)/35)*DW24*DX24*VLOOKUP('Données projet'!$B$14,Paramètres!$A$1:$I$89,3,0)*0.475*44/12</f>
        <v>6.5868137054719185</v>
      </c>
      <c r="EB24" s="21">
        <f>EXP(-LN(2)/25)*EB23+(1-EXP(-LN(2)/25))/(LN(2)/25)*Calculateur!DW24*Calculateur!DY24*VLOOKUP('Données projet'!$B$14,Paramètres!$A$1:$I$89,3,0)*0.475*44/12</f>
        <v>9.7101007870082245</v>
      </c>
      <c r="EC24" s="21">
        <f>EXP(-LN(2)/2)*EC23+(1-EXP(-LN(2)/2))/(LN(2)/2)*DW24*DZ24*VLOOKUP('Données projet'!$B$14,Paramètres!$A$1:$I$89,3,0)*0.475*44/12</f>
        <v>15.536867487780944</v>
      </c>
      <c r="ED24" s="22">
        <f t="shared" si="18"/>
        <v>31.833781980261087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22.8</v>
      </c>
      <c r="EJ24" s="12">
        <f>IF('Données projet'!$A$192&gt;35,EJ23+EI24-ER23,IF(A24&lt;'Données projet'!$A$192,$EG$205^A24,IF(A24='Données projet'!$A$192,'Données projet'!$B$192,EJ23+EI24-ER23)))</f>
        <v>151.80000000000001</v>
      </c>
      <c r="EK24" s="17">
        <f>EJ24*VLOOKUP('Données projet'!$B$15,Paramètres!$A$1:$I$89,3,0)*VLOOKUP('Données projet'!$B$15,Paramètres!$A$1:$I$89,5,0)</f>
        <v>67.095600000000019</v>
      </c>
      <c r="EL24" s="13">
        <f t="shared" si="45"/>
        <v>18.950423477478726</v>
      </c>
      <c r="EM24" s="20">
        <f t="shared" si="19"/>
        <v>149.86349088994214</v>
      </c>
      <c r="EN24" s="59">
        <f t="shared" si="20"/>
        <v>368.72101926581649</v>
      </c>
      <c r="EO24" s="59">
        <f ca="1">AVERAGE(OFFSET($EN$3,0,0,'Données projet'!$E$15+1,1))-AVERAGE(OFFSET($H$3,0,0,'Données projet'!$E$15+1,1))</f>
        <v>418.28022549686278</v>
      </c>
      <c r="EP24" s="59">
        <f t="shared" si="46"/>
        <v>354.55070454517158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0.39520503710326033</v>
      </c>
      <c r="EW24" s="21">
        <f>EXP(-LN(2)/25)*EW23+(1-EXP(-LN(2)/25))/(LN(2)/25)*Calculateur!ER24*Calculateur!ET24*VLOOKUP('Données projet'!$B$15,Paramètres!$A$1:$I$89,3,0)*0.475*44/12</f>
        <v>0.57800352327756899</v>
      </c>
      <c r="EX24" s="21">
        <f>EXP(-LN(2)/2)*EX23+(1-EXP(-LN(2)/2))/(LN(2)/2)*ER24*EU24*VLOOKUP('Données projet'!$B$15,Paramètres!$A$1:$I$89,3,0)*0.475*44/12</f>
        <v>0.6723515519587947</v>
      </c>
      <c r="EY24" s="22">
        <f t="shared" si="21"/>
        <v>1.645560112339624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3.3603333333333336</v>
      </c>
      <c r="FE24" s="12">
        <f>IF('Données projet'!$A$218&gt;35,FE23+FD24-FM23,IF(A24&lt;'Données projet'!$A$218,$FB$205^A24,IF(A24='Données projet'!$A$218,'Données projet'!$B$218,FE23+FD24-FM23)))</f>
        <v>70.567000000000036</v>
      </c>
      <c r="FF24" s="17">
        <f>FE24*VLOOKUP('Données projet'!$B$16,Paramètres!$A$1:$I$89,3,0)*VLOOKUP('Données projet'!$B$16,Paramètres!$A$1:$I$89,5,0)</f>
        <v>80.361699600000037</v>
      </c>
      <c r="FG24" s="13">
        <f t="shared" si="47"/>
        <v>22.225598329176997</v>
      </c>
      <c r="FH24" s="20">
        <f t="shared" si="22"/>
        <v>178.67287722665</v>
      </c>
      <c r="FI24" s="59">
        <f t="shared" si="23"/>
        <v>397.53040560252441</v>
      </c>
      <c r="FJ24" s="59">
        <f ca="1">AVERAGE(OFFSET($FI$3,0,0,'Données projet'!$E$16+1,1))-AVERAGE(OFFSET($H$3,0,0,'Données projet'!$E$16+1,1))</f>
        <v>640.05156427113661</v>
      </c>
      <c r="FK24" s="59">
        <f t="shared" si="48"/>
        <v>308.77220155372902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17.793333333333333</v>
      </c>
      <c r="N25" s="13">
        <f>IF('Données projet'!$A$36&gt;35,N24+M25-V24,IF(A25&lt;'Données projet'!$A$36,$K$205^A25,IF(A25='Données projet'!$A$36,'Données projet'!$B$36,N24+M25-V24)))</f>
        <v>171.41666666666663</v>
      </c>
      <c r="O25" s="13">
        <f>N25*VLOOKUP('Données projet'!$B$9,Paramètres!$A$1:$I$89,3,0)*VLOOKUP('Données projet'!$B$9,Paramètres!$A$1:$I$89,5,0)</f>
        <v>102.50716666666666</v>
      </c>
      <c r="P25" s="13">
        <f t="shared" si="33"/>
        <v>27.558431899391174</v>
      </c>
      <c r="Q25" s="20">
        <f t="shared" si="2"/>
        <v>226.53091750255075</v>
      </c>
      <c r="R25" s="59">
        <f t="shared" si="0"/>
        <v>447.71183140601914</v>
      </c>
      <c r="S25" s="59">
        <f ca="1">AVERAGE(OFFSET($R$3,0,0,'Données projet'!$E$9+1,1))-AVERAGE(OFFSET($H$3,0,0,'Données projet'!$E$9+1,1))</f>
        <v>318.50474972254085</v>
      </c>
      <c r="T25" s="59">
        <f t="shared" si="34"/>
        <v>326.45858332753562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6.3735154591814398</v>
      </c>
      <c r="AB25" s="21">
        <f>EXP(-LN(2)/2)*AB24+(1-EXP(-LN(2)/2))/(LN(2)/2)*V25*Y25*VLOOKUP('Données projet'!$B$9,Paramètres!$A$1:$I$89,3,0)*0.475*44/12</f>
        <v>2.4644390438167685</v>
      </c>
      <c r="AC25" s="22">
        <f t="shared" si="3"/>
        <v>8.8379545029982083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7.7715686274509812</v>
      </c>
      <c r="AI25" s="13">
        <f>IF('Données projet'!$A$62&gt;35,AI24+AH25-AQ24,IF(A25&lt;'Données projet'!$A$62,$AF$205^A25,IF(A25='Données projet'!$A$62,'Données projet'!$B$62,AI24+AH25-AQ24)))</f>
        <v>170.97450980392159</v>
      </c>
      <c r="AJ25" s="13">
        <f>AI25*VLOOKUP('Données projet'!$B$10,Paramètres!$A$1:$I$89,3,0)*VLOOKUP('Données projet'!$B$10,Paramètres!$A$1:$I$89,5,0)</f>
        <v>80.016070588235308</v>
      </c>
      <c r="AK25" s="13">
        <f t="shared" si="35"/>
        <v>22.14111342509517</v>
      </c>
      <c r="AL25" s="20">
        <f t="shared" si="4"/>
        <v>177.92376215655057</v>
      </c>
      <c r="AM25" s="59">
        <f t="shared" si="5"/>
        <v>399.10467606001896</v>
      </c>
      <c r="AN25" s="59">
        <f ca="1">AVERAGE(OFFSET($AM$3,0,0,'Données projet'!$E$10+1,1))-AVERAGE(OFFSET($H$3,0,0,'Données projet'!$E$10+1,1))</f>
        <v>374.38106339726073</v>
      </c>
      <c r="AO25" s="59">
        <f t="shared" si="36"/>
        <v>296.53283288925957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4.0942857142857143</v>
      </c>
      <c r="BD25" s="12">
        <f>IF('Données projet'!$A$88&gt;35,BD24+BC25-BL24,IF(A25&lt;'Données projet'!$A$88,$BA$205^A25,IF(A25='Données projet'!$A$88,'Données projet'!$B$88,BD24+BC25-BL24)))</f>
        <v>90.074285714285764</v>
      </c>
      <c r="BE25" s="13">
        <f>BD25*VLOOKUP('Données projet'!$B$11,Paramètres!$A$1:$I$89,3,0)*VLOOKUP('Données projet'!$B$11,Paramètres!$A$1:$I$89,5,0)</f>
        <v>81.499213714285759</v>
      </c>
      <c r="BF25" s="13">
        <f t="shared" si="37"/>
        <v>22.503352631648468</v>
      </c>
      <c r="BG25" s="20">
        <f t="shared" si="7"/>
        <v>181.13780305250211</v>
      </c>
      <c r="BH25" s="59">
        <f t="shared" si="8"/>
        <v>402.3187169559705</v>
      </c>
      <c r="BI25" s="59">
        <f ca="1">AVERAGE(OFFSET($BH$3,0,0,'Données projet'!$E$11+1,1))-AVERAGE(OFFSET($H$3,0,0,'Données projet'!$E$11+1,1))</f>
        <v>681.47578137804555</v>
      </c>
      <c r="BJ25" s="59">
        <f t="shared" si="38"/>
        <v>300.88511065995885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5.8974358974358978</v>
      </c>
      <c r="BY25" s="12">
        <f>IF('Données projet'!$A$114&gt;35,BY24+BX25-CG24,IF(A25&lt;'Données projet'!$A$114,$BV$205^A25,IF(A25='Données projet'!$A$114,'Données projet'!$B$114,BY24+BX25-CG24)))</f>
        <v>54.743589743589737</v>
      </c>
      <c r="BZ25" s="13">
        <f>BY25*VLOOKUP('Données projet'!$B$12,Paramètres!$A$1:$I$89,3,0)*VLOOKUP('Données projet'!$B$12,Paramètres!$A$1:$I$89,5,0)</f>
        <v>57.218000000000004</v>
      </c>
      <c r="CA25" s="13">
        <f t="shared" si="39"/>
        <v>16.462960458406368</v>
      </c>
      <c r="CB25" s="20">
        <f t="shared" si="10"/>
        <v>128.32767279839109</v>
      </c>
      <c r="CC25" s="59">
        <f t="shared" si="11"/>
        <v>349.50858670185949</v>
      </c>
      <c r="CD25" s="59">
        <f ca="1">AVERAGE(OFFSET($CC$3,0,0,'Données projet'!$E$12+1,1))-AVERAGE(OFFSET($H$3,0,0,'Données projet'!$E$12+1,1))</f>
        <v>290.69667785754848</v>
      </c>
      <c r="CE25" s="59">
        <f t="shared" si="40"/>
        <v>256.28124185489082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6.1524553688852777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6.1524553688852777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14.8</v>
      </c>
      <c r="CT25" s="12">
        <f>IF('Données projet'!$A$140&gt;35,CT24+CS25-DB24,IF(A25&lt;'Données projet'!$A$140,$CQ$205^A25,IF(A25='Données projet'!$A$140,'Données projet'!$B$140,CT24+CS25-DB24)))</f>
        <v>96.59999999999998</v>
      </c>
      <c r="CU25" s="17">
        <f>CT25*VLOOKUP('Données projet'!$B$13,Paramètres!$A$1:$I$89,3,0)*VLOOKUP('Données projet'!$B$13,Paramètres!$A$1:$I$89,5,0)</f>
        <v>84.389759999999995</v>
      </c>
      <c r="CV25" s="13">
        <f t="shared" si="41"/>
        <v>23.207143598424498</v>
      </c>
      <c r="CW25" s="20">
        <f t="shared" si="13"/>
        <v>187.39794043392263</v>
      </c>
      <c r="CX25" s="59">
        <f t="shared" si="14"/>
        <v>408.57885433739102</v>
      </c>
      <c r="CY25" s="59">
        <f ca="1">AVERAGE(OFFSET($CX$3,0,0,'Données projet'!$E$13+1,1))-AVERAGE(OFFSET($H$3,0,0,'Données projet'!$E$13+1,1))</f>
        <v>408.246209980743</v>
      </c>
      <c r="CZ25" s="59">
        <f t="shared" si="42"/>
        <v>394.10236303013903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7.5794514551285195</v>
      </c>
      <c r="DH25" s="21">
        <f>EXP(-LN(2)/2)*DH24+(1-EXP(-LN(2)/2))/(LN(2)/2)*DB25*DE25*VLOOKUP('Données projet'!$B$13,Paramètres!$A$1:$I$89,3,0)*0.475*44/12</f>
        <v>4.1890033182362307</v>
      </c>
      <c r="DI25" s="22">
        <f t="shared" si="15"/>
        <v>11.76845477336475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21.61428571428571</v>
      </c>
      <c r="DO25" s="12">
        <f>IF('Données projet'!$A$166&gt;35,DO24+DN25-DW24,IF(A25&lt;'Données projet'!$A$166,$DL$205^A25,IF(A25='Données projet'!$A$166,'Données projet'!$B$166,DO24+DN25-DW24)))</f>
        <v>152.32428571428571</v>
      </c>
      <c r="DP25" s="17">
        <f>DO25*VLOOKUP('Données projet'!$B$14,Paramètres!$A$1:$I$89,3,0)*VLOOKUP('Données projet'!$B$14,Paramètres!$A$1:$I$89,5,0)</f>
        <v>85.149275714285707</v>
      </c>
      <c r="DQ25" s="13">
        <f t="shared" si="43"/>
        <v>23.391601652187223</v>
      </c>
      <c r="DR25" s="20">
        <f t="shared" si="16"/>
        <v>189.04202807994034</v>
      </c>
      <c r="DS25" s="59">
        <f t="shared" si="17"/>
        <v>410.22294198340876</v>
      </c>
      <c r="DT25" s="59">
        <f ca="1">AVERAGE(OFFSET($DS$3,0,0,'Données projet'!$E$14+1,1))-AVERAGE(OFFSET($H$3,0,0,'Données projet'!$E$14+1,1))</f>
        <v>407.05634973057056</v>
      </c>
      <c r="DU25" s="59">
        <f t="shared" si="44"/>
        <v>375.32891954889965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6.457650306267273</v>
      </c>
      <c r="EB25" s="21">
        <f>EXP(-LN(2)/25)*EB24+(1-EXP(-LN(2)/25))/(LN(2)/25)*Calculateur!DW25*Calculateur!DY25*VLOOKUP('Données projet'!$B$14,Paramètres!$A$1:$I$89,3,0)*0.475*44/12</f>
        <v>9.4445775703554773</v>
      </c>
      <c r="EC25" s="21">
        <f>EXP(-LN(2)/2)*EC24+(1-EXP(-LN(2)/2))/(LN(2)/2)*DW25*DZ25*VLOOKUP('Données projet'!$B$14,Paramètres!$A$1:$I$89,3,0)*0.475*44/12</f>
        <v>10.986224359006705</v>
      </c>
      <c r="ED25" s="22">
        <f t="shared" si="18"/>
        <v>26.888452235629455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22.8</v>
      </c>
      <c r="EJ25" s="12">
        <f>IF('Données projet'!$A$192&gt;35,EJ24+EI25-ER24,IF(A25&lt;'Données projet'!$A$192,$EG$205^A25,IF(A25='Données projet'!$A$192,'Données projet'!$B$192,EJ24+EI25-ER24)))</f>
        <v>174.60000000000002</v>
      </c>
      <c r="EK25" s="17">
        <f>EJ25*VLOOKUP('Données projet'!$B$15,Paramètres!$A$1:$I$89,3,0)*VLOOKUP('Données projet'!$B$15,Paramètres!$A$1:$I$89,5,0)</f>
        <v>77.173200000000023</v>
      </c>
      <c r="EL25" s="13">
        <f t="shared" si="45"/>
        <v>21.444576401945664</v>
      </c>
      <c r="EM25" s="20">
        <f t="shared" si="19"/>
        <v>171.75929390005538</v>
      </c>
      <c r="EN25" s="59">
        <f t="shared" si="20"/>
        <v>392.94020780352378</v>
      </c>
      <c r="EO25" s="59">
        <f ca="1">AVERAGE(OFFSET($EN$3,0,0,'Données projet'!$E$15+1,1))-AVERAGE(OFFSET($H$3,0,0,'Données projet'!$E$15+1,1))</f>
        <v>418.28022549686278</v>
      </c>
      <c r="EP25" s="59">
        <f t="shared" si="46"/>
        <v>354.55070454517158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0.38745530737693618</v>
      </c>
      <c r="EW25" s="21">
        <f>EXP(-LN(2)/25)*EW24+(1-EXP(-LN(2)/25))/(LN(2)/25)*Calculateur!ER25*Calculateur!ET25*VLOOKUP('Données projet'!$B$15,Paramètres!$A$1:$I$89,3,0)*0.475*44/12</f>
        <v>0.56219798653765962</v>
      </c>
      <c r="EX25" s="21">
        <f>EXP(-LN(2)/2)*EX24+(1-EXP(-LN(2)/2))/(LN(2)/2)*ER25*EU25*VLOOKUP('Données projet'!$B$15,Paramètres!$A$1:$I$89,3,0)*0.475*44/12</f>
        <v>0.47542434173136311</v>
      </c>
      <c r="EY25" s="22">
        <f t="shared" si="21"/>
        <v>1.4250776356459589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3.3603333333333336</v>
      </c>
      <c r="FE25" s="12">
        <f>IF('Données projet'!$A$218&gt;35,FE24+FD25-FM24,IF(A25&lt;'Données projet'!$A$218,$FB$205^A25,IF(A25='Données projet'!$A$218,'Données projet'!$B$218,FE24+FD25-FM24)))</f>
        <v>73.927333333333365</v>
      </c>
      <c r="FF25" s="17">
        <f>FE25*VLOOKUP('Données projet'!$B$16,Paramètres!$A$1:$I$89,3,0)*VLOOKUP('Données projet'!$B$16,Paramètres!$A$1:$I$89,5,0)</f>
        <v>84.188447200000041</v>
      </c>
      <c r="FG25" s="13">
        <f t="shared" si="47"/>
        <v>23.158219888807942</v>
      </c>
      <c r="FH25" s="20">
        <f t="shared" si="22"/>
        <v>186.96211184634055</v>
      </c>
      <c r="FI25" s="59">
        <f t="shared" si="23"/>
        <v>408.14302574980894</v>
      </c>
      <c r="FJ25" s="59">
        <f ca="1">AVERAGE(OFFSET($FI$3,0,0,'Données projet'!$E$16+1,1))-AVERAGE(OFFSET($H$3,0,0,'Données projet'!$E$16+1,1))</f>
        <v>640.05156427113661</v>
      </c>
      <c r="FK25" s="59">
        <f t="shared" si="48"/>
        <v>308.77220155372902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189.21</v>
      </c>
      <c r="L26" s="12">
        <f>VLOOKUP(A26,'Données projet'!$A$35:$I$55,9,0)</f>
        <v>17.793333333333333</v>
      </c>
      <c r="M26" s="12">
        <f t="array" ref="M26">INDEX(L:L,MIN(IF(ISNUMBER(L26:L222),ROW(L26:L222),"")))</f>
        <v>17.793333333333333</v>
      </c>
      <c r="N26" s="13">
        <f>IF('Données projet'!$A$36&gt;35,N25+M26-V25,IF(A26&lt;'Données projet'!$A$36,$K$205^A26,IF(A26='Données projet'!$A$36,'Données projet'!$B$36,N25+M26-V25)))</f>
        <v>189.20999999999995</v>
      </c>
      <c r="O26" s="13">
        <f>N26*VLOOKUP('Données projet'!$B$9,Paramètres!$A$1:$I$89,3,0)*VLOOKUP('Données projet'!$B$9,Paramètres!$A$1:$I$89,5,0)</f>
        <v>113.14757999999998</v>
      </c>
      <c r="P26" s="13">
        <f t="shared" si="33"/>
        <v>30.071356907423628</v>
      </c>
      <c r="Q26" s="20">
        <f t="shared" si="2"/>
        <v>249.43964844709606</v>
      </c>
      <c r="R26" s="59">
        <f t="shared" si="0"/>
        <v>472.92484515664256</v>
      </c>
      <c r="S26" s="59">
        <f ca="1">AVERAGE(OFFSET($R$3,0,0,'Données projet'!$E$9+1,1))-AVERAGE(OFFSET($H$3,0,0,'Données projet'!$E$9+1,1))</f>
        <v>318.50474972254085</v>
      </c>
      <c r="T26" s="59">
        <f t="shared" si="34"/>
        <v>326.45858332753562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58.370000000000005</v>
      </c>
      <c r="W26" s="16">
        <f>IF(ISNA(VLOOKUP(A26,'Données projet'!$A$35:$I$55,5,0)),0%,VLOOKUP(A26,'Données projet'!$A$35:$I$55,5,0)*VLOOKUP('Données projet'!$B$9,Paramètres!$A$1:$I$89,7,0))</f>
        <v>0.1125</v>
      </c>
      <c r="X26" s="16">
        <f>IF(ISNA(VLOOKUP(A26,'Données projet'!$A$35:$I$55,6,0)),0%,VLOOKUP(A26,'Données projet'!$A$35:$I$55,6,0)*VLOOKUP('Données projet'!$B$9,Paramètres!$A$1:$I$89,7,0))</f>
        <v>0.16650000000000001</v>
      </c>
      <c r="Y26" s="16">
        <f>IF(ISNA(VLOOKUP(A26,'Données projet'!$A$35:$I$55,7,0)),0%,VLOOKUP(A26,'Données projet'!$A$35:$I$55,7,0))</f>
        <v>0.38</v>
      </c>
      <c r="Z26" s="21">
        <f>EXP(-LN(2)/35)*Z25+(1-EXP(-LN(2)/35))/(LN(2)/35)*V26*W26*VLOOKUP('Données projet'!$B$9,Paramètres!$A$1:$I$89,3,0)*0.475*44/12</f>
        <v>5.2092086876860018</v>
      </c>
      <c r="AA26" s="21">
        <f>EXP(-LN(2)/25)*AA25+(1-EXP(-LN(2)/25))/(LN(2)/25)*Calculateur!V26*Calculateur!X26*VLOOKUP('Données projet'!$B$9,Paramètres!$A$1:$I$89,3,0)*0.475*44/12</f>
        <v>13.878504455144835</v>
      </c>
      <c r="AB26" s="21">
        <f>EXP(-LN(2)/2)*AB25+(1-EXP(-LN(2)/2))/(LN(2)/2)*V26*Y26*VLOOKUP('Données projet'!$B$9,Paramètres!$A$1:$I$89,3,0)*0.475*44/12</f>
        <v>16.760549395416017</v>
      </c>
      <c r="AC26" s="22">
        <f t="shared" si="3"/>
        <v>35.848262538246857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7.7715686274509812</v>
      </c>
      <c r="AI26" s="13">
        <f>IF('Données projet'!$A$62&gt;35,AI25+AH26-AQ25,IF(A26&lt;'Données projet'!$A$62,$AF$205^A26,IF(A26='Données projet'!$A$62,'Données projet'!$B$62,AI25+AH26-AQ25)))</f>
        <v>178.74607843137258</v>
      </c>
      <c r="AJ26" s="13">
        <f>AI26*VLOOKUP('Données projet'!$B$10,Paramètres!$A$1:$I$89,3,0)*VLOOKUP('Données projet'!$B$10,Paramètres!$A$1:$I$89,5,0)</f>
        <v>83.653164705882375</v>
      </c>
      <c r="AK26" s="13">
        <f t="shared" si="35"/>
        <v>23.028067398749322</v>
      </c>
      <c r="AL26" s="20">
        <f t="shared" si="4"/>
        <v>185.80314591556689</v>
      </c>
      <c r="AM26" s="59">
        <f t="shared" si="5"/>
        <v>409.28834262511339</v>
      </c>
      <c r="AN26" s="59">
        <f ca="1">AVERAGE(OFFSET($AM$3,0,0,'Données projet'!$E$10+1,1))-AVERAGE(OFFSET($H$3,0,0,'Données projet'!$E$10+1,1))</f>
        <v>374.38106339726073</v>
      </c>
      <c r="AO26" s="59">
        <f t="shared" si="36"/>
        <v>296.53283288925957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4.0942857142857143</v>
      </c>
      <c r="BD26" s="12">
        <f>IF('Données projet'!$A$88&gt;35,BD25+BC26-BL25,IF(A26&lt;'Données projet'!$A$88,$BA$205^A26,IF(A26='Données projet'!$A$88,'Données projet'!$B$88,BD25+BC26-BL25)))</f>
        <v>94.168571428571482</v>
      </c>
      <c r="BE26" s="13">
        <f>BD26*VLOOKUP('Données projet'!$B$11,Paramètres!$A$1:$I$89,3,0)*VLOOKUP('Données projet'!$B$11,Paramètres!$A$1:$I$89,5,0)</f>
        <v>85.203723428571479</v>
      </c>
      <c r="BF26" s="13">
        <f t="shared" si="37"/>
        <v>23.404817596574706</v>
      </c>
      <c r="BG26" s="20">
        <f t="shared" si="7"/>
        <v>189.15987561879626</v>
      </c>
      <c r="BH26" s="59">
        <f t="shared" si="8"/>
        <v>412.64507232834274</v>
      </c>
      <c r="BI26" s="59">
        <f ca="1">AVERAGE(OFFSET($BH$3,0,0,'Données projet'!$E$11+1,1))-AVERAGE(OFFSET($H$3,0,0,'Données projet'!$E$11+1,1))</f>
        <v>681.47578137804555</v>
      </c>
      <c r="BJ26" s="59">
        <f t="shared" si="38"/>
        <v>300.88511065995885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5.8974358974358978</v>
      </c>
      <c r="BY26" s="12">
        <f>IF('Données projet'!$A$114&gt;35,BY25+BX26-CG25,IF(A26&lt;'Données projet'!$A$114,$BV$205^A26,IF(A26='Données projet'!$A$114,'Données projet'!$B$114,BY25+BX26-CG25)))</f>
        <v>60.641025641025635</v>
      </c>
      <c r="BZ26" s="13">
        <f>BY26*VLOOKUP('Données projet'!$B$12,Paramètres!$A$1:$I$89,3,0)*VLOOKUP('Données projet'!$B$12,Paramètres!$A$1:$I$89,5,0)</f>
        <v>63.381999999999998</v>
      </c>
      <c r="CA26" s="13">
        <f t="shared" si="39"/>
        <v>18.020596756944578</v>
      </c>
      <c r="CB26" s="20">
        <f t="shared" si="10"/>
        <v>141.77618935167845</v>
      </c>
      <c r="CC26" s="59">
        <f t="shared" si="11"/>
        <v>365.26138606122493</v>
      </c>
      <c r="CD26" s="59">
        <f ca="1">AVERAGE(OFFSET($CC$3,0,0,'Données projet'!$E$12+1,1))-AVERAGE(OFFSET($H$3,0,0,'Données projet'!$E$12+1,1))</f>
        <v>290.69667785754848</v>
      </c>
      <c r="CE26" s="59">
        <f t="shared" si="40"/>
        <v>256.28124185489082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5.9842161532795437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5.9842161532795437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14.8</v>
      </c>
      <c r="CT26" s="12">
        <f>IF('Données projet'!$A$140&gt;35,CT25+CS26-DB25,IF(A26&lt;'Données projet'!$A$140,$CQ$205^A26,IF(A26='Données projet'!$A$140,'Données projet'!$B$140,CT25+CS26-DB25)))</f>
        <v>111.39999999999998</v>
      </c>
      <c r="CU26" s="17">
        <f>CT26*VLOOKUP('Données projet'!$B$13,Paramètres!$A$1:$I$89,3,0)*VLOOKUP('Données projet'!$B$13,Paramètres!$A$1:$I$89,5,0)</f>
        <v>97.319039999999987</v>
      </c>
      <c r="CV26" s="13">
        <f t="shared" si="41"/>
        <v>26.322289133542785</v>
      </c>
      <c r="CW26" s="20">
        <f t="shared" si="13"/>
        <v>215.34198157425362</v>
      </c>
      <c r="CX26" s="59">
        <f t="shared" si="14"/>
        <v>438.82717828380009</v>
      </c>
      <c r="CY26" s="59">
        <f ca="1">AVERAGE(OFFSET($CX$3,0,0,'Données projet'!$E$13+1,1))-AVERAGE(OFFSET($H$3,0,0,'Données projet'!$E$13+1,1))</f>
        <v>408.246209980743</v>
      </c>
      <c r="CZ26" s="59">
        <f t="shared" si="42"/>
        <v>394.10236303013903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7.372190956502001</v>
      </c>
      <c r="DH26" s="21">
        <f>EXP(-LN(2)/2)*DH25+(1-EXP(-LN(2)/2))/(LN(2)/2)*DB26*DE26*VLOOKUP('Données projet'!$B$13,Paramètres!$A$1:$I$89,3,0)*0.475*44/12</f>
        <v>2.9620726527377883</v>
      </c>
      <c r="DI26" s="22">
        <f t="shared" si="15"/>
        <v>10.334263609239789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21.61428571428571</v>
      </c>
      <c r="DO26" s="12">
        <f>IF('Données projet'!$A$166&gt;35,DO25+DN26-DW25,IF(A26&lt;'Données projet'!$A$166,$DL$205^A26,IF(A26='Données projet'!$A$166,'Données projet'!$B$166,DO25+DN26-DW25)))</f>
        <v>173.93857142857141</v>
      </c>
      <c r="DP26" s="17">
        <f>DO26*VLOOKUP('Données projet'!$B$14,Paramètres!$A$1:$I$89,3,0)*VLOOKUP('Données projet'!$B$14,Paramètres!$A$1:$I$89,5,0)</f>
        <v>97.231661428571414</v>
      </c>
      <c r="DQ26" s="13">
        <f t="shared" si="43"/>
        <v>26.301405349792162</v>
      </c>
      <c r="DR26" s="20">
        <f t="shared" si="16"/>
        <v>215.15342463898321</v>
      </c>
      <c r="DS26" s="59">
        <f t="shared" si="17"/>
        <v>438.63862134852968</v>
      </c>
      <c r="DT26" s="59">
        <f ca="1">AVERAGE(OFFSET($DS$3,0,0,'Données projet'!$E$14+1,1))-AVERAGE(OFFSET($H$3,0,0,'Données projet'!$E$14+1,1))</f>
        <v>407.05634973057056</v>
      </c>
      <c r="DU26" s="59">
        <f t="shared" si="44"/>
        <v>375.32891954889965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6.3310197225391365</v>
      </c>
      <c r="EB26" s="21">
        <f>EXP(-LN(2)/25)*EB25+(1-EXP(-LN(2)/25))/(LN(2)/25)*Calculateur!DW26*Calculateur!DY26*VLOOKUP('Données projet'!$B$14,Paramètres!$A$1:$I$89,3,0)*0.475*44/12</f>
        <v>9.1863151000253573</v>
      </c>
      <c r="EC26" s="21">
        <f>EXP(-LN(2)/2)*EC25+(1-EXP(-LN(2)/2))/(LN(2)/2)*DW26*DZ26*VLOOKUP('Données projet'!$B$14,Paramètres!$A$1:$I$89,3,0)*0.475*44/12</f>
        <v>7.7684337438904736</v>
      </c>
      <c r="ED26" s="22">
        <f t="shared" si="18"/>
        <v>23.285768566454966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22.8</v>
      </c>
      <c r="EJ26" s="12">
        <f>IF('Données projet'!$A$192&gt;35,EJ25+EI26-ER25,IF(A26&lt;'Données projet'!$A$192,$EG$205^A26,IF(A26='Données projet'!$A$192,'Données projet'!$B$192,EJ25+EI26-ER25)))</f>
        <v>197.40000000000003</v>
      </c>
      <c r="EK26" s="17">
        <f>EJ26*VLOOKUP('Données projet'!$B$15,Paramètres!$A$1:$I$89,3,0)*VLOOKUP('Données projet'!$B$15,Paramètres!$A$1:$I$89,5,0)</f>
        <v>87.250800000000027</v>
      </c>
      <c r="EL26" s="13">
        <f t="shared" si="45"/>
        <v>23.900991769585765</v>
      </c>
      <c r="EM26" s="20">
        <f t="shared" si="19"/>
        <v>193.58937066536194</v>
      </c>
      <c r="EN26" s="59">
        <f t="shared" si="20"/>
        <v>417.07456737490844</v>
      </c>
      <c r="EO26" s="59">
        <f ca="1">AVERAGE(OFFSET($EN$3,0,0,'Données projet'!$E$15+1,1))-AVERAGE(OFFSET($H$3,0,0,'Données projet'!$E$15+1,1))</f>
        <v>418.28022549686278</v>
      </c>
      <c r="EP26" s="59">
        <f t="shared" si="46"/>
        <v>354.55070454517158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0.37985754512367687</v>
      </c>
      <c r="EW26" s="21">
        <f>EXP(-LN(2)/25)*EW25+(1-EXP(-LN(2)/25))/(LN(2)/25)*Calculateur!ER26*Calculateur!ET26*VLOOKUP('Données projet'!$B$15,Paramètres!$A$1:$I$89,3,0)*0.475*44/12</f>
        <v>0.54682465303108008</v>
      </c>
      <c r="EX26" s="21">
        <f>EXP(-LN(2)/2)*EX25+(1-EXP(-LN(2)/2))/(LN(2)/2)*ER26*EU26*VLOOKUP('Données projet'!$B$15,Paramètres!$A$1:$I$89,3,0)*0.475*44/12</f>
        <v>0.33617577597939741</v>
      </c>
      <c r="EY26" s="22">
        <f t="shared" si="21"/>
        <v>1.2628579741341543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3.3603333333333336</v>
      </c>
      <c r="FE26" s="12">
        <f>IF('Données projet'!$A$218&gt;35,FE25+FD26-FM25,IF(A26&lt;'Données projet'!$A$218,$FB$205^A26,IF(A26='Données projet'!$A$218,'Données projet'!$B$218,FE25+FD26-FM25)))</f>
        <v>77.287666666666695</v>
      </c>
      <c r="FF26" s="17">
        <f>FE26*VLOOKUP('Données projet'!$B$16,Paramètres!$A$1:$I$89,3,0)*VLOOKUP('Données projet'!$B$16,Paramètres!$A$1:$I$89,5,0)</f>
        <v>88.015194800000032</v>
      </c>
      <c r="FG26" s="13">
        <f t="shared" si="47"/>
        <v>24.085918273201479</v>
      </c>
      <c r="FH26" s="20">
        <f t="shared" si="22"/>
        <v>195.24277193582597</v>
      </c>
      <c r="FI26" s="59">
        <f t="shared" si="23"/>
        <v>418.72796864537247</v>
      </c>
      <c r="FJ26" s="59">
        <f ca="1">AVERAGE(OFFSET($FI$3,0,0,'Données projet'!$E$16+1,1))-AVERAGE(OFFSET($H$3,0,0,'Données projet'!$E$16+1,1))</f>
        <v>640.05156427113661</v>
      </c>
      <c r="FK26" s="59">
        <f t="shared" si="48"/>
        <v>308.77220155372902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18.678333333333331</v>
      </c>
      <c r="N27" s="13">
        <f>IF('Données projet'!$A$36&gt;35,N26+M27-V26,IF(A27&lt;'Données projet'!$A$36,$K$205^A27,IF(A27='Données projet'!$A$36,'Données projet'!$B$36,N26+M27-V26)))</f>
        <v>149.51833333333329</v>
      </c>
      <c r="O27" s="13">
        <f>N27*VLOOKUP('Données projet'!$B$9,Paramètres!$A$1:$I$89,3,0)*VLOOKUP('Données projet'!$B$9,Paramètres!$A$1:$I$89,5,0)</f>
        <v>89.411963333333304</v>
      </c>
      <c r="P27" s="13">
        <f t="shared" si="33"/>
        <v>24.423350649115033</v>
      </c>
      <c r="Q27" s="20">
        <f t="shared" si="2"/>
        <v>198.2631718527642</v>
      </c>
      <c r="R27" s="59">
        <f t="shared" si="0"/>
        <v>424.03388003638401</v>
      </c>
      <c r="S27" s="59">
        <f ca="1">AVERAGE(OFFSET($R$3,0,0,'Données projet'!$E$9+1,1))-AVERAGE(OFFSET($H$3,0,0,'Données projet'!$E$9+1,1))</f>
        <v>318.50474972254085</v>
      </c>
      <c r="T27" s="59">
        <f t="shared" si="34"/>
        <v>326.45858332753562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5.1070592826240464</v>
      </c>
      <c r="AA27" s="21">
        <f>EXP(-LN(2)/25)*AA26+(1-EXP(-LN(2)/25))/(LN(2)/25)*Calculateur!V27*Calculateur!X27*VLOOKUP('Données projet'!$B$9,Paramètres!$A$1:$I$89,3,0)*0.475*44/12</f>
        <v>13.498996020980069</v>
      </c>
      <c r="AB27" s="21">
        <f>EXP(-LN(2)/2)*AB26+(1-EXP(-LN(2)/2))/(LN(2)/2)*V27*Y27*VLOOKUP('Données projet'!$B$9,Paramètres!$A$1:$I$89,3,0)*0.475*44/12</f>
        <v>11.851498133910756</v>
      </c>
      <c r="AC27" s="22">
        <f t="shared" si="3"/>
        <v>30.457553437514871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7.7715686274509812</v>
      </c>
      <c r="AI27" s="13">
        <f>IF('Données projet'!$A$62&gt;35,AI26+AH27-AQ26,IF(A27&lt;'Données projet'!$A$62,$AF$205^A27,IF(A27='Données projet'!$A$62,'Données projet'!$B$62,AI26+AH27-AQ26)))</f>
        <v>186.51764705882357</v>
      </c>
      <c r="AJ27" s="13">
        <f>AI27*VLOOKUP('Données projet'!$B$10,Paramètres!$A$1:$I$89,3,0)*VLOOKUP('Données projet'!$B$10,Paramètres!$A$1:$I$89,5,0)</f>
        <v>87.290258823529442</v>
      </c>
      <c r="AK27" s="13">
        <f t="shared" si="35"/>
        <v>23.910542463246056</v>
      </c>
      <c r="AL27" s="20">
        <f t="shared" si="4"/>
        <v>193.67472890780064</v>
      </c>
      <c r="AM27" s="59">
        <f t="shared" si="5"/>
        <v>419.44543709142044</v>
      </c>
      <c r="AN27" s="59">
        <f ca="1">AVERAGE(OFFSET($AM$3,0,0,'Données projet'!$E$10+1,1))-AVERAGE(OFFSET($H$3,0,0,'Données projet'!$E$10+1,1))</f>
        <v>374.38106339726073</v>
      </c>
      <c r="AO27" s="59">
        <f t="shared" si="36"/>
        <v>296.53283288925957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4.0942857142857143</v>
      </c>
      <c r="BD27" s="12">
        <f>IF('Données projet'!$A$88&gt;35,BD26+BC27-BL26,IF(A27&lt;'Données projet'!$A$88,$BA$205^A27,IF(A27='Données projet'!$A$88,'Données projet'!$B$88,BD26+BC27-BL26)))</f>
        <v>98.2628571428572</v>
      </c>
      <c r="BE27" s="13">
        <f>BD27*VLOOKUP('Données projet'!$B$11,Paramètres!$A$1:$I$89,3,0)*VLOOKUP('Données projet'!$B$11,Paramètres!$A$1:$I$89,5,0)</f>
        <v>88.908233142857185</v>
      </c>
      <c r="BF27" s="13">
        <f t="shared" si="37"/>
        <v>24.301730375247274</v>
      </c>
      <c r="BG27" s="20">
        <f t="shared" si="7"/>
        <v>197.17401979403192</v>
      </c>
      <c r="BH27" s="59">
        <f t="shared" si="8"/>
        <v>422.94472797765172</v>
      </c>
      <c r="BI27" s="59">
        <f ca="1">AVERAGE(OFFSET($BH$3,0,0,'Données projet'!$E$11+1,1))-AVERAGE(OFFSET($H$3,0,0,'Données projet'!$E$11+1,1))</f>
        <v>681.47578137804555</v>
      </c>
      <c r="BJ27" s="59">
        <f t="shared" si="38"/>
        <v>300.88511065995885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5.8974358974358978</v>
      </c>
      <c r="BY27" s="12">
        <f>IF('Données projet'!$A$114&gt;35,BY26+BX27-CG26,IF(A27&lt;'Données projet'!$A$114,$BV$205^A27,IF(A27='Données projet'!$A$114,'Données projet'!$B$114,BY26+BX27-CG26)))</f>
        <v>66.538461538461533</v>
      </c>
      <c r="BZ27" s="13">
        <f>BY27*VLOOKUP('Données projet'!$B$12,Paramètres!$A$1:$I$89,3,0)*VLOOKUP('Données projet'!$B$12,Paramètres!$A$1:$I$89,5,0)</f>
        <v>69.545999999999992</v>
      </c>
      <c r="CA27" s="13">
        <f t="shared" si="39"/>
        <v>19.560670709947196</v>
      </c>
      <c r="CB27" s="20">
        <f t="shared" si="10"/>
        <v>155.19411815315803</v>
      </c>
      <c r="CC27" s="59">
        <f t="shared" si="11"/>
        <v>380.96482633677783</v>
      </c>
      <c r="CD27" s="59">
        <f ca="1">AVERAGE(OFFSET($CC$3,0,0,'Données projet'!$E$12+1,1))-AVERAGE(OFFSET($H$3,0,0,'Données projet'!$E$12+1,1))</f>
        <v>290.69667785754848</v>
      </c>
      <c r="CE27" s="59">
        <f t="shared" si="40"/>
        <v>256.28124185489082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5.8205774478718642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5.8205774478718642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14.8</v>
      </c>
      <c r="CT27" s="12">
        <f>IF('Données projet'!$A$140&gt;35,CT26+CS27-DB26,IF(A27&lt;'Données projet'!$A$140,$CQ$205^A27,IF(A27='Données projet'!$A$140,'Données projet'!$B$140,CT26+CS27-DB26)))</f>
        <v>126.19999999999997</v>
      </c>
      <c r="CU27" s="17">
        <f>CT27*VLOOKUP('Données projet'!$B$13,Paramètres!$A$1:$I$89,3,0)*VLOOKUP('Données projet'!$B$13,Paramètres!$A$1:$I$89,5,0)</f>
        <v>110.24831999999999</v>
      </c>
      <c r="CV27" s="13">
        <f t="shared" si="41"/>
        <v>29.389483021072536</v>
      </c>
      <c r="CW27" s="20">
        <f t="shared" si="13"/>
        <v>243.20250692836802</v>
      </c>
      <c r="CX27" s="59">
        <f t="shared" si="14"/>
        <v>468.97321511198783</v>
      </c>
      <c r="CY27" s="59">
        <f ca="1">AVERAGE(OFFSET($CX$3,0,0,'Données projet'!$E$13+1,1))-AVERAGE(OFFSET($H$3,0,0,'Données projet'!$E$13+1,1))</f>
        <v>408.246209980743</v>
      </c>
      <c r="CZ27" s="59">
        <f t="shared" si="42"/>
        <v>394.10236303013903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7.1705980071097803</v>
      </c>
      <c r="DH27" s="21">
        <f>EXP(-LN(2)/2)*DH26+(1-EXP(-LN(2)/2))/(LN(2)/2)*DB27*DE27*VLOOKUP('Données projet'!$B$13,Paramètres!$A$1:$I$89,3,0)*0.475*44/12</f>
        <v>2.0945016591181158</v>
      </c>
      <c r="DI27" s="22">
        <f t="shared" si="15"/>
        <v>9.265099666227897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21.61428571428571</v>
      </c>
      <c r="DO27" s="12">
        <f>IF('Données projet'!$A$166&gt;35,DO26+DN27-DW26,IF(A27&lt;'Données projet'!$A$166,$DL$205^A27,IF(A27='Données projet'!$A$166,'Données projet'!$B$166,DO26+DN27-DW26)))</f>
        <v>195.55285714285711</v>
      </c>
      <c r="DP27" s="17">
        <f>DO27*VLOOKUP('Données projet'!$B$14,Paramètres!$A$1:$I$89,3,0)*VLOOKUP('Données projet'!$B$14,Paramètres!$A$1:$I$89,5,0)</f>
        <v>109.31404714285712</v>
      </c>
      <c r="DQ27" s="13">
        <f t="shared" si="43"/>
        <v>29.169309937147133</v>
      </c>
      <c r="DR27" s="20">
        <f t="shared" si="16"/>
        <v>241.19184691434074</v>
      </c>
      <c r="DS27" s="59">
        <f t="shared" si="17"/>
        <v>466.96255509796055</v>
      </c>
      <c r="DT27" s="59">
        <f ca="1">AVERAGE(OFFSET($DS$3,0,0,'Données projet'!$E$14+1,1))-AVERAGE(OFFSET($H$3,0,0,'Données projet'!$E$14+1,1))</f>
        <v>407.05634973057056</v>
      </c>
      <c r="DU27" s="59">
        <f t="shared" si="44"/>
        <v>375.32891954889965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6.2068722873208797</v>
      </c>
      <c r="EB27" s="21">
        <f>EXP(-LN(2)/25)*EB26+(1-EXP(-LN(2)/25))/(LN(2)/25)*Calculateur!DW27*Calculateur!DY27*VLOOKUP('Données projet'!$B$14,Paramètres!$A$1:$I$89,3,0)*0.475*44/12</f>
        <v>8.9351148305278478</v>
      </c>
      <c r="EC27" s="21">
        <f>EXP(-LN(2)/2)*EC26+(1-EXP(-LN(2)/2))/(LN(2)/2)*DW27*DZ27*VLOOKUP('Données projet'!$B$14,Paramètres!$A$1:$I$89,3,0)*0.475*44/12</f>
        <v>5.4931121795033535</v>
      </c>
      <c r="ED27" s="22">
        <f t="shared" si="18"/>
        <v>20.635099297352081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22.8</v>
      </c>
      <c r="EJ27" s="12">
        <f>IF('Données projet'!$A$192&gt;35,EJ26+EI27-ER26,IF(A27&lt;'Données projet'!$A$192,$EG$205^A27,IF(A27='Données projet'!$A$192,'Données projet'!$B$192,EJ26+EI27-ER26)))</f>
        <v>220.20000000000005</v>
      </c>
      <c r="EK27" s="17">
        <f>EJ27*VLOOKUP('Données projet'!$B$15,Paramètres!$A$1:$I$89,3,0)*VLOOKUP('Données projet'!$B$15,Paramètres!$A$1:$I$89,5,0)</f>
        <v>97.32840000000003</v>
      </c>
      <c r="EL27" s="13">
        <f t="shared" si="45"/>
        <v>26.324526076780696</v>
      </c>
      <c r="EM27" s="20">
        <f t="shared" si="19"/>
        <v>215.36217958372643</v>
      </c>
      <c r="EN27" s="59">
        <f t="shared" si="20"/>
        <v>441.13288776734623</v>
      </c>
      <c r="EO27" s="59">
        <f ca="1">AVERAGE(OFFSET($EN$3,0,0,'Données projet'!$E$15+1,1))-AVERAGE(OFFSET($H$3,0,0,'Données projet'!$E$15+1,1))</f>
        <v>418.28022549686278</v>
      </c>
      <c r="EP27" s="59">
        <f t="shared" si="46"/>
        <v>354.55070454517158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0.37240877035402659</v>
      </c>
      <c r="EW27" s="21">
        <f>EXP(-LN(2)/25)*EW26+(1-EXP(-LN(2)/25))/(LN(2)/25)*Calculateur!ER27*Calculateur!ET27*VLOOKUP('Données projet'!$B$15,Paramètres!$A$1:$I$89,3,0)*0.475*44/12</f>
        <v>0.53187170413768647</v>
      </c>
      <c r="EX27" s="21">
        <f>EXP(-LN(2)/2)*EX26+(1-EXP(-LN(2)/2))/(LN(2)/2)*ER27*EU27*VLOOKUP('Données projet'!$B$15,Paramètres!$A$1:$I$89,3,0)*0.475*44/12</f>
        <v>0.23771217086568161</v>
      </c>
      <c r="EY27" s="22">
        <f t="shared" si="21"/>
        <v>1.1419926453573945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3.3603333333333336</v>
      </c>
      <c r="FE27" s="12">
        <f>IF('Données projet'!$A$218&gt;35,FE26+FD27-FM26,IF(A27&lt;'Données projet'!$A$218,$FB$205^A27,IF(A27='Données projet'!$A$218,'Données projet'!$B$218,FE26+FD27-FM26)))</f>
        <v>80.648000000000025</v>
      </c>
      <c r="FF27" s="17">
        <f>FE27*VLOOKUP('Données projet'!$B$16,Paramètres!$A$1:$I$89,3,0)*VLOOKUP('Données projet'!$B$16,Paramètres!$A$1:$I$89,5,0)</f>
        <v>91.841942400000036</v>
      </c>
      <c r="FG27" s="13">
        <f t="shared" si="47"/>
        <v>25.008931998737175</v>
      </c>
      <c r="FH27" s="20">
        <f t="shared" si="22"/>
        <v>203.51527291113393</v>
      </c>
      <c r="FI27" s="59">
        <f t="shared" si="23"/>
        <v>429.28598109475377</v>
      </c>
      <c r="FJ27" s="59">
        <f ca="1">AVERAGE(OFFSET($FI$3,0,0,'Données projet'!$E$16+1,1))-AVERAGE(OFFSET($H$3,0,0,'Données projet'!$E$16+1,1))</f>
        <v>640.05156427113661</v>
      </c>
      <c r="FK27" s="59">
        <f t="shared" si="48"/>
        <v>308.77220155372902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18.678333333333331</v>
      </c>
      <c r="N28" s="13">
        <f>IF('Données projet'!$A$36&gt;35,N27+M28-V27,IF(A28&lt;'Données projet'!$A$36,$K$205^A28,IF(A28='Données projet'!$A$36,'Données projet'!$B$36,N27+M28-V27)))</f>
        <v>168.19666666666663</v>
      </c>
      <c r="O28" s="13">
        <f>N28*VLOOKUP('Données projet'!$B$9,Paramètres!$A$1:$I$89,3,0)*VLOOKUP('Données projet'!$B$9,Paramètres!$A$1:$I$89,5,0)</f>
        <v>100.58160666666666</v>
      </c>
      <c r="P28" s="13">
        <f t="shared" si="33"/>
        <v>27.100510515925464</v>
      </c>
      <c r="Q28" s="20">
        <f t="shared" si="2"/>
        <v>222.37968742634794</v>
      </c>
      <c r="R28" s="59">
        <f t="shared" si="0"/>
        <v>450.41746139268002</v>
      </c>
      <c r="S28" s="59">
        <f ca="1">AVERAGE(OFFSET($R$3,0,0,'Données projet'!$E$9+1,1))-AVERAGE(OFFSET($H$3,0,0,'Données projet'!$E$9+1,1))</f>
        <v>318.50474972254085</v>
      </c>
      <c r="T28" s="59">
        <f t="shared" si="34"/>
        <v>326.45858332753562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5.006912965090371</v>
      </c>
      <c r="AA28" s="21">
        <f>EXP(-LN(2)/25)*AA27+(1-EXP(-LN(2)/25))/(LN(2)/25)*Calculateur!V28*Calculateur!X28*VLOOKUP('Données projet'!$B$9,Paramètres!$A$1:$I$89,3,0)*0.475*44/12</f>
        <v>13.129865264905021</v>
      </c>
      <c r="AB28" s="21">
        <f>EXP(-LN(2)/2)*AB27+(1-EXP(-LN(2)/2))/(LN(2)/2)*V28*Y28*VLOOKUP('Données projet'!$B$9,Paramètres!$A$1:$I$89,3,0)*0.475*44/12</f>
        <v>8.3802746977080105</v>
      </c>
      <c r="AC28" s="22">
        <f t="shared" si="3"/>
        <v>26.517052927703403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7.7715686274509812</v>
      </c>
      <c r="AI28" s="13">
        <f>IF('Données projet'!$A$62&gt;35,AI27+AH28-AQ27,IF(A28&lt;'Données projet'!$A$62,$AF$205^A28,IF(A28='Données projet'!$A$62,'Données projet'!$B$62,AI27+AH28-AQ27)))</f>
        <v>194.28921568627456</v>
      </c>
      <c r="AJ28" s="13">
        <f>AI28*VLOOKUP('Données projet'!$B$10,Paramètres!$A$1:$I$89,3,0)*VLOOKUP('Données projet'!$B$10,Paramètres!$A$1:$I$89,5,0)</f>
        <v>90.92735294117648</v>
      </c>
      <c r="AK28" s="13">
        <f t="shared" si="35"/>
        <v>24.788746580819698</v>
      </c>
      <c r="AL28" s="20">
        <f t="shared" si="4"/>
        <v>201.53887333414332</v>
      </c>
      <c r="AM28" s="59">
        <f t="shared" si="5"/>
        <v>429.57664730047543</v>
      </c>
      <c r="AN28" s="59">
        <f ca="1">AVERAGE(OFFSET($AM$3,0,0,'Données projet'!$E$10+1,1))-AVERAGE(OFFSET($H$3,0,0,'Données projet'!$E$10+1,1))</f>
        <v>374.38106339726073</v>
      </c>
      <c r="AO28" s="59">
        <f t="shared" si="36"/>
        <v>296.53283288925957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4.0942857142857143</v>
      </c>
      <c r="BD28" s="12">
        <f>IF('Données projet'!$A$88&gt;35,BD27+BC28-BL27,IF(A28&lt;'Données projet'!$A$88,$BA$205^A28,IF(A28='Données projet'!$A$88,'Données projet'!$B$88,BD27+BC28-BL27)))</f>
        <v>102.35714285714292</v>
      </c>
      <c r="BE28" s="13">
        <f>BD28*VLOOKUP('Données projet'!$B$11,Paramètres!$A$1:$I$89,3,0)*VLOOKUP('Données projet'!$B$11,Paramètres!$A$1:$I$89,5,0)</f>
        <v>92.612742857142905</v>
      </c>
      <c r="BF28" s="13">
        <f t="shared" si="37"/>
        <v>25.194302332262133</v>
      </c>
      <c r="BG28" s="20">
        <f t="shared" si="7"/>
        <v>205.18060370488044</v>
      </c>
      <c r="BH28" s="59">
        <f t="shared" si="8"/>
        <v>433.21837767121258</v>
      </c>
      <c r="BI28" s="59">
        <f ca="1">AVERAGE(OFFSET($BH$3,0,0,'Données projet'!$E$11+1,1))-AVERAGE(OFFSET($H$3,0,0,'Données projet'!$E$11+1,1))</f>
        <v>681.47578137804555</v>
      </c>
      <c r="BJ28" s="59">
        <f t="shared" si="38"/>
        <v>300.88511065995885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72.435897435897431</v>
      </c>
      <c r="BW28" s="12">
        <f>VLOOKUP(A28,'Données projet'!$A$113:$I$133,9,0)</f>
        <v>5.8974358974358978</v>
      </c>
      <c r="BX28" s="12">
        <f t="array" ref="BX28">INDEX(BW:BW,MIN(IF(ISNUMBER(BW28:BW224),ROW(BW28:BW224),"")))</f>
        <v>5.8974358974358978</v>
      </c>
      <c r="BY28" s="12">
        <f>IF('Données projet'!$A$114&gt;35,BY27+BX28-CG27,IF(A28&lt;'Données projet'!$A$114,$BV$205^A28,IF(A28='Données projet'!$A$114,'Données projet'!$B$114,BY27+BX28-CG27)))</f>
        <v>72.435897435897431</v>
      </c>
      <c r="BZ28" s="13">
        <f>BY28*VLOOKUP('Données projet'!$B$12,Paramètres!$A$1:$I$89,3,0)*VLOOKUP('Données projet'!$B$12,Paramètres!$A$1:$I$89,5,0)</f>
        <v>75.710000000000008</v>
      </c>
      <c r="CA28" s="13">
        <f t="shared" si="39"/>
        <v>21.084915904131307</v>
      </c>
      <c r="CB28" s="20">
        <f t="shared" si="10"/>
        <v>168.58447853302872</v>
      </c>
      <c r="CC28" s="59">
        <f t="shared" si="11"/>
        <v>396.6222524993608</v>
      </c>
      <c r="CD28" s="59">
        <f ca="1">AVERAGE(OFFSET($CC$3,0,0,'Données projet'!$E$12+1,1))-AVERAGE(OFFSET($H$3,0,0,'Données projet'!$E$12+1,1))</f>
        <v>290.69667785754848</v>
      </c>
      <c r="CE28" s="59">
        <f t="shared" si="40"/>
        <v>256.28124185489082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14.743589743589743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0.215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9.3095816302296903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9.3095816302296903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141</v>
      </c>
      <c r="CR28" s="12">
        <f>VLOOKUP(A28,'Données projet'!$A$139:$I$159,9,0)</f>
        <v>14.8</v>
      </c>
      <c r="CS28" s="12">
        <f t="array" ref="CS28">INDEX(CR:CR,MIN(IF(ISNUMBER(CR28:CR224),ROW(CR28:CR224),"")))</f>
        <v>14.8</v>
      </c>
      <c r="CT28" s="12">
        <f>IF('Données projet'!$A$140&gt;35,CT27+CS28-DB27,IF(A28&lt;'Données projet'!$A$140,$CQ$205^A28,IF(A28='Données projet'!$A$140,'Données projet'!$B$140,CT27+CS28-DB27)))</f>
        <v>140.99999999999997</v>
      </c>
      <c r="CU28" s="17">
        <f>CT28*VLOOKUP('Données projet'!$B$13,Paramètres!$A$1:$I$89,3,0)*VLOOKUP('Données projet'!$B$13,Paramètres!$A$1:$I$89,5,0)</f>
        <v>123.1776</v>
      </c>
      <c r="CV28" s="13">
        <f t="shared" si="41"/>
        <v>32.414991240570416</v>
      </c>
      <c r="CW28" s="20">
        <f t="shared" si="13"/>
        <v>270.99042974399345</v>
      </c>
      <c r="CX28" s="59">
        <f t="shared" si="14"/>
        <v>499.02820371032556</v>
      </c>
      <c r="CY28" s="59">
        <f ca="1">AVERAGE(OFFSET($CX$3,0,0,'Données projet'!$E$13+1,1))-AVERAGE(OFFSET($H$3,0,0,'Données projet'!$E$13+1,1))</f>
        <v>408.246209980743</v>
      </c>
      <c r="CZ28" s="59">
        <f t="shared" si="42"/>
        <v>394.10236303013903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35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0.13250000000000001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11.435497874709831</v>
      </c>
      <c r="DH28" s="21">
        <f>EXP(-LN(2)/2)*DH27+(1-EXP(-LN(2)/2))/(LN(2)/2)*DB28*DE28*VLOOKUP('Données projet'!$B$13,Paramètres!$A$1:$I$89,3,0)*0.475*44/12</f>
        <v>8.6933560616124836</v>
      </c>
      <c r="DI28" s="22">
        <f t="shared" si="15"/>
        <v>20.128853936322315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21.61428571428571</v>
      </c>
      <c r="DO28" s="12">
        <f>IF('Données projet'!$A$166&gt;35,DO27+DN28-DW27,IF(A28&lt;'Données projet'!$A$166,$DL$205^A28,IF(A28='Données projet'!$A$166,'Données projet'!$B$166,DO27+DN28-DW27)))</f>
        <v>217.16714285714281</v>
      </c>
      <c r="DP28" s="17">
        <f>DO28*VLOOKUP('Données projet'!$B$14,Paramètres!$A$1:$I$89,3,0)*VLOOKUP('Données projet'!$B$14,Paramètres!$A$1:$I$89,5,0)</f>
        <v>121.39643285714283</v>
      </c>
      <c r="DQ28" s="13">
        <f t="shared" si="43"/>
        <v>32.00047469196349</v>
      </c>
      <c r="DR28" s="20">
        <f t="shared" si="16"/>
        <v>267.16628064802683</v>
      </c>
      <c r="DS28" s="59">
        <f t="shared" si="17"/>
        <v>495.20405461435894</v>
      </c>
      <c r="DT28" s="59">
        <f ca="1">AVERAGE(OFFSET($DS$3,0,0,'Données projet'!$E$14+1,1))-AVERAGE(OFFSET($H$3,0,0,'Données projet'!$E$14+1,1))</f>
        <v>407.05634973057056</v>
      </c>
      <c r="DU28" s="59">
        <f t="shared" si="44"/>
        <v>375.32891954889965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6.0851593075847941</v>
      </c>
      <c r="EB28" s="21">
        <f>EXP(-LN(2)/25)*EB27+(1-EXP(-LN(2)/25))/(LN(2)/25)*Calculateur!DW28*Calculateur!DY28*VLOOKUP('Données projet'!$B$14,Paramètres!$A$1:$I$89,3,0)*0.475*44/12</f>
        <v>8.6907836456097964</v>
      </c>
      <c r="EC28" s="21">
        <f>EXP(-LN(2)/2)*EC27+(1-EXP(-LN(2)/2))/(LN(2)/2)*DW28*DZ28*VLOOKUP('Données projet'!$B$14,Paramètres!$A$1:$I$89,3,0)*0.475*44/12</f>
        <v>3.8842168719452372</v>
      </c>
      <c r="ED28" s="22">
        <f t="shared" si="18"/>
        <v>18.660159825139829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243</v>
      </c>
      <c r="EH28" s="12">
        <f>VLOOKUP(A28,'Données projet'!$A$191:$I$211,9,0)</f>
        <v>22.8</v>
      </c>
      <c r="EI28" s="12">
        <f t="array" ref="EI28">INDEX(EH:EH,MIN(IF(ISNUMBER(EH28:EH224),ROW(EH28:EH224),"")))</f>
        <v>22.8</v>
      </c>
      <c r="EJ28" s="12">
        <f>IF('Données projet'!$A$192&gt;35,EJ27+EI28-ER27,IF(A28&lt;'Données projet'!$A$192,$EG$205^A28,IF(A28='Données projet'!$A$192,'Données projet'!$B$192,EJ27+EI28-ER27)))</f>
        <v>243.00000000000006</v>
      </c>
      <c r="EK28" s="17">
        <f>EJ28*VLOOKUP('Données projet'!$B$15,Paramètres!$A$1:$I$89,3,0)*VLOOKUP('Données projet'!$B$15,Paramètres!$A$1:$I$89,5,0)</f>
        <v>107.40600000000003</v>
      </c>
      <c r="EL28" s="13">
        <f t="shared" si="45"/>
        <v>28.718971683040365</v>
      </c>
      <c r="EM28" s="20">
        <f t="shared" si="19"/>
        <v>237.08432568129535</v>
      </c>
      <c r="EN28" s="59">
        <f t="shared" si="20"/>
        <v>465.12209964762746</v>
      </c>
      <c r="EO28" s="59">
        <f ca="1">AVERAGE(OFFSET($EN$3,0,0,'Données projet'!$E$15+1,1))-AVERAGE(OFFSET($H$3,0,0,'Données projet'!$E$15+1,1))</f>
        <v>418.28022549686278</v>
      </c>
      <c r="EP28" s="59">
        <f t="shared" si="46"/>
        <v>354.55070454517158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63</v>
      </c>
      <c r="ES28" s="16">
        <f>IF(ISNA(VLOOKUP(A28,'Données projet'!$A$191:$I$211,5,0)),0%,VLOOKUP(A28,'Données projet'!$A$191:$I$211,5,0)*VLOOKUP('Données projet'!$B$15,Paramètres!$A$1:$I$89,7,0))</f>
        <v>0.13750000000000001</v>
      </c>
      <c r="ET28" s="16">
        <f>IF(ISNA(VLOOKUP(A28,'Données projet'!$A$191:$I$211,6,0)),0%,VLOOKUP(A28,'Données projet'!$A$191:$I$211,6,0)*VLOOKUP('Données projet'!$B$15,Paramètres!$A$1:$I$89,7,0))</f>
        <v>0.20350000000000001</v>
      </c>
      <c r="EU28" s="16">
        <f>IF(ISNA(VLOOKUP(A28,'Données projet'!$A$191:$I$211,7,0)),0%,VLOOKUP(A28,'Données projet'!$A$191:$I$211,7,0))</f>
        <v>0.38</v>
      </c>
      <c r="EV28" s="21">
        <f>EXP(-LN(2)/35)*EV27+(1-EXP(-LN(2)/35))/(LN(2)/35)*ER28*ES28*VLOOKUP('Données projet'!$B$15,Paramètres!$A$1:$I$89,3,0)*0.475*44/12</f>
        <v>5.4442892126126026</v>
      </c>
      <c r="EW28" s="21">
        <f>EXP(-LN(2)/25)*EW27+(1-EXP(-LN(2)/25))/(LN(2)/25)*Calculateur!ER28*Calculateur!ET28*VLOOKUP('Données projet'!$B$15,Paramètres!$A$1:$I$89,3,0)*0.475*44/12</f>
        <v>8.0049206625517613</v>
      </c>
      <c r="EX28" s="21">
        <f>EXP(-LN(2)/2)*EX27+(1-EXP(-LN(2)/2))/(LN(2)/2)*ER28*EU28*VLOOKUP('Données projet'!$B$15,Paramètres!$A$1:$I$89,3,0)*0.475*44/12</f>
        <v>12.148781299620049</v>
      </c>
      <c r="EY28" s="22">
        <f t="shared" si="21"/>
        <v>25.597991174784411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3.3603333333333336</v>
      </c>
      <c r="FE28" s="12">
        <f>IF('Données projet'!$A$218&gt;35,FE27+FD28-FM27,IF(A28&lt;'Données projet'!$A$218,$FB$205^A28,IF(A28='Données projet'!$A$218,'Données projet'!$B$218,FE27+FD28-FM27)))</f>
        <v>84.008333333333354</v>
      </c>
      <c r="FF28" s="17">
        <f>FE28*VLOOKUP('Données projet'!$B$16,Paramètres!$A$1:$I$89,3,0)*VLOOKUP('Données projet'!$B$16,Paramètres!$A$1:$I$89,5,0)</f>
        <v>95.668690000000026</v>
      </c>
      <c r="FG28" s="13">
        <f t="shared" si="47"/>
        <v>25.927478580905699</v>
      </c>
      <c r="FH28" s="20">
        <f t="shared" si="22"/>
        <v>211.77999361174412</v>
      </c>
      <c r="FI28" s="59">
        <f t="shared" si="23"/>
        <v>439.8177675780762</v>
      </c>
      <c r="FJ28" s="59">
        <f ca="1">AVERAGE(OFFSET($FI$3,0,0,'Données projet'!$E$16+1,1))-AVERAGE(OFFSET($H$3,0,0,'Données projet'!$E$16+1,1))</f>
        <v>640.05156427113661</v>
      </c>
      <c r="FK28" s="59">
        <f t="shared" si="48"/>
        <v>308.77220155372902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18.678333333333331</v>
      </c>
      <c r="N29" s="13">
        <f>IF('Données projet'!$A$36&gt;35,N28+M29-V28,IF(A29&lt;'Données projet'!$A$36,$K$205^A29,IF(A29='Données projet'!$A$36,'Données projet'!$B$36,N28+M29-V28)))</f>
        <v>186.87499999999997</v>
      </c>
      <c r="O29" s="13">
        <f>N29*VLOOKUP('Données projet'!$B$9,Paramètres!$A$1:$I$89,3,0)*VLOOKUP('Données projet'!$B$9,Paramètres!$A$1:$I$89,5,0)</f>
        <v>111.75125</v>
      </c>
      <c r="P29" s="13">
        <f t="shared" si="33"/>
        <v>29.743212667393731</v>
      </c>
      <c r="Q29" s="20">
        <f t="shared" si="2"/>
        <v>246.4361891457107</v>
      </c>
      <c r="R29" s="59">
        <f t="shared" si="0"/>
        <v>476.72290319490088</v>
      </c>
      <c r="S29" s="59">
        <f ca="1">AVERAGE(OFFSET($R$3,0,0,'Données projet'!$E$9+1,1))-AVERAGE(OFFSET($H$3,0,0,'Données projet'!$E$9+1,1))</f>
        <v>318.50474972254085</v>
      </c>
      <c r="T29" s="59">
        <f t="shared" si="34"/>
        <v>326.45858332753562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4.908730455760308</v>
      </c>
      <c r="AA29" s="21">
        <f>EXP(-LN(2)/25)*AA28+(1-EXP(-LN(2)/25))/(LN(2)/25)*Calculateur!V29*Calculateur!X29*VLOOKUP('Données projet'!$B$9,Paramètres!$A$1:$I$89,3,0)*0.475*44/12</f>
        <v>12.770828408766588</v>
      </c>
      <c r="AB29" s="21">
        <f>EXP(-LN(2)/2)*AB28+(1-EXP(-LN(2)/2))/(LN(2)/2)*V29*Y29*VLOOKUP('Données projet'!$B$9,Paramètres!$A$1:$I$89,3,0)*0.475*44/12</f>
        <v>5.9257490669553796</v>
      </c>
      <c r="AC29" s="22">
        <f t="shared" si="3"/>
        <v>23.605307931482276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7.7715686274509812</v>
      </c>
      <c r="AI29" s="13">
        <f>IF('Données projet'!$A$62&gt;35,AI28+AH29-AQ28,IF(A29&lt;'Données projet'!$A$62,$AF$205^A29,IF(A29='Données projet'!$A$62,'Données projet'!$B$62,AI28+AH29-AQ28)))</f>
        <v>202.06078431372555</v>
      </c>
      <c r="AJ29" s="13">
        <f>AI29*VLOOKUP('Données projet'!$B$10,Paramètres!$A$1:$I$89,3,0)*VLOOKUP('Données projet'!$B$10,Paramètres!$A$1:$I$89,5,0)</f>
        <v>94.564447058823546</v>
      </c>
      <c r="AK29" s="13">
        <f t="shared" si="35"/>
        <v>25.662870135019691</v>
      </c>
      <c r="AL29" s="20">
        <f t="shared" si="4"/>
        <v>209.39591077927696</v>
      </c>
      <c r="AM29" s="59">
        <f t="shared" si="5"/>
        <v>439.68262482846717</v>
      </c>
      <c r="AN29" s="59">
        <f ca="1">AVERAGE(OFFSET($AM$3,0,0,'Données projet'!$E$10+1,1))-AVERAGE(OFFSET($H$3,0,0,'Données projet'!$E$10+1,1))</f>
        <v>374.38106339726073</v>
      </c>
      <c r="AO29" s="59">
        <f t="shared" si="36"/>
        <v>296.53283288925957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4.0942857142857143</v>
      </c>
      <c r="BD29" s="12">
        <f>IF('Données projet'!$A$88&gt;35,BD28+BC29-BL28,IF(A29&lt;'Données projet'!$A$88,$BA$205^A29,IF(A29='Données projet'!$A$88,'Données projet'!$B$88,BD28+BC29-BL28)))</f>
        <v>106.45142857142864</v>
      </c>
      <c r="BE29" s="13">
        <f>BD29*VLOOKUP('Données projet'!$B$11,Paramètres!$A$1:$I$89,3,0)*VLOOKUP('Données projet'!$B$11,Paramètres!$A$1:$I$89,5,0)</f>
        <v>96.317252571428625</v>
      </c>
      <c r="BF29" s="13">
        <f t="shared" si="37"/>
        <v>26.082726965934707</v>
      </c>
      <c r="BG29" s="20">
        <f t="shared" si="7"/>
        <v>213.1799643609078</v>
      </c>
      <c r="BH29" s="59">
        <f t="shared" si="8"/>
        <v>443.46667841009798</v>
      </c>
      <c r="BI29" s="59">
        <f ca="1">AVERAGE(OFFSET($BH$3,0,0,'Données projet'!$E$11+1,1))-AVERAGE(OFFSET($H$3,0,0,'Données projet'!$E$11+1,1))</f>
        <v>681.47578137804555</v>
      </c>
      <c r="BJ29" s="59">
        <f t="shared" si="38"/>
        <v>300.88511065995885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5.7692307692307692</v>
      </c>
      <c r="BY29" s="12">
        <f>IF('Données projet'!$A$114&gt;35,BY28+BX29-CG28,IF(A29&lt;'Données projet'!$A$114,$BV$205^A29,IF(A29='Données projet'!$A$114,'Données projet'!$B$114,BY28+BX29-CG28)))</f>
        <v>63.46153846153846</v>
      </c>
      <c r="BZ29" s="13">
        <f>BY29*VLOOKUP('Données projet'!$B$12,Paramètres!$A$1:$I$89,3,0)*VLOOKUP('Données projet'!$B$12,Paramètres!$A$1:$I$89,5,0)</f>
        <v>66.330000000000013</v>
      </c>
      <c r="CA29" s="13">
        <f t="shared" si="39"/>
        <v>18.759230445983899</v>
      </c>
      <c r="CB29" s="20">
        <f t="shared" si="10"/>
        <v>148.19707636008866</v>
      </c>
      <c r="CC29" s="59">
        <f t="shared" si="11"/>
        <v>378.48379040927887</v>
      </c>
      <c r="CD29" s="59">
        <f ca="1">AVERAGE(OFFSET($CC$3,0,0,'Données projet'!$E$12+1,1))-AVERAGE(OFFSET($H$3,0,0,'Données projet'!$E$12+1,1))</f>
        <v>290.69667785754848</v>
      </c>
      <c r="CE29" s="59">
        <f t="shared" si="40"/>
        <v>256.28124185489082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9.0550106309814389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9.0550106309814389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120.19999999999996</v>
      </c>
      <c r="CU29" s="17">
        <f>CT29*VLOOKUP('Données projet'!$B$13,Paramètres!$A$1:$I$89,3,0)*VLOOKUP('Données projet'!$B$13,Paramètres!$A$1:$I$89,5,0)</f>
        <v>105.00671999999997</v>
      </c>
      <c r="CV29" s="13">
        <f t="shared" si="41"/>
        <v>28.151366980410856</v>
      </c>
      <c r="CW29" s="20">
        <f t="shared" si="13"/>
        <v>231.91700149088217</v>
      </c>
      <c r="CX29" s="59">
        <f t="shared" si="14"/>
        <v>462.20371554007238</v>
      </c>
      <c r="CY29" s="59">
        <f ca="1">AVERAGE(OFFSET($CX$3,0,0,'Données projet'!$E$13+1,1))-AVERAGE(OFFSET($H$3,0,0,'Données projet'!$E$13+1,1))</f>
        <v>408.246209980743</v>
      </c>
      <c r="CZ29" s="59">
        <f t="shared" si="42"/>
        <v>394.10236303013903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11.122793583959194</v>
      </c>
      <c r="DH29" s="21">
        <f>EXP(-LN(2)/2)*DH28+(1-EXP(-LN(2)/2))/(LN(2)/2)*DB29*DE29*VLOOKUP('Données projet'!$B$13,Paramètres!$A$1:$I$89,3,0)*0.475*44/12</f>
        <v>6.1471310224353655</v>
      </c>
      <c r="DI29" s="22">
        <f t="shared" si="15"/>
        <v>17.269924606394561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21.61428571428571</v>
      </c>
      <c r="DO29" s="12">
        <f>IF('Données projet'!$A$166&gt;35,DO28+DN29-DW28,IF(A29&lt;'Données projet'!$A$166,$DL$205^A29,IF(A29='Données projet'!$A$166,'Données projet'!$B$166,DO28+DN29-DW28)))</f>
        <v>238.78142857142851</v>
      </c>
      <c r="DP29" s="17">
        <f>DO29*VLOOKUP('Données projet'!$B$14,Paramètres!$A$1:$I$89,3,0)*VLOOKUP('Données projet'!$B$14,Paramètres!$A$1:$I$89,5,0)</f>
        <v>133.47881857142855</v>
      </c>
      <c r="DQ29" s="13">
        <f t="shared" si="43"/>
        <v>34.798972504515248</v>
      </c>
      <c r="DR29" s="20">
        <f t="shared" si="16"/>
        <v>293.08381945726882</v>
      </c>
      <c r="DS29" s="59">
        <f t="shared" si="17"/>
        <v>523.37053350645897</v>
      </c>
      <c r="DT29" s="59">
        <f ca="1">AVERAGE(OFFSET($DS$3,0,0,'Données projet'!$E$14+1,1))-AVERAGE(OFFSET($H$3,0,0,'Données projet'!$E$14+1,1))</f>
        <v>407.05634973057056</v>
      </c>
      <c r="DU29" s="59">
        <f t="shared" si="44"/>
        <v>375.32891954889965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5.9658330451437456</v>
      </c>
      <c r="EB29" s="21">
        <f>EXP(-LN(2)/25)*EB28+(1-EXP(-LN(2)/25))/(LN(2)/25)*Calculateur!DW29*Calculateur!DY29*VLOOKUP('Données projet'!$B$14,Paramètres!$A$1:$I$89,3,0)*0.475*44/12</f>
        <v>8.453133709792148</v>
      </c>
      <c r="EC29" s="21">
        <f>EXP(-LN(2)/2)*EC28+(1-EXP(-LN(2)/2))/(LN(2)/2)*DW29*DZ29*VLOOKUP('Données projet'!$B$14,Paramètres!$A$1:$I$89,3,0)*0.475*44/12</f>
        <v>2.7465560897516772</v>
      </c>
      <c r="ED29" s="22">
        <f t="shared" si="18"/>
        <v>17.165522844687573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25.6</v>
      </c>
      <c r="EJ29" s="12">
        <f>IF('Données projet'!$A$192&gt;35,EJ28+EI29-ER28,IF(A29&lt;'Données projet'!$A$192,$EG$205^A29,IF(A29='Données projet'!$A$192,'Données projet'!$B$192,EJ28+EI29-ER28)))</f>
        <v>205.60000000000008</v>
      </c>
      <c r="EK29" s="17">
        <f>EJ29*VLOOKUP('Données projet'!$B$15,Paramètres!$A$1:$I$89,3,0)*VLOOKUP('Données projet'!$B$15,Paramètres!$A$1:$I$89,5,0)</f>
        <v>90.875200000000049</v>
      </c>
      <c r="EL29" s="13">
        <f t="shared" si="45"/>
        <v>24.776183127439278</v>
      </c>
      <c r="EM29" s="20">
        <f t="shared" si="19"/>
        <v>201.4261589469568</v>
      </c>
      <c r="EN29" s="59">
        <f t="shared" si="20"/>
        <v>431.71287299614698</v>
      </c>
      <c r="EO29" s="59">
        <f ca="1">AVERAGE(OFFSET($EN$3,0,0,'Données projet'!$E$15+1,1))-AVERAGE(OFFSET($H$3,0,0,'Données projet'!$E$15+1,1))</f>
        <v>418.28022549686278</v>
      </c>
      <c r="EP29" s="59">
        <f t="shared" si="46"/>
        <v>354.55070454517158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5.3375300218417987</v>
      </c>
      <c r="EW29" s="21">
        <f>EXP(-LN(2)/25)*EW28+(1-EXP(-LN(2)/25))/(LN(2)/25)*Calculateur!ER29*Calculateur!ET29*VLOOKUP('Données projet'!$B$15,Paramètres!$A$1:$I$89,3,0)*0.475*44/12</f>
        <v>7.7860256860738009</v>
      </c>
      <c r="EX29" s="21">
        <f>EXP(-LN(2)/2)*EX28+(1-EXP(-LN(2)/2))/(LN(2)/2)*ER29*EU29*VLOOKUP('Données projet'!$B$15,Paramètres!$A$1:$I$89,3,0)*0.475*44/12</f>
        <v>8.5904856401136556</v>
      </c>
      <c r="EY29" s="22">
        <f t="shared" si="21"/>
        <v>21.714041348029255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3.3603333333333336</v>
      </c>
      <c r="FE29" s="12">
        <f>IF('Données projet'!$A$218&gt;35,FE28+FD29-FM28,IF(A29&lt;'Données projet'!$A$218,$FB$205^A29,IF(A29='Données projet'!$A$218,'Données projet'!$B$218,FE28+FD29-FM28)))</f>
        <v>87.368666666666684</v>
      </c>
      <c r="FF29" s="17">
        <f>FE29*VLOOKUP('Données projet'!$B$16,Paramètres!$A$1:$I$89,3,0)*VLOOKUP('Données projet'!$B$16,Paramètres!$A$1:$I$89,5,0)</f>
        <v>99.495437600000017</v>
      </c>
      <c r="FG29" s="13">
        <f t="shared" si="47"/>
        <v>26.84175714899277</v>
      </c>
      <c r="FH29" s="20">
        <f t="shared" si="22"/>
        <v>220.03728085449575</v>
      </c>
      <c r="FI29" s="59">
        <f t="shared" si="23"/>
        <v>450.32399490368596</v>
      </c>
      <c r="FJ29" s="59">
        <f ca="1">AVERAGE(OFFSET($FI$3,0,0,'Données projet'!$E$16+1,1))-AVERAGE(OFFSET($H$3,0,0,'Données projet'!$E$16+1,1))</f>
        <v>640.05156427113661</v>
      </c>
      <c r="FK29" s="59">
        <f t="shared" si="48"/>
        <v>308.77220155372902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18.678333333333331</v>
      </c>
      <c r="N30" s="13">
        <f>IF('Données projet'!$A$36&gt;35,N29+M30-V29,IF(A30&lt;'Données projet'!$A$36,$K$205^A30,IF(A30='Données projet'!$A$36,'Données projet'!$B$36,N29+M30-V29)))</f>
        <v>205.55333333333331</v>
      </c>
      <c r="O30" s="13">
        <f>N30*VLOOKUP('Données projet'!$B$9,Paramètres!$A$1:$I$89,3,0)*VLOOKUP('Données projet'!$B$9,Paramètres!$A$1:$I$89,5,0)</f>
        <v>122.92089333333332</v>
      </c>
      <c r="P30" s="13">
        <f t="shared" si="33"/>
        <v>32.355293246449399</v>
      </c>
      <c r="Q30" s="20">
        <f t="shared" si="2"/>
        <v>270.43935829312153</v>
      </c>
      <c r="R30" s="59">
        <f t="shared" si="0"/>
        <v>502.95720116568503</v>
      </c>
      <c r="S30" s="59">
        <f ca="1">AVERAGE(OFFSET($R$3,0,0,'Données projet'!$E$9+1,1))-AVERAGE(OFFSET($H$3,0,0,'Données projet'!$E$9+1,1))</f>
        <v>318.50474972254085</v>
      </c>
      <c r="T30" s="59">
        <f t="shared" si="34"/>
        <v>326.45858332753562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4.8124732455527903</v>
      </c>
      <c r="AA30" s="21">
        <f>EXP(-LN(2)/25)*AA29+(1-EXP(-LN(2)/25))/(LN(2)/25)*Calculateur!V30*Calculateur!X30*VLOOKUP('Données projet'!$B$9,Paramètres!$A$1:$I$89,3,0)*0.475*44/12</f>
        <v>12.421609434340189</v>
      </c>
      <c r="AB30" s="21">
        <f>EXP(-LN(2)/2)*AB29+(1-EXP(-LN(2)/2))/(LN(2)/2)*V30*Y30*VLOOKUP('Données projet'!$B$9,Paramètres!$A$1:$I$89,3,0)*0.475*44/12</f>
        <v>4.1901373488540061</v>
      </c>
      <c r="AC30" s="22">
        <f t="shared" si="3"/>
        <v>21.424220028746984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7.7715686274509812</v>
      </c>
      <c r="AI30" s="13">
        <f>IF('Données projet'!$A$62&gt;35,AI29+AH30-AQ29,IF(A30&lt;'Données projet'!$A$62,$AF$205^A30,IF(A30='Données projet'!$A$62,'Données projet'!$B$62,AI29+AH30-AQ29)))</f>
        <v>209.83235294117654</v>
      </c>
      <c r="AJ30" s="13">
        <f>AI30*VLOOKUP('Données projet'!$B$10,Paramètres!$A$1:$I$89,3,0)*VLOOKUP('Données projet'!$B$10,Paramètres!$A$1:$I$89,5,0)</f>
        <v>98.201541176470613</v>
      </c>
      <c r="AK30" s="13">
        <f t="shared" si="35"/>
        <v>26.533088035148577</v>
      </c>
      <c r="AL30" s="20">
        <f t="shared" si="4"/>
        <v>217.2461458769034</v>
      </c>
      <c r="AM30" s="59">
        <f t="shared" si="5"/>
        <v>449.76398874946688</v>
      </c>
      <c r="AN30" s="59">
        <f ca="1">AVERAGE(OFFSET($AM$3,0,0,'Données projet'!$E$10+1,1))-AVERAGE(OFFSET($H$3,0,0,'Données projet'!$E$10+1,1))</f>
        <v>374.38106339726073</v>
      </c>
      <c r="AO30" s="59">
        <f t="shared" si="36"/>
        <v>296.53283288925957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4.0942857142857143</v>
      </c>
      <c r="BD30" s="12">
        <f>IF('Données projet'!$A$88&gt;35,BD29+BC30-BL29,IF(A30&lt;'Données projet'!$A$88,$BA$205^A30,IF(A30='Données projet'!$A$88,'Données projet'!$B$88,BD29+BC30-BL29)))</f>
        <v>110.54571428571435</v>
      </c>
      <c r="BE30" s="13">
        <f>BD30*VLOOKUP('Données projet'!$B$11,Paramètres!$A$1:$I$89,3,0)*VLOOKUP('Données projet'!$B$11,Paramètres!$A$1:$I$89,5,0)</f>
        <v>100.02176228571433</v>
      </c>
      <c r="BF30" s="13">
        <f t="shared" si="37"/>
        <v>26.967182047167292</v>
      </c>
      <c r="BG30" s="20">
        <f t="shared" si="7"/>
        <v>221.17241137976885</v>
      </c>
      <c r="BH30" s="59">
        <f t="shared" si="8"/>
        <v>453.69025425233235</v>
      </c>
      <c r="BI30" s="59">
        <f ca="1">AVERAGE(OFFSET($BH$3,0,0,'Données projet'!$E$11+1,1))-AVERAGE(OFFSET($H$3,0,0,'Données projet'!$E$11+1,1))</f>
        <v>681.47578137804555</v>
      </c>
      <c r="BJ30" s="59">
        <f t="shared" si="38"/>
        <v>300.88511065995885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5.7692307692307692</v>
      </c>
      <c r="BY30" s="12">
        <f>IF('Données projet'!$A$114&gt;35,BY29+BX30-CG29,IF(A30&lt;'Données projet'!$A$114,$BV$205^A30,IF(A30='Données projet'!$A$114,'Données projet'!$B$114,BY29+BX30-CG29)))</f>
        <v>69.230769230769226</v>
      </c>
      <c r="BZ30" s="13">
        <f>BY30*VLOOKUP('Données projet'!$B$12,Paramètres!$A$1:$I$89,3,0)*VLOOKUP('Données projet'!$B$12,Paramètres!$A$1:$I$89,5,0)</f>
        <v>72.36</v>
      </c>
      <c r="CA30" s="13">
        <f t="shared" si="39"/>
        <v>20.258392951825481</v>
      </c>
      <c r="CB30" s="20">
        <f t="shared" si="10"/>
        <v>161.31036772442937</v>
      </c>
      <c r="CC30" s="59">
        <f t="shared" si="11"/>
        <v>393.8282105969929</v>
      </c>
      <c r="CD30" s="59">
        <f ca="1">AVERAGE(OFFSET($CC$3,0,0,'Données projet'!$E$12+1,1))-AVERAGE(OFFSET($H$3,0,0,'Données projet'!$E$12+1,1))</f>
        <v>290.69667785754848</v>
      </c>
      <c r="CE30" s="59">
        <f t="shared" si="40"/>
        <v>256.28124185489082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8.8074008890949376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8.8074008890949376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134.39999999999995</v>
      </c>
      <c r="CU30" s="17">
        <f>CT30*VLOOKUP('Données projet'!$B$13,Paramètres!$A$1:$I$89,3,0)*VLOOKUP('Données projet'!$B$13,Paramètres!$A$1:$I$89,5,0)</f>
        <v>117.41183999999997</v>
      </c>
      <c r="CV30" s="13">
        <f t="shared" si="41"/>
        <v>31.070589593507044</v>
      </c>
      <c r="CW30" s="20">
        <f t="shared" si="13"/>
        <v>258.60689820869135</v>
      </c>
      <c r="CX30" s="59">
        <f t="shared" si="14"/>
        <v>491.12474108125485</v>
      </c>
      <c r="CY30" s="59">
        <f ca="1">AVERAGE(OFFSET($CX$3,0,0,'Données projet'!$E$13+1,1))-AVERAGE(OFFSET($H$3,0,0,'Données projet'!$E$13+1,1))</f>
        <v>408.246209980743</v>
      </c>
      <c r="CZ30" s="59">
        <f t="shared" si="42"/>
        <v>394.10236303013903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10.818640208483536</v>
      </c>
      <c r="DH30" s="21">
        <f>EXP(-LN(2)/2)*DH29+(1-EXP(-LN(2)/2))/(LN(2)/2)*DB30*DE30*VLOOKUP('Données projet'!$B$13,Paramètres!$A$1:$I$89,3,0)*0.475*44/12</f>
        <v>4.3466780308062427</v>
      </c>
      <c r="DI30" s="22">
        <f t="shared" si="15"/>
        <v>15.165318239289778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21.61428571428571</v>
      </c>
      <c r="DO30" s="12">
        <f>IF('Données projet'!$A$166&gt;35,DO29+DN30-DW29,IF(A30&lt;'Données projet'!$A$166,$DL$205^A30,IF(A30='Données projet'!$A$166,'Données projet'!$B$166,DO29+DN30-DW29)))</f>
        <v>260.39571428571423</v>
      </c>
      <c r="DP30" s="17">
        <f>DO30*VLOOKUP('Données projet'!$B$14,Paramètres!$A$1:$I$89,3,0)*VLOOKUP('Données projet'!$B$14,Paramètres!$A$1:$I$89,5,0)</f>
        <v>145.56120428571427</v>
      </c>
      <c r="DQ30" s="13">
        <f t="shared" si="43"/>
        <v>37.568096638366988</v>
      </c>
      <c r="DR30" s="20">
        <f t="shared" si="16"/>
        <v>318.95019910944154</v>
      </c>
      <c r="DS30" s="59">
        <f t="shared" si="17"/>
        <v>551.46804198200505</v>
      </c>
      <c r="DT30" s="59">
        <f ca="1">AVERAGE(OFFSET($DS$3,0,0,'Données projet'!$E$14+1,1))-AVERAGE(OFFSET($H$3,0,0,'Données projet'!$E$14+1,1))</f>
        <v>407.05634973057056</v>
      </c>
      <c r="DU30" s="59">
        <f t="shared" si="44"/>
        <v>375.32891954889965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5.8488466979273328</v>
      </c>
      <c r="EB30" s="21">
        <f>EXP(-LN(2)/25)*EB29+(1-EXP(-LN(2)/25))/(LN(2)/25)*Calculateur!DW30*Calculateur!DY30*VLOOKUP('Données projet'!$B$14,Paramètres!$A$1:$I$89,3,0)*0.475*44/12</f>
        <v>8.2219823239669001</v>
      </c>
      <c r="EC30" s="21">
        <f>EXP(-LN(2)/2)*EC29+(1-EXP(-LN(2)/2))/(LN(2)/2)*DW30*DZ30*VLOOKUP('Données projet'!$B$14,Paramètres!$A$1:$I$89,3,0)*0.475*44/12</f>
        <v>1.9421084359726188</v>
      </c>
      <c r="ED30" s="22">
        <f t="shared" si="18"/>
        <v>16.012937457866851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25.6</v>
      </c>
      <c r="EJ30" s="12">
        <f>IF('Données projet'!$A$192&gt;35,EJ29+EI30-ER29,IF(A30&lt;'Données projet'!$A$192,$EG$205^A30,IF(A30='Données projet'!$A$192,'Données projet'!$B$192,EJ29+EI30-ER29)))</f>
        <v>231.20000000000007</v>
      </c>
      <c r="EK30" s="17">
        <f>EJ30*VLOOKUP('Données projet'!$B$15,Paramètres!$A$1:$I$89,3,0)*VLOOKUP('Données projet'!$B$15,Paramètres!$A$1:$I$89,5,0)</f>
        <v>102.19040000000004</v>
      </c>
      <c r="EL30" s="13">
        <f t="shared" si="45"/>
        <v>27.483170265104413</v>
      </c>
      <c r="EM30" s="20">
        <f t="shared" si="19"/>
        <v>225.84813487839025</v>
      </c>
      <c r="EN30" s="59">
        <f t="shared" si="20"/>
        <v>458.36597775095379</v>
      </c>
      <c r="EO30" s="59">
        <f ca="1">AVERAGE(OFFSET($EN$3,0,0,'Données projet'!$E$15+1,1))-AVERAGE(OFFSET($H$3,0,0,'Données projet'!$E$15+1,1))</f>
        <v>418.28022549686278</v>
      </c>
      <c r="EP30" s="59">
        <f t="shared" si="46"/>
        <v>354.55070454517158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5.232864313685333</v>
      </c>
      <c r="EW30" s="21">
        <f>EXP(-LN(2)/25)*EW29+(1-EXP(-LN(2)/25))/(LN(2)/25)*Calculateur!ER30*Calculateur!ET30*VLOOKUP('Données projet'!$B$15,Paramètres!$A$1:$I$89,3,0)*0.475*44/12</f>
        <v>7.5731164042388173</v>
      </c>
      <c r="EX30" s="21">
        <f>EXP(-LN(2)/2)*EX29+(1-EXP(-LN(2)/2))/(LN(2)/2)*ER30*EU30*VLOOKUP('Données projet'!$B$15,Paramètres!$A$1:$I$89,3,0)*0.475*44/12</f>
        <v>6.0743906498100255</v>
      </c>
      <c r="EY30" s="22">
        <f t="shared" si="21"/>
        <v>18.880371367734178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3.3603333333333336</v>
      </c>
      <c r="FE30" s="12">
        <f>IF('Données projet'!$A$218&gt;35,FE29+FD30-FM29,IF(A30&lt;'Données projet'!$A$218,$FB$205^A30,IF(A30='Données projet'!$A$218,'Données projet'!$B$218,FE29+FD30-FM29)))</f>
        <v>90.729000000000013</v>
      </c>
      <c r="FF30" s="17">
        <f>FE30*VLOOKUP('Données projet'!$B$16,Paramètres!$A$1:$I$89,3,0)*VLOOKUP('Données projet'!$B$16,Paramètres!$A$1:$I$89,5,0)</f>
        <v>103.32218520000002</v>
      </c>
      <c r="FG30" s="13">
        <f t="shared" si="47"/>
        <v>27.751950647189656</v>
      </c>
      <c r="FH30" s="20">
        <f t="shared" si="22"/>
        <v>228.28745326718865</v>
      </c>
      <c r="FI30" s="59">
        <f t="shared" si="23"/>
        <v>460.80529613975216</v>
      </c>
      <c r="FJ30" s="59">
        <f ca="1">AVERAGE(OFFSET($FI$3,0,0,'Données projet'!$E$16+1,1))-AVERAGE(OFFSET($H$3,0,0,'Données projet'!$E$16+1,1))</f>
        <v>640.05156427113661</v>
      </c>
      <c r="FK30" s="59">
        <f t="shared" si="48"/>
        <v>308.77220155372902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18.678333333333331</v>
      </c>
      <c r="N31" s="13">
        <f>IF('Données projet'!$A$36&gt;35,N30+M31-V30,IF(A31&lt;'Données projet'!$A$36,$K$205^A31,IF(A31='Données projet'!$A$36,'Données projet'!$B$36,N30+M31-V30)))</f>
        <v>224.23166666666665</v>
      </c>
      <c r="O31" s="13">
        <f>N31*VLOOKUP('Données projet'!$B$9,Paramètres!$A$1:$I$89,3,0)*VLOOKUP('Données projet'!$B$9,Paramètres!$A$1:$I$89,5,0)</f>
        <v>134.09053666666668</v>
      </c>
      <c r="P31" s="13">
        <f t="shared" si="33"/>
        <v>34.93985124057766</v>
      </c>
      <c r="Q31" s="20">
        <f t="shared" si="2"/>
        <v>294.39459227178389</v>
      </c>
      <c r="R31" s="59">
        <f t="shared" si="0"/>
        <v>529.12606169376795</v>
      </c>
      <c r="S31" s="59">
        <f ca="1">AVERAGE(OFFSET($R$3,0,0,'Données projet'!$E$9+1,1))-AVERAGE(OFFSET($H$3,0,0,'Données projet'!$E$9+1,1))</f>
        <v>318.50474972254085</v>
      </c>
      <c r="T31" s="59">
        <f t="shared" si="34"/>
        <v>326.45858332753562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4.7181035805263409</v>
      </c>
      <c r="AA31" s="21">
        <f>EXP(-LN(2)/25)*AA30+(1-EXP(-LN(2)/25))/(LN(2)/25)*Calculateur!V31*Calculateur!X31*VLOOKUP('Données projet'!$B$9,Paramètres!$A$1:$I$89,3,0)*0.475*44/12</f>
        <v>12.081939871134106</v>
      </c>
      <c r="AB31" s="21">
        <f>EXP(-LN(2)/2)*AB30+(1-EXP(-LN(2)/2))/(LN(2)/2)*V31*Y31*VLOOKUP('Données projet'!$B$9,Paramètres!$A$1:$I$89,3,0)*0.475*44/12</f>
        <v>2.9628745334776903</v>
      </c>
      <c r="AC31" s="22">
        <f t="shared" si="3"/>
        <v>19.762917985138138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7.7715686274509812</v>
      </c>
      <c r="AI31" s="13">
        <f>IF('Données projet'!$A$62&gt;35,AI30+AH31-AQ30,IF(A31&lt;'Données projet'!$A$62,$AF$205^A31,IF(A31='Données projet'!$A$62,'Données projet'!$B$62,AI30+AH31-AQ30)))</f>
        <v>217.60392156862753</v>
      </c>
      <c r="AJ31" s="13">
        <f>AI31*VLOOKUP('Données projet'!$B$10,Paramètres!$A$1:$I$89,3,0)*VLOOKUP('Données projet'!$B$10,Paramètres!$A$1:$I$89,5,0)</f>
        <v>101.83863529411768</v>
      </c>
      <c r="AK31" s="13">
        <f t="shared" si="35"/>
        <v>27.39956150016679</v>
      </c>
      <c r="AL31" s="20">
        <f t="shared" si="4"/>
        <v>225.08985941671213</v>
      </c>
      <c r="AM31" s="59">
        <f t="shared" si="5"/>
        <v>459.82132883869622</v>
      </c>
      <c r="AN31" s="59">
        <f ca="1">AVERAGE(OFFSET($AM$3,0,0,'Données projet'!$E$10+1,1))-AVERAGE(OFFSET($H$3,0,0,'Données projet'!$E$10+1,1))</f>
        <v>374.38106339726073</v>
      </c>
      <c r="AO31" s="59">
        <f t="shared" si="36"/>
        <v>296.53283288925957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4.0942857142857143</v>
      </c>
      <c r="BD31" s="12">
        <f>IF('Données projet'!$A$88&gt;35,BD30+BC31-BL30,IF(A31&lt;'Données projet'!$A$88,$BA$205^A31,IF(A31='Données projet'!$A$88,'Données projet'!$B$88,BD30+BC31-BL30)))</f>
        <v>114.64000000000007</v>
      </c>
      <c r="BE31" s="13">
        <f>BD31*VLOOKUP('Données projet'!$B$11,Paramètres!$A$1:$I$89,3,0)*VLOOKUP('Données projet'!$B$11,Paramètres!$A$1:$I$89,5,0)</f>
        <v>103.72627200000005</v>
      </c>
      <c r="BF31" s="13">
        <f t="shared" si="37"/>
        <v>27.847831432539717</v>
      </c>
      <c r="BG31" s="20">
        <f t="shared" si="7"/>
        <v>229.15823014500677</v>
      </c>
      <c r="BH31" s="59">
        <f t="shared" si="8"/>
        <v>463.88969956699088</v>
      </c>
      <c r="BI31" s="59">
        <f ca="1">AVERAGE(OFFSET($BH$3,0,0,'Données projet'!$E$11+1,1))-AVERAGE(OFFSET($H$3,0,0,'Données projet'!$E$11+1,1))</f>
        <v>681.47578137804555</v>
      </c>
      <c r="BJ31" s="59">
        <f t="shared" si="38"/>
        <v>300.88511065995885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5.7692307692307692</v>
      </c>
      <c r="BY31" s="12">
        <f>IF('Données projet'!$A$114&gt;35,BY30+BX31-CG30,IF(A31&lt;'Données projet'!$A$114,$BV$205^A31,IF(A31='Données projet'!$A$114,'Données projet'!$B$114,BY30+BX31-CG30)))</f>
        <v>75</v>
      </c>
      <c r="BZ31" s="13">
        <f>BY31*VLOOKUP('Données projet'!$B$12,Paramètres!$A$1:$I$89,3,0)*VLOOKUP('Données projet'!$B$12,Paramètres!$A$1:$I$89,5,0)</f>
        <v>78.39</v>
      </c>
      <c r="CA31" s="13">
        <f t="shared" si="39"/>
        <v>21.743066192079873</v>
      </c>
      <c r="CB31" s="20">
        <f t="shared" si="10"/>
        <v>174.3984236178724</v>
      </c>
      <c r="CC31" s="59">
        <f t="shared" si="11"/>
        <v>409.12989303985648</v>
      </c>
      <c r="CD31" s="59">
        <f ca="1">AVERAGE(OFFSET($CC$3,0,0,'Données projet'!$E$12+1,1))-AVERAGE(OFFSET($H$3,0,0,'Données projet'!$E$12+1,1))</f>
        <v>290.69667785754848</v>
      </c>
      <c r="CE31" s="59">
        <f t="shared" si="40"/>
        <v>256.28124185489082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8.5665620486215541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8.5665620486215541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148.59999999999994</v>
      </c>
      <c r="CU31" s="17">
        <f>CT31*VLOOKUP('Données projet'!$B$13,Paramètres!$A$1:$I$89,3,0)*VLOOKUP('Données projet'!$B$13,Paramètres!$A$1:$I$89,5,0)</f>
        <v>129.81695999999997</v>
      </c>
      <c r="CV31" s="13">
        <f t="shared" si="41"/>
        <v>33.954060694815986</v>
      </c>
      <c r="CW31" s="20">
        <f t="shared" si="13"/>
        <v>285.23452771013774</v>
      </c>
      <c r="CX31" s="59">
        <f t="shared" si="14"/>
        <v>519.96599713212186</v>
      </c>
      <c r="CY31" s="59">
        <f ca="1">AVERAGE(OFFSET($CX$3,0,0,'Données projet'!$E$13+1,1))-AVERAGE(OFFSET($H$3,0,0,'Données projet'!$E$13+1,1))</f>
        <v>408.246209980743</v>
      </c>
      <c r="CZ31" s="59">
        <f t="shared" si="42"/>
        <v>394.10236303013903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10.522803923054992</v>
      </c>
      <c r="DH31" s="21">
        <f>EXP(-LN(2)/2)*DH30+(1-EXP(-LN(2)/2))/(LN(2)/2)*DB31*DE31*VLOOKUP('Données projet'!$B$13,Paramètres!$A$1:$I$89,3,0)*0.475*44/12</f>
        <v>3.0735655112176832</v>
      </c>
      <c r="DI31" s="22">
        <f t="shared" si="15"/>
        <v>13.596369434272676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>
        <f>VLOOKUP(A31,'Données projet'!$A$165:$I$185,2,0)</f>
        <v>282.01</v>
      </c>
      <c r="DM31" s="12">
        <f>VLOOKUP(A31,'Données projet'!$A$165:$I$185,9,0)</f>
        <v>21.61428571428571</v>
      </c>
      <c r="DN31" s="12">
        <f t="array" ref="DN31">INDEX(DM:DM,MIN(IF(ISNUMBER(DM31:DM227),ROW(DM31:DM227),"")))</f>
        <v>21.61428571428571</v>
      </c>
      <c r="DO31" s="12">
        <f>IF('Données projet'!$A$166&gt;35,DO30+DN31-DW30,IF(A31&lt;'Données projet'!$A$166,$DL$205^A31,IF(A31='Données projet'!$A$166,'Données projet'!$B$166,DO30+DN31-DW30)))</f>
        <v>282.00999999999993</v>
      </c>
      <c r="DP31" s="17">
        <f>DO31*VLOOKUP('Données projet'!$B$14,Paramètres!$A$1:$I$89,3,0)*VLOOKUP('Données projet'!$B$14,Paramètres!$A$1:$I$89,5,0)</f>
        <v>157.64358999999996</v>
      </c>
      <c r="DQ31" s="13">
        <f t="shared" si="43"/>
        <v>40.310562469543989</v>
      </c>
      <c r="DR31" s="20">
        <f t="shared" si="16"/>
        <v>344.77014888445569</v>
      </c>
      <c r="DS31" s="59">
        <f t="shared" si="17"/>
        <v>579.50161830643981</v>
      </c>
      <c r="DT31" s="59">
        <f ca="1">AVERAGE(OFFSET($DS$3,0,0,'Données projet'!$E$14+1,1))-AVERAGE(OFFSET($H$3,0,0,'Données projet'!$E$14+1,1))</f>
        <v>407.05634973057056</v>
      </c>
      <c r="DU31" s="59">
        <f t="shared" si="44"/>
        <v>375.32891954889965</v>
      </c>
      <c r="DV31" s="15">
        <f>IF(ISNA(VLOOKUP(A31,'Données projet'!$A$165:$I$185,3,0)),0,VLOOKUP(A31,'Données projet'!$A$165:$I$185,3,0))</f>
        <v>2</v>
      </c>
      <c r="DW31" s="15">
        <f>IF(ISNA(VLOOKUP(A31,'Données projet'!$A$165:$I$185,4,0)),0,VLOOKUP(A31,'Données projet'!$A$165:$I$185,4,0))</f>
        <v>67.639999999999986</v>
      </c>
      <c r="DX31" s="16">
        <f>IF(ISNA(VLOOKUP(A31,'Données projet'!$A$165:$I$185,5,0)),0%,VLOOKUP(A31,'Données projet'!$A$165:$I$185,5,0)*VLOOKUP('Données projet'!$B$14,Paramètres!$A$1:$I$89,7,0))</f>
        <v>0.13750000000000001</v>
      </c>
      <c r="DY31" s="16">
        <f>IF(ISNA(VLOOKUP(A31,'Données projet'!$A$165:$I$185,6,0)),0%,VLOOKUP(A31,'Données projet'!$A$165:$I$185,6,0)*VLOOKUP('Données projet'!$B$14,Paramètres!$A$1:$I$89,7,0))</f>
        <v>0.20350000000000001</v>
      </c>
      <c r="DZ31" s="16">
        <f>IF(ISNA(VLOOKUP(A31,'Données projet'!$A$165:$I$185,7,0)),0%,VLOOKUP(A31,'Données projet'!$A$165:$I$185,7,0))</f>
        <v>0.38</v>
      </c>
      <c r="EA31" s="21">
        <f>EXP(-LN(2)/35)*EA30+(1-EXP(-LN(2)/35))/(LN(2)/35)*DW31*DX31*VLOOKUP('Données projet'!$B$14,Paramètres!$A$1:$I$89,3,0)*0.475*44/12</f>
        <v>12.630935790884042</v>
      </c>
      <c r="EB31" s="21">
        <f>EXP(-LN(2)/25)*EB30+(1-EXP(-LN(2)/25))/(LN(2)/25)*Calculateur!DW31*Calculateur!DY31*VLOOKUP('Données projet'!$B$14,Paramètres!$A$1:$I$89,3,0)*0.475*44/12</f>
        <v>18.164198491339612</v>
      </c>
      <c r="EC31" s="21">
        <f>EXP(-LN(2)/2)*EC30+(1-EXP(-LN(2)/2))/(LN(2)/2)*DW31*DZ31*VLOOKUP('Données projet'!$B$14,Paramètres!$A$1:$I$89,3,0)*0.475*44/12</f>
        <v>17.641292237964119</v>
      </c>
      <c r="ED31" s="22">
        <f t="shared" si="18"/>
        <v>48.436426520187773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25.6</v>
      </c>
      <c r="EJ31" s="12">
        <f>IF('Données projet'!$A$192&gt;35,EJ30+EI31-ER30,IF(A31&lt;'Données projet'!$A$192,$EG$205^A31,IF(A31='Données projet'!$A$192,'Données projet'!$B$192,EJ30+EI31-ER30)))</f>
        <v>256.80000000000007</v>
      </c>
      <c r="EK31" s="17">
        <f>EJ31*VLOOKUP('Données projet'!$B$15,Paramètres!$A$1:$I$89,3,0)*VLOOKUP('Données projet'!$B$15,Paramètres!$A$1:$I$89,5,0)</f>
        <v>113.50560000000004</v>
      </c>
      <c r="EL31" s="13">
        <f t="shared" si="45"/>
        <v>30.155417192749493</v>
      </c>
      <c r="EM31" s="20">
        <f t="shared" si="19"/>
        <v>250.20960494403877</v>
      </c>
      <c r="EN31" s="59">
        <f t="shared" si="20"/>
        <v>484.94107436602286</v>
      </c>
      <c r="EO31" s="59">
        <f ca="1">AVERAGE(OFFSET($EN$3,0,0,'Données projet'!$E$15+1,1))-AVERAGE(OFFSET($H$3,0,0,'Données projet'!$E$15+1,1))</f>
        <v>418.28022549686278</v>
      </c>
      <c r="EP31" s="59">
        <f t="shared" si="46"/>
        <v>354.55070454517158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5.1302510362260376</v>
      </c>
      <c r="EW31" s="21">
        <f>EXP(-LN(2)/25)*EW30+(1-EXP(-LN(2)/25))/(LN(2)/25)*Calculateur!ER31*Calculateur!ET31*VLOOKUP('Données projet'!$B$15,Paramètres!$A$1:$I$89,3,0)*0.475*44/12</f>
        <v>7.3660291379120233</v>
      </c>
      <c r="EX31" s="21">
        <f>EXP(-LN(2)/2)*EX30+(1-EXP(-LN(2)/2))/(LN(2)/2)*ER31*EU31*VLOOKUP('Données projet'!$B$15,Paramètres!$A$1:$I$89,3,0)*0.475*44/12</f>
        <v>4.2952428200568287</v>
      </c>
      <c r="EY31" s="22">
        <f t="shared" si="21"/>
        <v>16.791522994194889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3.3603333333333336</v>
      </c>
      <c r="FE31" s="12">
        <f>IF('Données projet'!$A$218&gt;35,FE30+FD31-FM30,IF(A31&lt;'Données projet'!$A$218,$FB$205^A31,IF(A31='Données projet'!$A$218,'Données projet'!$B$218,FE30+FD31-FM30)))</f>
        <v>94.089333333333343</v>
      </c>
      <c r="FF31" s="17">
        <f>FE31*VLOOKUP('Données projet'!$B$16,Paramètres!$A$1:$I$89,3,0)*VLOOKUP('Données projet'!$B$16,Paramètres!$A$1:$I$89,5,0)</f>
        <v>107.14893280000001</v>
      </c>
      <c r="FG31" s="13">
        <f t="shared" si="47"/>
        <v>28.658227700445973</v>
      </c>
      <c r="FH31" s="20">
        <f t="shared" si="22"/>
        <v>236.53080453827673</v>
      </c>
      <c r="FI31" s="59">
        <f t="shared" si="23"/>
        <v>471.26227396026081</v>
      </c>
      <c r="FJ31" s="59">
        <f ca="1">AVERAGE(OFFSET($FI$3,0,0,'Données projet'!$E$16+1,1))-AVERAGE(OFFSET($H$3,0,0,'Données projet'!$E$16+1,1))</f>
        <v>640.05156427113661</v>
      </c>
      <c r="FK31" s="59">
        <f t="shared" si="48"/>
        <v>308.77220155372902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242.91</v>
      </c>
      <c r="L32" s="12">
        <f>VLOOKUP(A32,'Données projet'!$A$35:$I$55,9,0)</f>
        <v>18.678333333333331</v>
      </c>
      <c r="M32" s="12">
        <f t="array" ref="M32">INDEX(L:L,MIN(IF(ISNUMBER(L32:L228),ROW(L32:L228),"")))</f>
        <v>18.678333333333331</v>
      </c>
      <c r="N32" s="13">
        <f>IF('Données projet'!$A$36&gt;35,N31+M32-V31,IF(A32&lt;'Données projet'!$A$36,$K$205^A32,IF(A32='Données projet'!$A$36,'Données projet'!$B$36,N31+M32-V31)))</f>
        <v>242.91</v>
      </c>
      <c r="O32" s="13">
        <f>N32*VLOOKUP('Données projet'!$B$9,Paramètres!$A$1:$I$89,3,0)*VLOOKUP('Données projet'!$B$9,Paramètres!$A$1:$I$89,5,0)</f>
        <v>145.26018000000002</v>
      </c>
      <c r="P32" s="13">
        <f t="shared" si="33"/>
        <v>37.499439910321911</v>
      </c>
      <c r="Q32" s="20">
        <f t="shared" si="2"/>
        <v>318.30633801047736</v>
      </c>
      <c r="R32" s="59">
        <f t="shared" si="0"/>
        <v>555.2342353332532</v>
      </c>
      <c r="S32" s="59">
        <f ca="1">AVERAGE(OFFSET($R$3,0,0,'Données projet'!$E$9+1,1))-AVERAGE(OFFSET($H$3,0,0,'Données projet'!$E$9+1,1))</f>
        <v>318.50474972254085</v>
      </c>
      <c r="T32" s="59">
        <f t="shared" si="34"/>
        <v>326.45858332753562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54.97</v>
      </c>
      <c r="W32" s="16">
        <f>IF(ISNA(VLOOKUP(A32,'Données projet'!$A$35:$I$55,5,0)),0%,VLOOKUP(A32,'Données projet'!$A$35:$I$55,5,0)*VLOOKUP('Données projet'!$B$9,Paramètres!$A$1:$I$89,7,0))</f>
        <v>0.27</v>
      </c>
      <c r="X32" s="16">
        <f>IF(ISNA(VLOOKUP(A32,'Données projet'!$A$35:$I$55,6,0)),0%,VLOOKUP(A32,'Données projet'!$A$35:$I$55,6,0)*VLOOKUP('Données projet'!$B$9,Paramètres!$A$1:$I$89,7,0))</f>
        <v>9.0000000000000011E-2</v>
      </c>
      <c r="Y32" s="16">
        <f>IF(ISNA(VLOOKUP(A32,'Données projet'!$A$35:$I$55,7,0)),0%,VLOOKUP(A32,'Données projet'!$A$35:$I$55,7,0))</f>
        <v>0.2</v>
      </c>
      <c r="Z32" s="21">
        <f>EXP(-LN(2)/35)*Z31+(1-EXP(-LN(2)/35))/(LN(2)/35)*V32*W32*VLOOKUP('Données projet'!$B$9,Paramètres!$A$1:$I$89,3,0)*0.475*44/12</f>
        <v>16.399449167801741</v>
      </c>
      <c r="AA32" s="21">
        <f>EXP(-LN(2)/25)*AA31+(1-EXP(-LN(2)/25))/(LN(2)/25)*Calculateur!V32*Calculateur!X32*VLOOKUP('Données projet'!$B$9,Paramètres!$A$1:$I$89,3,0)*0.475*44/12</f>
        <v>15.66072743303994</v>
      </c>
      <c r="AB32" s="21">
        <f>EXP(-LN(2)/2)*AB31+(1-EXP(-LN(2)/2))/(LN(2)/2)*V32*Y32*VLOOKUP('Données projet'!$B$9,Paramètres!$A$1:$I$89,3,0)*0.475*44/12</f>
        <v>9.5388302780725702</v>
      </c>
      <c r="AC32" s="22">
        <f t="shared" si="3"/>
        <v>41.599006878914253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7.7715686274509812</v>
      </c>
      <c r="AI32" s="13">
        <f>IF('Données projet'!$A$62&gt;35,AI31+AH32-AQ31,IF(A32&lt;'Données projet'!$A$62,$AF$205^A32,IF(A32='Données projet'!$A$62,'Données projet'!$B$62,AI31+AH32-AQ31)))</f>
        <v>225.37549019607852</v>
      </c>
      <c r="AJ32" s="13">
        <f>AI32*VLOOKUP('Données projet'!$B$10,Paramètres!$A$1:$I$89,3,0)*VLOOKUP('Données projet'!$B$10,Paramètres!$A$1:$I$89,5,0)</f>
        <v>105.47572941176475</v>
      </c>
      <c r="AK32" s="13">
        <f t="shared" si="35"/>
        <v>28.262439580592901</v>
      </c>
      <c r="AL32" s="20">
        <f t="shared" si="4"/>
        <v>232.92731099502291</v>
      </c>
      <c r="AM32" s="59">
        <f t="shared" si="5"/>
        <v>469.85520831779877</v>
      </c>
      <c r="AN32" s="59">
        <f ca="1">AVERAGE(OFFSET($AM$3,0,0,'Données projet'!$E$10+1,1))-AVERAGE(OFFSET($H$3,0,0,'Données projet'!$E$10+1,1))</f>
        <v>374.38106339726073</v>
      </c>
      <c r="AO32" s="59">
        <f t="shared" si="36"/>
        <v>296.53283288925957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4.0942857142857143</v>
      </c>
      <c r="BD32" s="12">
        <f>IF('Données projet'!$A$88&gt;35,BD31+BC32-BL31,IF(A32&lt;'Données projet'!$A$88,$BA$205^A32,IF(A32='Données projet'!$A$88,'Données projet'!$B$88,BD31+BC32-BL31)))</f>
        <v>118.73428571428579</v>
      </c>
      <c r="BE32" s="13">
        <f>BD32*VLOOKUP('Données projet'!$B$11,Paramètres!$A$1:$I$89,3,0)*VLOOKUP('Données projet'!$B$11,Paramètres!$A$1:$I$89,5,0)</f>
        <v>107.43078171428577</v>
      </c>
      <c r="BF32" s="13">
        <f t="shared" si="37"/>
        <v>28.724826611108305</v>
      </c>
      <c r="BG32" s="20">
        <f t="shared" si="7"/>
        <v>237.13768450006134</v>
      </c>
      <c r="BH32" s="59">
        <f t="shared" si="8"/>
        <v>474.0655818228372</v>
      </c>
      <c r="BI32" s="59">
        <f ca="1">AVERAGE(OFFSET($BH$3,0,0,'Données projet'!$E$11+1,1))-AVERAGE(OFFSET($H$3,0,0,'Données projet'!$E$11+1,1))</f>
        <v>681.47578137804555</v>
      </c>
      <c r="BJ32" s="59">
        <f t="shared" si="38"/>
        <v>300.88511065995885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5.7692307692307692</v>
      </c>
      <c r="BY32" s="12">
        <f>IF('Données projet'!$A$114&gt;35,BY31+BX32-CG31,IF(A32&lt;'Données projet'!$A$114,$BV$205^A32,IF(A32='Données projet'!$A$114,'Données projet'!$B$114,BY31+BX32-CG31)))</f>
        <v>80.769230769230774</v>
      </c>
      <c r="BZ32" s="13">
        <f>BY32*VLOOKUP('Données projet'!$B$12,Paramètres!$A$1:$I$89,3,0)*VLOOKUP('Données projet'!$B$12,Paramètres!$A$1:$I$89,5,0)</f>
        <v>84.420000000000016</v>
      </c>
      <c r="CA32" s="13">
        <f t="shared" si="39"/>
        <v>23.214491450008364</v>
      </c>
      <c r="CB32" s="20">
        <f t="shared" si="10"/>
        <v>187.46340594209792</v>
      </c>
      <c r="CC32" s="59">
        <f t="shared" si="11"/>
        <v>424.39130326487373</v>
      </c>
      <c r="CD32" s="59">
        <f ca="1">AVERAGE(OFFSET($CC$3,0,0,'Données projet'!$E$12+1,1))-AVERAGE(OFFSET($H$3,0,0,'Données projet'!$E$12+1,1))</f>
        <v>290.69667785754848</v>
      </c>
      <c r="CE32" s="59">
        <f t="shared" si="40"/>
        <v>256.28124185489082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8.3323089589060793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8.3323089589060793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162.79999999999993</v>
      </c>
      <c r="CU32" s="17">
        <f>CT32*VLOOKUP('Données projet'!$B$13,Paramètres!$A$1:$I$89,3,0)*VLOOKUP('Données projet'!$B$13,Paramètres!$A$1:$I$89,5,0)</f>
        <v>142.22207999999995</v>
      </c>
      <c r="CV32" s="13">
        <f t="shared" si="41"/>
        <v>36.805585341198615</v>
      </c>
      <c r="CW32" s="20">
        <f t="shared" si="13"/>
        <v>311.80651713592084</v>
      </c>
      <c r="CX32" s="59">
        <f t="shared" si="14"/>
        <v>548.73441445869662</v>
      </c>
      <c r="CY32" s="59">
        <f ca="1">AVERAGE(OFFSET($CX$3,0,0,'Données projet'!$E$13+1,1))-AVERAGE(OFFSET($H$3,0,0,'Données projet'!$E$13+1,1))</f>
        <v>408.246209980743</v>
      </c>
      <c r="CZ32" s="59">
        <f t="shared" si="42"/>
        <v>394.10236303013903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10.235057296408845</v>
      </c>
      <c r="DH32" s="21">
        <f>EXP(-LN(2)/2)*DH31+(1-EXP(-LN(2)/2))/(LN(2)/2)*DB32*DE32*VLOOKUP('Données projet'!$B$13,Paramètres!$A$1:$I$89,3,0)*0.475*44/12</f>
        <v>2.1733390154031214</v>
      </c>
      <c r="DI32" s="22">
        <f t="shared" si="15"/>
        <v>12.408396311811966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23.265714285714289</v>
      </c>
      <c r="DO32" s="12">
        <f>IF('Données projet'!$A$166&gt;35,DO31+DN32-DW31,IF(A32&lt;'Données projet'!$A$166,$DL$205^A32,IF(A32='Données projet'!$A$166,'Données projet'!$B$166,DO31+DN32-DW31)))</f>
        <v>237.63571428571424</v>
      </c>
      <c r="DP32" s="17">
        <f>DO32*VLOOKUP('Données projet'!$B$14,Paramètres!$A$1:$I$89,3,0)*VLOOKUP('Données projet'!$B$14,Paramètres!$A$1:$I$89,5,0)</f>
        <v>132.83836428571425</v>
      </c>
      <c r="DQ32" s="13">
        <f t="shared" si="43"/>
        <v>34.651395262904387</v>
      </c>
      <c r="DR32" s="20">
        <f t="shared" si="16"/>
        <v>291.71133121384406</v>
      </c>
      <c r="DS32" s="59">
        <f t="shared" si="17"/>
        <v>528.63922853661984</v>
      </c>
      <c r="DT32" s="59">
        <f ca="1">AVERAGE(OFFSET($DS$3,0,0,'Données projet'!$E$14+1,1))-AVERAGE(OFFSET($H$3,0,0,'Données projet'!$E$14+1,1))</f>
        <v>407.05634973057056</v>
      </c>
      <c r="DU32" s="59">
        <f t="shared" si="44"/>
        <v>375.32891954889965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12.38325084413492</v>
      </c>
      <c r="EB32" s="21">
        <f>EXP(-LN(2)/25)*EB31+(1-EXP(-LN(2)/25))/(LN(2)/25)*Calculateur!DW32*Calculateur!DY32*VLOOKUP('Données projet'!$B$14,Paramètres!$A$1:$I$89,3,0)*0.475*44/12</f>
        <v>17.667497528380245</v>
      </c>
      <c r="EC32" s="21">
        <f>EXP(-LN(2)/2)*EC31+(1-EXP(-LN(2)/2))/(LN(2)/2)*DW32*DZ32*VLOOKUP('Données projet'!$B$14,Paramètres!$A$1:$I$89,3,0)*0.475*44/12</f>
        <v>12.474277370358035</v>
      </c>
      <c r="ED32" s="22">
        <f t="shared" si="18"/>
        <v>42.525025742873197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25.6</v>
      </c>
      <c r="EJ32" s="12">
        <f>IF('Données projet'!$A$192&gt;35,EJ31+EI32-ER31,IF(A32&lt;'Données projet'!$A$192,$EG$205^A32,IF(A32='Données projet'!$A$192,'Données projet'!$B$192,EJ31+EI32-ER31)))</f>
        <v>282.40000000000009</v>
      </c>
      <c r="EK32" s="17">
        <f>EJ32*VLOOKUP('Données projet'!$B$15,Paramètres!$A$1:$I$89,3,0)*VLOOKUP('Données projet'!$B$15,Paramètres!$A$1:$I$89,5,0)</f>
        <v>124.82080000000005</v>
      </c>
      <c r="EL32" s="13">
        <f t="shared" si="45"/>
        <v>32.796781332235874</v>
      </c>
      <c r="EM32" s="20">
        <f t="shared" si="19"/>
        <v>274.51728748697752</v>
      </c>
      <c r="EN32" s="59">
        <f t="shared" si="20"/>
        <v>511.44518480975336</v>
      </c>
      <c r="EO32" s="59">
        <f ca="1">AVERAGE(OFFSET($EN$3,0,0,'Données projet'!$E$15+1,1))-AVERAGE(OFFSET($H$3,0,0,'Données projet'!$E$15+1,1))</f>
        <v>418.28022549686278</v>
      </c>
      <c r="EP32" s="59">
        <f t="shared" si="46"/>
        <v>354.55070454517158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5.0296499425498</v>
      </c>
      <c r="EW32" s="21">
        <f>EXP(-LN(2)/25)*EW31+(1-EXP(-LN(2)/25))/(LN(2)/25)*Calculateur!ER32*Calculateur!ET32*VLOOKUP('Données projet'!$B$15,Paramètres!$A$1:$I$89,3,0)*0.475*44/12</f>
        <v>7.1646046837731818</v>
      </c>
      <c r="EX32" s="21">
        <f>EXP(-LN(2)/2)*EX31+(1-EXP(-LN(2)/2))/(LN(2)/2)*ER32*EU32*VLOOKUP('Données projet'!$B$15,Paramètres!$A$1:$I$89,3,0)*0.475*44/12</f>
        <v>3.0371953249050136</v>
      </c>
      <c r="EY32" s="22">
        <f t="shared" si="21"/>
        <v>15.231449951227995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3.3603333333333336</v>
      </c>
      <c r="FE32" s="12">
        <f>IF('Données projet'!$A$218&gt;35,FE31+FD32-FM31,IF(A32&lt;'Données projet'!$A$218,$FB$205^A32,IF(A32='Données projet'!$A$218,'Données projet'!$B$218,FE31+FD32-FM31)))</f>
        <v>97.449666666666673</v>
      </c>
      <c r="FF32" s="17">
        <f>FE32*VLOOKUP('Données projet'!$B$16,Paramètres!$A$1:$I$89,3,0)*VLOOKUP('Données projet'!$B$16,Paramètres!$A$1:$I$89,5,0)</f>
        <v>110.9756804</v>
      </c>
      <c r="FG32" s="13">
        <f t="shared" si="47"/>
        <v>29.560744206282198</v>
      </c>
      <c r="FH32" s="20">
        <f t="shared" si="22"/>
        <v>244.76760618927483</v>
      </c>
      <c r="FI32" s="59">
        <f t="shared" si="23"/>
        <v>481.69550351205066</v>
      </c>
      <c r="FJ32" s="59">
        <f ca="1">AVERAGE(OFFSET($FI$3,0,0,'Données projet'!$E$16+1,1))-AVERAGE(OFFSET($H$3,0,0,'Données projet'!$E$16+1,1))</f>
        <v>640.05156427113661</v>
      </c>
      <c r="FK32" s="59">
        <f t="shared" si="48"/>
        <v>308.77220155372902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17.804285714285715</v>
      </c>
      <c r="N33" s="13">
        <f>IF('Données projet'!$A$36&gt;35,N32+M33-V32,IF(A33&lt;'Données projet'!$A$36,$K$205^A33,IF(A33='Données projet'!$A$36,'Données projet'!$B$36,N32+M33-V32)))</f>
        <v>205.74428571428572</v>
      </c>
      <c r="O33" s="13">
        <f>N33*VLOOKUP('Données projet'!$B$9,Paramètres!$A$1:$I$89,3,0)*VLOOKUP('Données projet'!$B$9,Paramètres!$A$1:$I$89,5,0)</f>
        <v>123.03508285714287</v>
      </c>
      <c r="P33" s="13">
        <f t="shared" si="33"/>
        <v>32.381850192327164</v>
      </c>
      <c r="Q33" s="20">
        <f t="shared" si="2"/>
        <v>270.68449172782698</v>
      </c>
      <c r="R33" s="59">
        <f t="shared" si="0"/>
        <v>509.79191666086899</v>
      </c>
      <c r="S33" s="59">
        <f ca="1">AVERAGE(OFFSET($R$3,0,0,'Données projet'!$E$9+1,1))-AVERAGE(OFFSET($H$3,0,0,'Données projet'!$E$9+1,1))</f>
        <v>318.50474972254085</v>
      </c>
      <c r="T33" s="59">
        <f t="shared" si="34"/>
        <v>326.45858332753562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16.07786597229746</v>
      </c>
      <c r="AA33" s="21">
        <f>EXP(-LN(2)/25)*AA32+(1-EXP(-LN(2)/25))/(LN(2)/25)*Calculateur!V33*Calculateur!X33*VLOOKUP('Données projet'!$B$9,Paramètres!$A$1:$I$89,3,0)*0.475*44/12</f>
        <v>15.2324840178216</v>
      </c>
      <c r="AB33" s="21">
        <f>EXP(-LN(2)/2)*AB32+(1-EXP(-LN(2)/2))/(LN(2)/2)*V33*Y33*VLOOKUP('Données projet'!$B$9,Paramètres!$A$1:$I$89,3,0)*0.475*44/12</f>
        <v>6.7449715742126752</v>
      </c>
      <c r="AC33" s="22">
        <f t="shared" si="3"/>
        <v>38.055321564331734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7.7715686274509812</v>
      </c>
      <c r="AI33" s="13">
        <f>IF('Données projet'!$A$62&gt;35,AI32+AH33-AQ32,IF(A33&lt;'Données projet'!$A$62,$AF$205^A33,IF(A33='Données projet'!$A$62,'Données projet'!$B$62,AI32+AH33-AQ32)))</f>
        <v>233.14705882352951</v>
      </c>
      <c r="AJ33" s="13">
        <f>AI33*VLOOKUP('Données projet'!$B$10,Paramètres!$A$1:$I$89,3,0)*VLOOKUP('Données projet'!$B$10,Paramètres!$A$1:$I$89,5,0)</f>
        <v>109.11282352941181</v>
      </c>
      <c r="AK33" s="13">
        <f t="shared" si="35"/>
        <v>29.121860464588686</v>
      </c>
      <c r="AL33" s="20">
        <f t="shared" si="4"/>
        <v>240.7587412895509</v>
      </c>
      <c r="AM33" s="59">
        <f t="shared" si="5"/>
        <v>479.86616622259288</v>
      </c>
      <c r="AN33" s="59">
        <f ca="1">AVERAGE(OFFSET($AM$3,0,0,'Données projet'!$E$10+1,1))-AVERAGE(OFFSET($H$3,0,0,'Données projet'!$E$10+1,1))</f>
        <v>374.38106339726073</v>
      </c>
      <c r="AO33" s="59">
        <f t="shared" si="36"/>
        <v>296.53283288925957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4.0942857142857143</v>
      </c>
      <c r="BD33" s="12">
        <f>IF('Données projet'!$A$88&gt;35,BD32+BC33-BL32,IF(A33&lt;'Données projet'!$A$88,$BA$205^A33,IF(A33='Données projet'!$A$88,'Données projet'!$B$88,BD32+BC33-BL32)))</f>
        <v>122.82857142857151</v>
      </c>
      <c r="BE33" s="13">
        <f>BD33*VLOOKUP('Données projet'!$B$11,Paramètres!$A$1:$I$89,3,0)*VLOOKUP('Données projet'!$B$11,Paramètres!$A$1:$I$89,5,0)</f>
        <v>111.13529142857149</v>
      </c>
      <c r="BF33" s="13">
        <f t="shared" si="37"/>
        <v>29.598308031859261</v>
      </c>
      <c r="BG33" s="20">
        <f t="shared" si="7"/>
        <v>245.11101906025024</v>
      </c>
      <c r="BH33" s="59">
        <f t="shared" si="8"/>
        <v>484.21844399329223</v>
      </c>
      <c r="BI33" s="59">
        <f ca="1">AVERAGE(OFFSET($BH$3,0,0,'Données projet'!$E$11+1,1))-AVERAGE(OFFSET($H$3,0,0,'Données projet'!$E$11+1,1))</f>
        <v>681.47578137804555</v>
      </c>
      <c r="BJ33" s="59">
        <f t="shared" si="38"/>
        <v>300.88511065995885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86.538461538461533</v>
      </c>
      <c r="BW33" s="12">
        <f>VLOOKUP(A33,'Données projet'!$A$113:$I$133,9,0)</f>
        <v>5.7692307692307692</v>
      </c>
      <c r="BX33" s="12">
        <f t="array" ref="BX33">INDEX(BW:BW,MIN(IF(ISNUMBER(BW33:BW229),ROW(BW33:BW229),"")))</f>
        <v>5.7692307692307692</v>
      </c>
      <c r="BY33" s="12">
        <f>IF('Données projet'!$A$114&gt;35,BY32+BX33-CG32,IF(A33&lt;'Données projet'!$A$114,$BV$205^A33,IF(A33='Données projet'!$A$114,'Données projet'!$B$114,BY32+BX33-CG32)))</f>
        <v>86.538461538461547</v>
      </c>
      <c r="BZ33" s="13">
        <f>BY33*VLOOKUP('Données projet'!$B$12,Paramètres!$A$1:$I$89,3,0)*VLOOKUP('Données projet'!$B$12,Paramètres!$A$1:$I$89,5,0)</f>
        <v>90.450000000000017</v>
      </c>
      <c r="CA33" s="13">
        <f t="shared" si="39"/>
        <v>24.673722634554377</v>
      </c>
      <c r="CB33" s="20">
        <f t="shared" si="10"/>
        <v>200.50715025518221</v>
      </c>
      <c r="CC33" s="59">
        <f t="shared" si="11"/>
        <v>439.61457518822419</v>
      </c>
      <c r="CD33" s="59">
        <f ca="1">AVERAGE(OFFSET($CC$3,0,0,'Données projet'!$E$12+1,1))-AVERAGE(OFFSET($H$3,0,0,'Données projet'!$E$12+1,1))</f>
        <v>290.69667785754848</v>
      </c>
      <c r="CE33" s="59">
        <f t="shared" si="40"/>
        <v>256.28124185489082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15.384615384615383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0.215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11.911245718780661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11.911245718780661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177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176.99999999999991</v>
      </c>
      <c r="CU33" s="17">
        <f>CT33*VLOOKUP('Données projet'!$B$13,Paramètres!$A$1:$I$89,3,0)*VLOOKUP('Données projet'!$B$13,Paramètres!$A$1:$I$89,5,0)</f>
        <v>154.62719999999996</v>
      </c>
      <c r="CV33" s="13">
        <f t="shared" si="41"/>
        <v>39.62826685000794</v>
      </c>
      <c r="CW33" s="20">
        <f t="shared" si="13"/>
        <v>338.32827143043039</v>
      </c>
      <c r="CX33" s="59">
        <f t="shared" si="14"/>
        <v>577.4356963634724</v>
      </c>
      <c r="CY33" s="59">
        <f ca="1">AVERAGE(OFFSET($CX$3,0,0,'Données projet'!$E$13+1,1))-AVERAGE(OFFSET($H$3,0,0,'Données projet'!$E$13+1,1))</f>
        <v>408.246209980743</v>
      </c>
      <c r="CZ33" s="59">
        <f t="shared" si="42"/>
        <v>394.10236303013903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0.13250000000000001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4.4786142580094328</v>
      </c>
      <c r="DG33" s="21">
        <f>EXP(-LN(2)/25)*DG32+(1-EXP(-LN(2)/25))/(LN(2)/25)*Calculateur!DB33*Calculateur!DD33*VLOOKUP('Données projet'!$B$13,Paramètres!$A$1:$I$89,3,0)*0.475*44/12</f>
        <v>14.416159363590104</v>
      </c>
      <c r="DH33" s="21">
        <f>EXP(-LN(2)/2)*DH32+(1-EXP(-LN(2)/2))/(LN(2)/2)*DB33*DE33*VLOOKUP('Données projet'!$B$13,Paramètres!$A$1:$I$89,3,0)*0.475*44/12</f>
        <v>8.7491024908524295</v>
      </c>
      <c r="DI33" s="22">
        <f t="shared" si="15"/>
        <v>27.643876112451967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23.265714285714289</v>
      </c>
      <c r="DO33" s="12">
        <f>IF('Données projet'!$A$166&gt;35,DO32+DN33-DW32,IF(A33&lt;'Données projet'!$A$166,$DL$205^A33,IF(A33='Données projet'!$A$166,'Données projet'!$B$166,DO32+DN33-DW32)))</f>
        <v>260.90142857142854</v>
      </c>
      <c r="DP33" s="17">
        <f>DO33*VLOOKUP('Données projet'!$B$14,Paramètres!$A$1:$I$89,3,0)*VLOOKUP('Données projet'!$B$14,Paramètres!$A$1:$I$89,5,0)</f>
        <v>145.84389857142855</v>
      </c>
      <c r="DQ33" s="13">
        <f t="shared" si="43"/>
        <v>37.632557667341459</v>
      </c>
      <c r="DR33" s="20">
        <f t="shared" si="16"/>
        <v>319.55482794919106</v>
      </c>
      <c r="DS33" s="59">
        <f t="shared" si="17"/>
        <v>558.66225288223302</v>
      </c>
      <c r="DT33" s="59">
        <f ca="1">AVERAGE(OFFSET($DS$3,0,0,'Données projet'!$E$14+1,1))-AVERAGE(OFFSET($H$3,0,0,'Données projet'!$E$14+1,1))</f>
        <v>407.05634973057056</v>
      </c>
      <c r="DU33" s="59">
        <f t="shared" si="44"/>
        <v>375.32891954889965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12.14042284811865</v>
      </c>
      <c r="EB33" s="21">
        <f>EXP(-LN(2)/25)*EB32+(1-EXP(-LN(2)/25))/(LN(2)/25)*Calculateur!DW33*Calculateur!DY33*VLOOKUP('Données projet'!$B$14,Paramètres!$A$1:$I$89,3,0)*0.475*44/12</f>
        <v>17.184378879373373</v>
      </c>
      <c r="EC33" s="21">
        <f>EXP(-LN(2)/2)*EC32+(1-EXP(-LN(2)/2))/(LN(2)/2)*DW33*DZ33*VLOOKUP('Données projet'!$B$14,Paramètres!$A$1:$I$89,3,0)*0.475*44/12</f>
        <v>8.8206461189820615</v>
      </c>
      <c r="ED33" s="22">
        <f t="shared" si="18"/>
        <v>38.145447846474084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308</v>
      </c>
      <c r="EH33" s="12">
        <f>VLOOKUP(A33,'Données projet'!$A$191:$I$211,9,0)</f>
        <v>25.6</v>
      </c>
      <c r="EI33" s="12">
        <f t="array" ref="EI33">INDEX(EH:EH,MIN(IF(ISNUMBER(EH33:EH229),ROW(EH33:EH229),"")))</f>
        <v>25.6</v>
      </c>
      <c r="EJ33" s="12">
        <f>IF('Données projet'!$A$192&gt;35,EJ32+EI33-ER32,IF(A33&lt;'Données projet'!$A$192,$EG$205^A33,IF(A33='Données projet'!$A$192,'Données projet'!$B$192,EJ32+EI33-ER32)))</f>
        <v>308.00000000000011</v>
      </c>
      <c r="EK33" s="17">
        <f>EJ33*VLOOKUP('Données projet'!$B$15,Paramètres!$A$1:$I$89,3,0)*VLOOKUP('Données projet'!$B$15,Paramètres!$A$1:$I$89,5,0)</f>
        <v>136.13600000000005</v>
      </c>
      <c r="EL33" s="13">
        <f t="shared" si="45"/>
        <v>35.410380638543309</v>
      </c>
      <c r="EM33" s="20">
        <f t="shared" si="19"/>
        <v>298.776612945463</v>
      </c>
      <c r="EN33" s="59">
        <f t="shared" si="20"/>
        <v>537.88403787850496</v>
      </c>
      <c r="EO33" s="59">
        <f ca="1">AVERAGE(OFFSET($EN$3,0,0,'Données projet'!$E$15+1,1))-AVERAGE(OFFSET($H$3,0,0,'Données projet'!$E$15+1,1))</f>
        <v>418.28022549686278</v>
      </c>
      <c r="EP33" s="59">
        <f t="shared" si="46"/>
        <v>354.55070454517158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63</v>
      </c>
      <c r="ES33" s="16">
        <f>IF(ISNA(VLOOKUP(A33,'Données projet'!$A$191:$I$211,5,0)),0%,VLOOKUP(A33,'Données projet'!$A$191:$I$211,5,0)*VLOOKUP('Données projet'!$B$15,Paramètres!$A$1:$I$89,7,0))</f>
        <v>0.13750000000000001</v>
      </c>
      <c r="ET33" s="16">
        <f>IF(ISNA(VLOOKUP(A33,'Données projet'!$A$191:$I$211,6,0)),0%,VLOOKUP(A33,'Données projet'!$A$191:$I$211,6,0)*VLOOKUP('Données projet'!$B$15,Paramètres!$A$1:$I$89,7,0))</f>
        <v>0.20350000000000001</v>
      </c>
      <c r="EU33" s="16">
        <f>IF(ISNA(VLOOKUP(A33,'Données projet'!$A$191:$I$211,7,0)),0%,VLOOKUP(A33,'Données projet'!$A$191:$I$211,7,0))</f>
        <v>0.38</v>
      </c>
      <c r="EV33" s="21">
        <f>EXP(-LN(2)/35)*EV32+(1-EXP(-LN(2)/35))/(LN(2)/35)*ER33*ES33*VLOOKUP('Données projet'!$B$15,Paramètres!$A$1:$I$89,3,0)*0.475*44/12</f>
        <v>10.010204726058243</v>
      </c>
      <c r="EW33" s="21">
        <f>EXP(-LN(2)/25)*EW32+(1-EXP(-LN(2)/25))/(LN(2)/25)*Calculateur!ER33*Calculateur!ET33*VLOOKUP('Données projet'!$B$15,Paramètres!$A$1:$I$89,3,0)*0.475*44/12</f>
        <v>14.456281210058856</v>
      </c>
      <c r="EX33" s="21">
        <f>EXP(-LN(2)/2)*EX32+(1-EXP(-LN(2)/2))/(LN(2)/2)*ER33*EU33*VLOOKUP('Données projet'!$B$15,Paramètres!$A$1:$I$89,3,0)*0.475*44/12</f>
        <v>14.128314821658766</v>
      </c>
      <c r="EY33" s="22">
        <f t="shared" si="21"/>
        <v>38.594800757775864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3.3603333333333336</v>
      </c>
      <c r="FE33" s="12">
        <f>IF('Données projet'!$A$218&gt;35,FE32+FD33-FM32,IF(A33&lt;'Données projet'!$A$218,$FB$205^A33,IF(A33='Données projet'!$A$218,'Données projet'!$B$218,FE32+FD33-FM32)))</f>
        <v>100.81</v>
      </c>
      <c r="FF33" s="17">
        <f>FE33*VLOOKUP('Données projet'!$B$16,Paramètres!$A$1:$I$89,3,0)*VLOOKUP('Données projet'!$B$16,Paramètres!$A$1:$I$89,5,0)</f>
        <v>114.80242800000001</v>
      </c>
      <c r="FG33" s="13">
        <f t="shared" si="47"/>
        <v>30.459644700872925</v>
      </c>
      <c r="FH33" s="20">
        <f t="shared" si="22"/>
        <v>252.99810995402035</v>
      </c>
      <c r="FI33" s="59">
        <f t="shared" si="23"/>
        <v>492.10553488706233</v>
      </c>
      <c r="FJ33" s="59">
        <f ca="1">AVERAGE(OFFSET($FI$3,0,0,'Données projet'!$E$16+1,1))-AVERAGE(OFFSET($H$3,0,0,'Données projet'!$E$16+1,1))</f>
        <v>640.05156427113661</v>
      </c>
      <c r="FK33" s="59">
        <f t="shared" si="48"/>
        <v>308.77220155372902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17.804285714285715</v>
      </c>
      <c r="N34" s="13">
        <f>IF('Données projet'!$A$36&gt;35,N33+M34-V33,IF(A34&lt;'Données projet'!$A$36,$K$205^A34,IF(A34='Données projet'!$A$36,'Données projet'!$B$36,N33+M34-V33)))</f>
        <v>223.54857142857145</v>
      </c>
      <c r="O34" s="13">
        <f>N34*VLOOKUP('Données projet'!$B$9,Paramètres!$A$1:$I$89,3,0)*VLOOKUP('Données projet'!$B$9,Paramètres!$A$1:$I$89,5,0)</f>
        <v>133.68204571428575</v>
      </c>
      <c r="P34" s="13">
        <f t="shared" si="33"/>
        <v>34.84578405456601</v>
      </c>
      <c r="Q34" s="20">
        <f t="shared" si="2"/>
        <v>293.51930351408345</v>
      </c>
      <c r="R34" s="59">
        <f t="shared" si="0"/>
        <v>533.56742672690098</v>
      </c>
      <c r="S34" s="59">
        <f ca="1">AVERAGE(OFFSET($R$3,0,0,'Données projet'!$E$9+1,1))-AVERAGE(OFFSET($H$3,0,0,'Données projet'!$E$9+1,1))</f>
        <v>318.50474972254085</v>
      </c>
      <c r="T34" s="59">
        <f t="shared" si="34"/>
        <v>326.45858332753562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15.762588827110635</v>
      </c>
      <c r="AA34" s="21">
        <f>EXP(-LN(2)/25)*AA33+(1-EXP(-LN(2)/25))/(LN(2)/25)*Calculateur!V34*Calculateur!X34*VLOOKUP('Données projet'!$B$9,Paramètres!$A$1:$I$89,3,0)*0.475*44/12</f>
        <v>14.815950941312748</v>
      </c>
      <c r="AB34" s="21">
        <f>EXP(-LN(2)/2)*AB33+(1-EXP(-LN(2)/2))/(LN(2)/2)*V34*Y34*VLOOKUP('Données projet'!$B$9,Paramètres!$A$1:$I$89,3,0)*0.475*44/12</f>
        <v>4.7694151390362851</v>
      </c>
      <c r="AC34" s="22">
        <f t="shared" si="3"/>
        <v>35.347954907459666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7.7715686274509812</v>
      </c>
      <c r="AI34" s="13">
        <f>IF('Données projet'!$A$62&gt;35,AI33+AH34-AQ33,IF(A34&lt;'Données projet'!$A$62,$AF$205^A34,IF(A34='Données projet'!$A$62,'Données projet'!$B$62,AI33+AH34-AQ33)))</f>
        <v>240.91862745098049</v>
      </c>
      <c r="AJ34" s="13">
        <f>AI34*VLOOKUP('Données projet'!$B$10,Paramètres!$A$1:$I$89,3,0)*VLOOKUP('Données projet'!$B$10,Paramètres!$A$1:$I$89,5,0)</f>
        <v>112.74991764705888</v>
      </c>
      <c r="AK34" s="13">
        <f t="shared" si="35"/>
        <v>29.977952605007669</v>
      </c>
      <c r="AL34" s="20">
        <f t="shared" si="4"/>
        <v>248.58437402234924</v>
      </c>
      <c r="AM34" s="59">
        <f t="shared" si="5"/>
        <v>488.6324972351668</v>
      </c>
      <c r="AN34" s="59">
        <f ca="1">AVERAGE(OFFSET($AM$3,0,0,'Données projet'!$E$10+1,1))-AVERAGE(OFFSET($H$3,0,0,'Données projet'!$E$10+1,1))</f>
        <v>374.38106339726073</v>
      </c>
      <c r="AO34" s="59">
        <f t="shared" si="36"/>
        <v>296.53283288925957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4.0942857142857143</v>
      </c>
      <c r="BD34" s="12">
        <f>IF('Données projet'!$A$88&gt;35,BD33+BC34-BL33,IF(A34&lt;'Données projet'!$A$88,$BA$205^A34,IF(A34='Données projet'!$A$88,'Données projet'!$B$88,BD33+BC34-BL33)))</f>
        <v>126.92285714285723</v>
      </c>
      <c r="BE34" s="13">
        <f>BD34*VLOOKUP('Données projet'!$B$11,Paramètres!$A$1:$I$89,3,0)*VLOOKUP('Données projet'!$B$11,Paramètres!$A$1:$I$89,5,0)</f>
        <v>114.83980114285721</v>
      </c>
      <c r="BF34" s="13">
        <f t="shared" si="37"/>
        <v>30.468406249196239</v>
      </c>
      <c r="BG34" s="20">
        <f t="shared" si="7"/>
        <v>253.07846120782642</v>
      </c>
      <c r="BH34" s="59">
        <f t="shared" si="8"/>
        <v>493.12658442064401</v>
      </c>
      <c r="BI34" s="59">
        <f ca="1">AVERAGE(OFFSET($BH$3,0,0,'Données projet'!$E$11+1,1))-AVERAGE(OFFSET($H$3,0,0,'Données projet'!$E$11+1,1))</f>
        <v>681.47578137804555</v>
      </c>
      <c r="BJ34" s="59">
        <f t="shared" si="38"/>
        <v>300.88511065995885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5.3846153846153868</v>
      </c>
      <c r="BY34" s="12">
        <f>IF('Données projet'!$A$114&gt;35,BY33+BX34-CG33,IF(A34&lt;'Données projet'!$A$114,$BV$205^A34,IF(A34='Données projet'!$A$114,'Données projet'!$B$114,BY33+BX34-CG33)))</f>
        <v>76.538461538461547</v>
      </c>
      <c r="BZ34" s="13">
        <f>BY34*VLOOKUP('Données projet'!$B$12,Paramètres!$A$1:$I$89,3,0)*VLOOKUP('Données projet'!$B$12,Paramètres!$A$1:$I$89,5,0)</f>
        <v>79.998000000000019</v>
      </c>
      <c r="CA34" s="13">
        <f t="shared" si="39"/>
        <v>22.136695117552431</v>
      </c>
      <c r="CB34" s="20">
        <f t="shared" si="10"/>
        <v>177.88459399640385</v>
      </c>
      <c r="CC34" s="59">
        <f t="shared" si="11"/>
        <v>417.93271720922144</v>
      </c>
      <c r="CD34" s="59">
        <f ca="1">AVERAGE(OFFSET($CC$3,0,0,'Données projet'!$E$12+1,1))-AVERAGE(OFFSET($H$3,0,0,'Données projet'!$E$12+1,1))</f>
        <v>290.69667785754848</v>
      </c>
      <c r="CE34" s="59">
        <f t="shared" si="40"/>
        <v>256.28124185489082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11.585532078215415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11.585532078215415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</v>
      </c>
      <c r="CT34" s="12">
        <f>IF('Données projet'!$A$140&gt;35,CT33+CS34-DB33,IF(A34&lt;'Données projet'!$A$140,$CQ$205^A34,IF(A34='Données projet'!$A$140,'Données projet'!$B$140,CT33+CS34-DB33)))</f>
        <v>154.79999999999993</v>
      </c>
      <c r="CU34" s="17">
        <f>CT34*VLOOKUP('Données projet'!$B$13,Paramètres!$A$1:$I$89,3,0)*VLOOKUP('Données projet'!$B$13,Paramètres!$A$1:$I$89,5,0)</f>
        <v>135.23327999999995</v>
      </c>
      <c r="CV34" s="13">
        <f t="shared" si="41"/>
        <v>35.202825080004438</v>
      </c>
      <c r="CW34" s="20">
        <f t="shared" si="13"/>
        <v>296.842883014341</v>
      </c>
      <c r="CX34" s="59">
        <f t="shared" si="14"/>
        <v>536.89100622715853</v>
      </c>
      <c r="CY34" s="59">
        <f ca="1">AVERAGE(OFFSET($CX$3,0,0,'Données projet'!$E$13+1,1))-AVERAGE(OFFSET($H$3,0,0,'Données projet'!$E$13+1,1))</f>
        <v>408.246209980743</v>
      </c>
      <c r="CZ34" s="59">
        <f t="shared" si="42"/>
        <v>394.10236303013903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4.3907913640948335</v>
      </c>
      <c r="DG34" s="21">
        <f>EXP(-LN(2)/25)*DG33+(1-EXP(-LN(2)/25))/(LN(2)/25)*Calculateur!DB34*Calculateur!DD34*VLOOKUP('Données projet'!$B$13,Paramètres!$A$1:$I$89,3,0)*0.475*44/12</f>
        <v>14.02194872767986</v>
      </c>
      <c r="DH34" s="21">
        <f>EXP(-LN(2)/2)*DH33+(1-EXP(-LN(2)/2))/(LN(2)/2)*DB34*DE34*VLOOKUP('Données projet'!$B$13,Paramètres!$A$1:$I$89,3,0)*0.475*44/12</f>
        <v>6.1865497005778671</v>
      </c>
      <c r="DI34" s="22">
        <f t="shared" si="15"/>
        <v>24.599289792352561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23.265714285714289</v>
      </c>
      <c r="DO34" s="12">
        <f>IF('Données projet'!$A$166&gt;35,DO33+DN34-DW33,IF(A34&lt;'Données projet'!$A$166,$DL$205^A34,IF(A34='Données projet'!$A$166,'Données projet'!$B$166,DO33+DN34-DW33)))</f>
        <v>284.16714285714284</v>
      </c>
      <c r="DP34" s="17">
        <f>DO34*VLOOKUP('Données projet'!$B$14,Paramètres!$A$1:$I$89,3,0)*VLOOKUP('Données projet'!$B$14,Paramètres!$A$1:$I$89,5,0)</f>
        <v>158.84943285714286</v>
      </c>
      <c r="DQ34" s="13">
        <f t="shared" si="43"/>
        <v>40.582892872917235</v>
      </c>
      <c r="DR34" s="20">
        <f t="shared" si="16"/>
        <v>347.34463397985468</v>
      </c>
      <c r="DS34" s="59">
        <f t="shared" si="17"/>
        <v>587.39275719267221</v>
      </c>
      <c r="DT34" s="59">
        <f ca="1">AVERAGE(OFFSET($DS$3,0,0,'Données projet'!$E$14+1,1))-AVERAGE(OFFSET($H$3,0,0,'Données projet'!$E$14+1,1))</f>
        <v>407.05634973057056</v>
      </c>
      <c r="DU34" s="59">
        <f t="shared" si="44"/>
        <v>375.32891954889965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11.902356560993805</v>
      </c>
      <c r="EB34" s="21">
        <f>EXP(-LN(2)/25)*EB33+(1-EXP(-LN(2)/25))/(LN(2)/25)*Calculateur!DW34*Calculateur!DY34*VLOOKUP('Données projet'!$B$14,Paramètres!$A$1:$I$89,3,0)*0.475*44/12</f>
        <v>16.714471135229697</v>
      </c>
      <c r="EC34" s="21">
        <f>EXP(-LN(2)/2)*EC33+(1-EXP(-LN(2)/2))/(LN(2)/2)*DW34*DZ34*VLOOKUP('Données projet'!$B$14,Paramètres!$A$1:$I$89,3,0)*0.475*44/12</f>
        <v>6.2371386851790183</v>
      </c>
      <c r="ED34" s="22">
        <f t="shared" si="18"/>
        <v>34.853966381402522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26.2</v>
      </c>
      <c r="EJ34" s="12">
        <f>IF('Données projet'!$A$192&gt;35,EJ33+EI34-ER33,IF(A34&lt;'Données projet'!$A$192,$EG$205^A34,IF(A34='Données projet'!$A$192,'Données projet'!$B$192,EJ33+EI34-ER33)))</f>
        <v>271.2000000000001</v>
      </c>
      <c r="EK34" s="17">
        <f>EJ34*VLOOKUP('Données projet'!$B$15,Paramètres!$A$1:$I$89,3,0)*VLOOKUP('Données projet'!$B$15,Paramètres!$A$1:$I$89,5,0)</f>
        <v>119.87040000000006</v>
      </c>
      <c r="EL34" s="13">
        <f t="shared" si="45"/>
        <v>31.644770321679825</v>
      </c>
      <c r="EM34" s="20">
        <f t="shared" si="19"/>
        <v>263.88892164359248</v>
      </c>
      <c r="EN34" s="59">
        <f t="shared" si="20"/>
        <v>503.93704485641001</v>
      </c>
      <c r="EO34" s="59">
        <f ca="1">AVERAGE(OFFSET($EN$3,0,0,'Données projet'!$E$15+1,1))-AVERAGE(OFFSET($H$3,0,0,'Données projet'!$E$15+1,1))</f>
        <v>418.28022549686278</v>
      </c>
      <c r="EP34" s="59">
        <f t="shared" si="46"/>
        <v>354.55070454517158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9.8139107170022442</v>
      </c>
      <c r="EW34" s="21">
        <f>EXP(-LN(2)/25)*EW33+(1-EXP(-LN(2)/25))/(LN(2)/25)*Calculateur!ER34*Calculateur!ET34*VLOOKUP('Données projet'!$B$15,Paramètres!$A$1:$I$89,3,0)*0.475*44/12</f>
        <v>14.060973440147007</v>
      </c>
      <c r="EX34" s="21">
        <f>EXP(-LN(2)/2)*EX33+(1-EXP(-LN(2)/2))/(LN(2)/2)*ER34*EU34*VLOOKUP('Données projet'!$B$15,Paramètres!$A$1:$I$89,3,0)*0.475*44/12</f>
        <v>9.990227217133322</v>
      </c>
      <c r="EY34" s="22">
        <f t="shared" si="21"/>
        <v>33.865111374282577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3.3603333333333336</v>
      </c>
      <c r="FE34" s="12">
        <f>IF('Données projet'!$A$218&gt;35,FE33+FD34-FM33,IF(A34&lt;'Données projet'!$A$218,$FB$205^A34,IF(A34='Données projet'!$A$218,'Données projet'!$B$218,FE33+FD34-FM33)))</f>
        <v>104.17033333333333</v>
      </c>
      <c r="FF34" s="17">
        <f>FE34*VLOOKUP('Données projet'!$B$16,Paramètres!$A$1:$I$89,3,0)*VLOOKUP('Données projet'!$B$16,Paramètres!$A$1:$I$89,5,0)</f>
        <v>118.6291756</v>
      </c>
      <c r="FG34" s="13">
        <f t="shared" si="47"/>
        <v>31.355063537869306</v>
      </c>
      <c r="FH34" s="20">
        <f t="shared" si="22"/>
        <v>261.22254983178902</v>
      </c>
      <c r="FI34" s="59">
        <f t="shared" si="23"/>
        <v>501.27067304460661</v>
      </c>
      <c r="FJ34" s="59">
        <f ca="1">AVERAGE(OFFSET($FI$3,0,0,'Données projet'!$E$16+1,1))-AVERAGE(OFFSET($H$3,0,0,'Données projet'!$E$16+1,1))</f>
        <v>640.05156427113661</v>
      </c>
      <c r="FK34" s="59">
        <f t="shared" si="48"/>
        <v>308.77220155372902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17.804285714285715</v>
      </c>
      <c r="N35" s="13">
        <f>IF('Données projet'!$A$36&gt;35,N34+M35-V34,IF(A35&lt;'Données projet'!$A$36,$K$205^A35,IF(A35='Données projet'!$A$36,'Données projet'!$B$36,N34+M35-V34)))</f>
        <v>241.35285714285718</v>
      </c>
      <c r="O35" s="13">
        <f>N35*VLOOKUP('Données projet'!$B$9,Paramètres!$A$1:$I$89,3,0)*VLOOKUP('Données projet'!$B$9,Paramètres!$A$1:$I$89,5,0)</f>
        <v>144.3290085714286</v>
      </c>
      <c r="P35" s="13">
        <f t="shared" si="33"/>
        <v>37.286956054873187</v>
      </c>
      <c r="Q35" s="20">
        <f t="shared" ref="Q35:Q66" si="53">(O35+P35)*0.475*44/12</f>
        <v>316.31447172414227</v>
      </c>
      <c r="R35" s="59">
        <f t="shared" si="0"/>
        <v>557.28697420466756</v>
      </c>
      <c r="S35" s="59">
        <f ca="1">AVERAGE(OFFSET($R$3,0,0,'Données projet'!$E$9+1,1))-AVERAGE(OFFSET($H$3,0,0,'Données projet'!$E$9+1,1))</f>
        <v>318.50474972254085</v>
      </c>
      <c r="T35" s="59">
        <f t="shared" si="34"/>
        <v>326.45858332753562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15.453494074440854</v>
      </c>
      <c r="AA35" s="21">
        <f>EXP(-LN(2)/25)*AA34+(1-EXP(-LN(2)/25))/(LN(2)/25)*Calculateur!V35*Calculateur!X35*VLOOKUP('Données projet'!$B$9,Paramètres!$A$1:$I$89,3,0)*0.475*44/12</f>
        <v>14.410807983685553</v>
      </c>
      <c r="AB35" s="21">
        <f>EXP(-LN(2)/2)*AB34+(1-EXP(-LN(2)/2))/(LN(2)/2)*V35*Y35*VLOOKUP('Données projet'!$B$9,Paramètres!$A$1:$I$89,3,0)*0.475*44/12</f>
        <v>3.3724857871063376</v>
      </c>
      <c r="AC35" s="22">
        <f t="shared" si="3"/>
        <v>33.23678784523274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7.7715686274509812</v>
      </c>
      <c r="AI35" s="13">
        <f>IF('Données projet'!$A$62&gt;35,AI34+AH35-AQ34,IF(A35&lt;'Données projet'!$A$62,$AF$205^A35,IF(A35='Données projet'!$A$62,'Données projet'!$B$62,AI34+AH35-AQ34)))</f>
        <v>248.69019607843148</v>
      </c>
      <c r="AJ35" s="13">
        <f>AI35*VLOOKUP('Données projet'!$B$10,Paramètres!$A$1:$I$89,3,0)*VLOOKUP('Données projet'!$B$10,Paramètres!$A$1:$I$89,5,0)</f>
        <v>116.38701176470595</v>
      </c>
      <c r="AK35" s="13">
        <f t="shared" si="35"/>
        <v>30.830835696933189</v>
      </c>
      <c r="AL35" s="20">
        <f t="shared" si="4"/>
        <v>256.40441766235483</v>
      </c>
      <c r="AM35" s="59">
        <f t="shared" si="5"/>
        <v>497.37692014288018</v>
      </c>
      <c r="AN35" s="59">
        <f ca="1">AVERAGE(OFFSET($AM$3,0,0,'Données projet'!$E$10+1,1))-AVERAGE(OFFSET($H$3,0,0,'Données projet'!$E$10+1,1))</f>
        <v>374.38106339726073</v>
      </c>
      <c r="AO35" s="59">
        <f t="shared" si="36"/>
        <v>296.53283288925957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4.0942857142857143</v>
      </c>
      <c r="BD35" s="12">
        <f>IF('Données projet'!$A$88&gt;35,BD34+BC35-BL34,IF(A35&lt;'Données projet'!$A$88,$BA$205^A35,IF(A35='Données projet'!$A$88,'Données projet'!$B$88,BD34+BC35-BL34)))</f>
        <v>131.01714285714294</v>
      </c>
      <c r="BE35" s="13">
        <f>BD35*VLOOKUP('Données projet'!$B$11,Paramètres!$A$1:$I$89,3,0)*VLOOKUP('Données projet'!$B$11,Paramètres!$A$1:$I$89,5,0)</f>
        <v>118.54431085714293</v>
      </c>
      <c r="BF35" s="13">
        <f t="shared" si="37"/>
        <v>31.335242916471387</v>
      </c>
      <c r="BG35" s="20">
        <f t="shared" si="7"/>
        <v>261.04022282237821</v>
      </c>
      <c r="BH35" s="59">
        <f t="shared" si="8"/>
        <v>502.0127253029035</v>
      </c>
      <c r="BI35" s="59">
        <f ca="1">AVERAGE(OFFSET($BH$3,0,0,'Données projet'!$E$11+1,1))-AVERAGE(OFFSET($H$3,0,0,'Données projet'!$E$11+1,1))</f>
        <v>681.47578137804555</v>
      </c>
      <c r="BJ35" s="59">
        <f t="shared" si="38"/>
        <v>300.88511065995885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5.3846153846153868</v>
      </c>
      <c r="BY35" s="12">
        <f>IF('Données projet'!$A$114&gt;35,BY34+BX35-CG34,IF(A35&lt;'Données projet'!$A$114,$BV$205^A35,IF(A35='Données projet'!$A$114,'Données projet'!$B$114,BY34+BX35-CG34)))</f>
        <v>81.923076923076934</v>
      </c>
      <c r="BZ35" s="13">
        <f>BY35*VLOOKUP('Données projet'!$B$12,Paramètres!$A$1:$I$89,3,0)*VLOOKUP('Données projet'!$B$12,Paramètres!$A$1:$I$89,5,0)</f>
        <v>85.626000000000019</v>
      </c>
      <c r="CA35" s="13">
        <f t="shared" si="39"/>
        <v>23.507282308556086</v>
      </c>
      <c r="CB35" s="20">
        <f t="shared" si="10"/>
        <v>190.07380002073521</v>
      </c>
      <c r="CC35" s="59">
        <f t="shared" si="11"/>
        <v>431.04630250126053</v>
      </c>
      <c r="CD35" s="59">
        <f ca="1">AVERAGE(OFFSET($CC$3,0,0,'Données projet'!$E$12+1,1))-AVERAGE(OFFSET($H$3,0,0,'Données projet'!$E$12+1,1))</f>
        <v>290.69667785754848</v>
      </c>
      <c r="CE35" s="59">
        <f t="shared" si="40"/>
        <v>256.28124185489082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11.268725094279961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11.268725094279961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</v>
      </c>
      <c r="CT35" s="12">
        <f>IF('Données projet'!$A$140&gt;35,CT34+CS35-DB34,IF(A35&lt;'Données projet'!$A$140,$CQ$205^A35,IF(A35='Données projet'!$A$140,'Données projet'!$B$140,CT34+CS35-DB34)))</f>
        <v>167.59999999999994</v>
      </c>
      <c r="CU35" s="17">
        <f>CT35*VLOOKUP('Données projet'!$B$13,Paramètres!$A$1:$I$89,3,0)*VLOOKUP('Données projet'!$B$13,Paramètres!$A$1:$I$89,5,0)</f>
        <v>146.41535999999996</v>
      </c>
      <c r="CV35" s="13">
        <f t="shared" si="41"/>
        <v>37.762820103024467</v>
      </c>
      <c r="CW35" s="20">
        <f t="shared" si="13"/>
        <v>320.77699701276748</v>
      </c>
      <c r="CX35" s="59">
        <f t="shared" si="14"/>
        <v>561.74949949329277</v>
      </c>
      <c r="CY35" s="59">
        <f ca="1">AVERAGE(OFFSET($CX$3,0,0,'Données projet'!$E$13+1,1))-AVERAGE(OFFSET($H$3,0,0,'Données projet'!$E$13+1,1))</f>
        <v>408.246209980743</v>
      </c>
      <c r="CZ35" s="59">
        <f t="shared" si="42"/>
        <v>394.10236303013903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4.3046906235632241</v>
      </c>
      <c r="DG35" s="21">
        <f>EXP(-LN(2)/25)*DG34+(1-EXP(-LN(2)/25))/(LN(2)/25)*Calculateur!DB35*Calculateur!DD35*VLOOKUP('Données projet'!$B$13,Paramètres!$A$1:$I$89,3,0)*0.475*44/12</f>
        <v>13.638517802339218</v>
      </c>
      <c r="DH35" s="21">
        <f>EXP(-LN(2)/2)*DH34+(1-EXP(-LN(2)/2))/(LN(2)/2)*DB35*DE35*VLOOKUP('Données projet'!$B$13,Paramètres!$A$1:$I$89,3,0)*0.475*44/12</f>
        <v>4.3745512454262157</v>
      </c>
      <c r="DI35" s="22">
        <f t="shared" si="15"/>
        <v>22.317759671328655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23.265714285714289</v>
      </c>
      <c r="DO35" s="12">
        <f>IF('Données projet'!$A$166&gt;35,DO34+DN35-DW34,IF(A35&lt;'Données projet'!$A$166,$DL$205^A35,IF(A35='Données projet'!$A$166,'Données projet'!$B$166,DO34+DN35-DW34)))</f>
        <v>307.43285714285713</v>
      </c>
      <c r="DP35" s="17">
        <f>DO35*VLOOKUP('Données projet'!$B$14,Paramètres!$A$1:$I$89,3,0)*VLOOKUP('Données projet'!$B$14,Paramètres!$A$1:$I$89,5,0)</f>
        <v>171.85496714285716</v>
      </c>
      <c r="DQ35" s="13">
        <f t="shared" si="43"/>
        <v>43.505211750246715</v>
      </c>
      <c r="DR35" s="20">
        <f t="shared" si="16"/>
        <v>375.08564490548923</v>
      </c>
      <c r="DS35" s="59">
        <f t="shared" si="17"/>
        <v>616.05814738601453</v>
      </c>
      <c r="DT35" s="59">
        <f ca="1">AVERAGE(OFFSET($DS$3,0,0,'Données projet'!$E$14+1,1))-AVERAGE(OFFSET($H$3,0,0,'Données projet'!$E$14+1,1))</f>
        <v>407.05634973057056</v>
      </c>
      <c r="DU35" s="59">
        <f t="shared" si="44"/>
        <v>375.32891954889965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11.668958608553382</v>
      </c>
      <c r="EB35" s="21">
        <f>EXP(-LN(2)/25)*EB34+(1-EXP(-LN(2)/25))/(LN(2)/25)*Calculateur!DW35*Calculateur!DY35*VLOOKUP('Données projet'!$B$14,Paramètres!$A$1:$I$89,3,0)*0.475*44/12</f>
        <v>16.257413043061007</v>
      </c>
      <c r="EC35" s="21">
        <f>EXP(-LN(2)/2)*EC34+(1-EXP(-LN(2)/2))/(LN(2)/2)*DW35*DZ35*VLOOKUP('Données projet'!$B$14,Paramètres!$A$1:$I$89,3,0)*0.475*44/12</f>
        <v>4.4103230594910308</v>
      </c>
      <c r="ED35" s="22">
        <f t="shared" si="18"/>
        <v>32.336694711105423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26.2</v>
      </c>
      <c r="EJ35" s="12">
        <f>IF('Données projet'!$A$192&gt;35,EJ34+EI35-ER34,IF(A35&lt;'Données projet'!$A$192,$EG$205^A35,IF(A35='Données projet'!$A$192,'Données projet'!$B$192,EJ34+EI35-ER34)))</f>
        <v>297.40000000000009</v>
      </c>
      <c r="EK35" s="17">
        <f>EJ35*VLOOKUP('Données projet'!$B$15,Paramètres!$A$1:$I$89,3,0)*VLOOKUP('Données projet'!$B$15,Paramètres!$A$1:$I$89,5,0)</f>
        <v>131.45080000000007</v>
      </c>
      <c r="EL35" s="13">
        <f t="shared" si="45"/>
        <v>34.331379774150925</v>
      </c>
      <c r="EM35" s="20">
        <f t="shared" si="19"/>
        <v>288.73729643997962</v>
      </c>
      <c r="EN35" s="59">
        <f t="shared" si="20"/>
        <v>529.70979892050491</v>
      </c>
      <c r="EO35" s="59">
        <f ca="1">AVERAGE(OFFSET($EN$3,0,0,'Données projet'!$E$15+1,1))-AVERAGE(OFFSET($H$3,0,0,'Données projet'!$E$15+1,1))</f>
        <v>418.28022549686278</v>
      </c>
      <c r="EP35" s="59">
        <f t="shared" si="46"/>
        <v>354.55070454517158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9.6214659137363103</v>
      </c>
      <c r="EW35" s="21">
        <f>EXP(-LN(2)/25)*EW34+(1-EXP(-LN(2)/25))/(LN(2)/25)*Calculateur!ER35*Calculateur!ET35*VLOOKUP('Données projet'!$B$15,Paramètres!$A$1:$I$89,3,0)*0.475*44/12</f>
        <v>13.676475381991731</v>
      </c>
      <c r="EX35" s="21">
        <f>EXP(-LN(2)/2)*EX34+(1-EXP(-LN(2)/2))/(LN(2)/2)*ER35*EU35*VLOOKUP('Données projet'!$B$15,Paramètres!$A$1:$I$89,3,0)*0.475*44/12</f>
        <v>7.0641574108293836</v>
      </c>
      <c r="EY35" s="22">
        <f t="shared" si="21"/>
        <v>30.362098706557425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3.3603333333333336</v>
      </c>
      <c r="FE35" s="12">
        <f>IF('Données projet'!$A$218&gt;35,FE34+FD35-FM34,IF(A35&lt;'Données projet'!$A$218,$FB$205^A35,IF(A35='Données projet'!$A$218,'Données projet'!$B$218,FE34+FD35-FM34)))</f>
        <v>107.53066666666666</v>
      </c>
      <c r="FF35" s="17">
        <f>FE35*VLOOKUP('Données projet'!$B$16,Paramètres!$A$1:$I$89,3,0)*VLOOKUP('Données projet'!$B$16,Paramètres!$A$1:$I$89,5,0)</f>
        <v>122.45592319999999</v>
      </c>
      <c r="FG35" s="13">
        <f t="shared" si="47"/>
        <v>32.247125910842406</v>
      </c>
      <c r="FH35" s="20">
        <f t="shared" si="22"/>
        <v>269.44114386805046</v>
      </c>
      <c r="FI35" s="59">
        <f t="shared" si="23"/>
        <v>510.41364634857575</v>
      </c>
      <c r="FJ35" s="59">
        <f ca="1">AVERAGE(OFFSET($FI$3,0,0,'Données projet'!$E$16+1,1))-AVERAGE(OFFSET($H$3,0,0,'Données projet'!$E$16+1,1))</f>
        <v>640.05156427113661</v>
      </c>
      <c r="FK35" s="59">
        <f t="shared" si="48"/>
        <v>308.77220155372902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17.804285714285715</v>
      </c>
      <c r="N36" s="13">
        <f>IF('Données projet'!$A$36&gt;35,N35+M36-V35,IF(A36&lt;'Données projet'!$A$36,$K$205^A36,IF(A36='Données projet'!$A$36,'Données projet'!$B$36,N35+M36-V35)))</f>
        <v>259.1571428571429</v>
      </c>
      <c r="O36" s="13">
        <f>N36*VLOOKUP('Données projet'!$B$9,Paramètres!$A$1:$I$89,3,0)*VLOOKUP('Données projet'!$B$9,Paramètres!$A$1:$I$89,5,0)</f>
        <v>154.97597142857146</v>
      </c>
      <c r="P36" s="13">
        <f t="shared" si="33"/>
        <v>39.70723624796571</v>
      </c>
      <c r="Q36" s="20">
        <f t="shared" si="53"/>
        <v>339.07325336996888</v>
      </c>
      <c r="R36" s="59">
        <f t="shared" si="0"/>
        <v>580.95409920450959</v>
      </c>
      <c r="S36" s="59">
        <f ca="1">AVERAGE(OFFSET($R$3,0,0,'Données projet'!$E$9+1,1))-AVERAGE(OFFSET($H$3,0,0,'Données projet'!$E$9+1,1))</f>
        <v>318.50474972254085</v>
      </c>
      <c r="T36" s="59">
        <f t="shared" si="34"/>
        <v>326.45858332753562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15.150460481341744</v>
      </c>
      <c r="AA36" s="21">
        <f>EXP(-LN(2)/25)*AA35+(1-EXP(-LN(2)/25))/(LN(2)/25)*Calculateur!V36*Calculateur!X36*VLOOKUP('Données projet'!$B$9,Paramètres!$A$1:$I$89,3,0)*0.475*44/12</f>
        <v>14.016743681540216</v>
      </c>
      <c r="AB36" s="21">
        <f>EXP(-LN(2)/2)*AB35+(1-EXP(-LN(2)/2))/(LN(2)/2)*V36*Y36*VLOOKUP('Données projet'!$B$9,Paramètres!$A$1:$I$89,3,0)*0.475*44/12</f>
        <v>2.3847075695181426</v>
      </c>
      <c r="AC36" s="22">
        <f t="shared" si="3"/>
        <v>31.5519117324001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7.7715686274509812</v>
      </c>
      <c r="AI36" s="13">
        <f>IF('Données projet'!$A$62&gt;35,AI35+AH36-AQ35,IF(A36&lt;'Données projet'!$A$62,$AF$205^A36,IF(A36='Données projet'!$A$62,'Données projet'!$B$62,AI35+AH36-AQ35)))</f>
        <v>256.46176470588244</v>
      </c>
      <c r="AJ36" s="13">
        <f>AI36*VLOOKUP('Données projet'!$B$10,Paramètres!$A$1:$I$89,3,0)*VLOOKUP('Données projet'!$B$10,Paramètres!$A$1:$I$89,5,0)</f>
        <v>120.02410588235298</v>
      </c>
      <c r="AK36" s="13">
        <f t="shared" si="35"/>
        <v>31.680621529590983</v>
      </c>
      <c r="AL36" s="20">
        <f t="shared" si="4"/>
        <v>264.21906690913573</v>
      </c>
      <c r="AM36" s="59">
        <f t="shared" si="5"/>
        <v>506.09991274367644</v>
      </c>
      <c r="AN36" s="59">
        <f ca="1">AVERAGE(OFFSET($AM$3,0,0,'Données projet'!$E$10+1,1))-AVERAGE(OFFSET($H$3,0,0,'Données projet'!$E$10+1,1))</f>
        <v>374.38106339726073</v>
      </c>
      <c r="AO36" s="59">
        <f t="shared" si="36"/>
        <v>296.53283288925957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4.0942857142857143</v>
      </c>
      <c r="BD36" s="12">
        <f>IF('Données projet'!$A$88&gt;35,BD35+BC36-BL35,IF(A36&lt;'Données projet'!$A$88,$BA$205^A36,IF(A36='Données projet'!$A$88,'Données projet'!$B$88,BD35+BC36-BL35)))</f>
        <v>135.11142857142866</v>
      </c>
      <c r="BE36" s="13">
        <f>BD36*VLOOKUP('Données projet'!$B$11,Paramètres!$A$1:$I$89,3,0)*VLOOKUP('Données projet'!$B$11,Paramètres!$A$1:$I$89,5,0)</f>
        <v>122.24882057142865</v>
      </c>
      <c r="BF36" s="13">
        <f t="shared" si="37"/>
        <v>32.198931651835657</v>
      </c>
      <c r="BG36" s="20">
        <f t="shared" si="7"/>
        <v>268.99650178885196</v>
      </c>
      <c r="BH36" s="59">
        <f t="shared" si="8"/>
        <v>510.87734762339267</v>
      </c>
      <c r="BI36" s="59">
        <f ca="1">AVERAGE(OFFSET($BH$3,0,0,'Données projet'!$E$11+1,1))-AVERAGE(OFFSET($H$3,0,0,'Données projet'!$E$11+1,1))</f>
        <v>681.47578137804555</v>
      </c>
      <c r="BJ36" s="59">
        <f t="shared" si="38"/>
        <v>300.88511065995885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5.3846153846153868</v>
      </c>
      <c r="BY36" s="12">
        <f>IF('Données projet'!$A$114&gt;35,BY35+BX36-CG35,IF(A36&lt;'Données projet'!$A$114,$BV$205^A36,IF(A36='Données projet'!$A$114,'Données projet'!$B$114,BY35+BX36-CG35)))</f>
        <v>87.307692307692321</v>
      </c>
      <c r="BZ36" s="13">
        <f>BY36*VLOOKUP('Données projet'!$B$12,Paramètres!$A$1:$I$89,3,0)*VLOOKUP('Données projet'!$B$12,Paramètres!$A$1:$I$89,5,0)</f>
        <v>91.254000000000019</v>
      </c>
      <c r="CA36" s="13">
        <f t="shared" si="39"/>
        <v>24.867415609727725</v>
      </c>
      <c r="CB36" s="20">
        <f t="shared" si="10"/>
        <v>202.24479885360915</v>
      </c>
      <c r="CC36" s="59">
        <f t="shared" si="11"/>
        <v>444.12564468814992</v>
      </c>
      <c r="CD36" s="59">
        <f ca="1">AVERAGE(OFFSET($CC$3,0,0,'Données projet'!$E$12+1,1))-AVERAGE(OFFSET($H$3,0,0,'Données projet'!$E$12+1,1))</f>
        <v>290.69667785754848</v>
      </c>
      <c r="CE36" s="59">
        <f t="shared" si="40"/>
        <v>256.28124185489082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10.960581213980378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10.960581213980378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</v>
      </c>
      <c r="CT36" s="12">
        <f>IF('Données projet'!$A$140&gt;35,CT35+CS36-DB35,IF(A36&lt;'Données projet'!$A$140,$CQ$205^A36,IF(A36='Données projet'!$A$140,'Données projet'!$B$140,CT35+CS36-DB35)))</f>
        <v>180.39999999999995</v>
      </c>
      <c r="CU36" s="17">
        <f>CT36*VLOOKUP('Données projet'!$B$13,Paramètres!$A$1:$I$89,3,0)*VLOOKUP('Données projet'!$B$13,Paramètres!$A$1:$I$89,5,0)</f>
        <v>157.59743999999998</v>
      </c>
      <c r="CV36" s="13">
        <f t="shared" si="41"/>
        <v>40.300135037830529</v>
      </c>
      <c r="CW36" s="20">
        <f t="shared" si="13"/>
        <v>344.67160985755481</v>
      </c>
      <c r="CX36" s="59">
        <f t="shared" si="14"/>
        <v>586.55245569209558</v>
      </c>
      <c r="CY36" s="59">
        <f ca="1">AVERAGE(OFFSET($CX$3,0,0,'Données projet'!$E$13+1,1))-AVERAGE(OFFSET($H$3,0,0,'Données projet'!$E$13+1,1))</f>
        <v>408.246209980743</v>
      </c>
      <c r="CZ36" s="59">
        <f t="shared" si="42"/>
        <v>394.10236303013903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4.2202782660371732</v>
      </c>
      <c r="DG36" s="21">
        <f>EXP(-LN(2)/25)*DG35+(1-EXP(-LN(2)/25))/(LN(2)/25)*Calculateur!DB36*Calculateur!DD36*VLOOKUP('Données projet'!$B$13,Paramètres!$A$1:$I$89,3,0)*0.475*44/12</f>
        <v>13.265571815815772</v>
      </c>
      <c r="DH36" s="21">
        <f>EXP(-LN(2)/2)*DH35+(1-EXP(-LN(2)/2))/(LN(2)/2)*DB36*DE36*VLOOKUP('Données projet'!$B$13,Paramètres!$A$1:$I$89,3,0)*0.475*44/12</f>
        <v>3.0932748502889345</v>
      </c>
      <c r="DI36" s="22">
        <f t="shared" si="15"/>
        <v>20.57912493214188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23.265714285714289</v>
      </c>
      <c r="DO36" s="12">
        <f>IF('Données projet'!$A$166&gt;35,DO35+DN36-DW35,IF(A36&lt;'Données projet'!$A$166,$DL$205^A36,IF(A36='Données projet'!$A$166,'Données projet'!$B$166,DO35+DN36-DW35)))</f>
        <v>330.69857142857143</v>
      </c>
      <c r="DP36" s="17">
        <f>DO36*VLOOKUP('Données projet'!$B$14,Paramètres!$A$1:$I$89,3,0)*VLOOKUP('Données projet'!$B$14,Paramètres!$A$1:$I$89,5,0)</f>
        <v>184.86050142857144</v>
      </c>
      <c r="DQ36" s="13">
        <f t="shared" si="43"/>
        <v>46.401875578821517</v>
      </c>
      <c r="DR36" s="20">
        <f t="shared" si="16"/>
        <v>402.7819732878761</v>
      </c>
      <c r="DS36" s="59">
        <f t="shared" si="17"/>
        <v>644.66281912241686</v>
      </c>
      <c r="DT36" s="59">
        <f ca="1">AVERAGE(OFFSET($DS$3,0,0,'Données projet'!$E$14+1,1))-AVERAGE(OFFSET($H$3,0,0,'Données projet'!$E$14+1,1))</f>
        <v>407.05634973057056</v>
      </c>
      <c r="DU36" s="59">
        <f t="shared" si="44"/>
        <v>375.32891954889965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11.44013744760162</v>
      </c>
      <c r="EB36" s="21">
        <f>EXP(-LN(2)/25)*EB35+(1-EXP(-LN(2)/25))/(LN(2)/25)*Calculateur!DW36*Calculateur!DY36*VLOOKUP('Données projet'!$B$14,Paramètres!$A$1:$I$89,3,0)*0.475*44/12</f>
        <v>15.812853228458309</v>
      </c>
      <c r="EC36" s="21">
        <f>EXP(-LN(2)/2)*EC35+(1-EXP(-LN(2)/2))/(LN(2)/2)*DW36*DZ36*VLOOKUP('Données projet'!$B$14,Paramètres!$A$1:$I$89,3,0)*0.475*44/12</f>
        <v>3.1185693425895091</v>
      </c>
      <c r="ED36" s="22">
        <f t="shared" si="18"/>
        <v>30.37156001864944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26.2</v>
      </c>
      <c r="EJ36" s="12">
        <f>IF('Données projet'!$A$192&gt;35,EJ35+EI36-ER35,IF(A36&lt;'Données projet'!$A$192,$EG$205^A36,IF(A36='Données projet'!$A$192,'Données projet'!$B$192,EJ35+EI36-ER35)))</f>
        <v>323.60000000000008</v>
      </c>
      <c r="EK36" s="17">
        <f>EJ36*VLOOKUP('Données projet'!$B$15,Paramètres!$A$1:$I$89,3,0)*VLOOKUP('Données projet'!$B$15,Paramètres!$A$1:$I$89,5,0)</f>
        <v>143.03120000000004</v>
      </c>
      <c r="EL36" s="13">
        <f t="shared" si="45"/>
        <v>36.990542790794571</v>
      </c>
      <c r="EM36" s="20">
        <f t="shared" si="19"/>
        <v>313.53786869396725</v>
      </c>
      <c r="EN36" s="59">
        <f t="shared" si="20"/>
        <v>555.41871452850796</v>
      </c>
      <c r="EO36" s="59">
        <f ca="1">AVERAGE(OFFSET($EN$3,0,0,'Données projet'!$E$15+1,1))-AVERAGE(OFFSET($H$3,0,0,'Données projet'!$E$15+1,1))</f>
        <v>418.28022549686278</v>
      </c>
      <c r="EP36" s="59">
        <f t="shared" si="46"/>
        <v>354.55070454517158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9.4327948356826816</v>
      </c>
      <c r="EW36" s="21">
        <f>EXP(-LN(2)/25)*EW35+(1-EXP(-LN(2)/25))/(LN(2)/25)*Calculateur!ER36*Calculateur!ET36*VLOOKUP('Données projet'!$B$15,Paramètres!$A$1:$I$89,3,0)*0.475*44/12</f>
        <v>13.302491443456585</v>
      </c>
      <c r="EX36" s="21">
        <f>EXP(-LN(2)/2)*EX35+(1-EXP(-LN(2)/2))/(LN(2)/2)*ER36*EU36*VLOOKUP('Données projet'!$B$15,Paramètres!$A$1:$I$89,3,0)*0.475*44/12</f>
        <v>4.9951136085666619</v>
      </c>
      <c r="EY36" s="22">
        <f t="shared" si="21"/>
        <v>27.730399887705929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3.3603333333333336</v>
      </c>
      <c r="FE36" s="12">
        <f>IF('Données projet'!$A$218&gt;35,FE35+FD36-FM35,IF(A36&lt;'Données projet'!$A$218,$FB$205^A36,IF(A36='Données projet'!$A$218,'Données projet'!$B$218,FE35+FD36-FM35)))</f>
        <v>110.89099999999999</v>
      </c>
      <c r="FF36" s="17">
        <f>FE36*VLOOKUP('Données projet'!$B$16,Paramètres!$A$1:$I$89,3,0)*VLOOKUP('Données projet'!$B$16,Paramètres!$A$1:$I$89,5,0)</f>
        <v>126.28267080000001</v>
      </c>
      <c r="FG36" s="13">
        <f t="shared" si="47"/>
        <v>33.135948744330882</v>
      </c>
      <c r="FH36" s="20">
        <f t="shared" si="22"/>
        <v>277.65409570637627</v>
      </c>
      <c r="FI36" s="59">
        <f t="shared" si="23"/>
        <v>519.53494154091698</v>
      </c>
      <c r="FJ36" s="59">
        <f ca="1">AVERAGE(OFFSET($FI$3,0,0,'Données projet'!$E$16+1,1))-AVERAGE(OFFSET($H$3,0,0,'Données projet'!$E$16+1,1))</f>
        <v>640.05156427113661</v>
      </c>
      <c r="FK36" s="59">
        <f t="shared" si="48"/>
        <v>308.77220155372902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17.804285714285715</v>
      </c>
      <c r="N37" s="13">
        <f>IF('Données projet'!$A$36&gt;35,N36+M37-V36,IF(A37&lt;'Données projet'!$A$36,$K$205^A37,IF(A37='Données projet'!$A$36,'Données projet'!$B$36,N36+M37-V36)))</f>
        <v>276.9614285714286</v>
      </c>
      <c r="O37" s="13">
        <f>N37*VLOOKUP('Données projet'!$B$9,Paramètres!$A$1:$I$89,3,0)*VLOOKUP('Données projet'!$B$9,Paramètres!$A$1:$I$89,5,0)</f>
        <v>165.62293428571431</v>
      </c>
      <c r="P37" s="13">
        <f t="shared" si="33"/>
        <v>42.108223194605671</v>
      </c>
      <c r="Q37" s="20">
        <f t="shared" si="53"/>
        <v>361.7984326115573</v>
      </c>
      <c r="R37" s="59">
        <f t="shared" si="0"/>
        <v>604.57186407367294</v>
      </c>
      <c r="S37" s="59">
        <f ca="1">AVERAGE(OFFSET($R$3,0,0,'Données projet'!$E$9+1,1))-AVERAGE(OFFSET($H$3,0,0,'Données projet'!$E$9+1,1))</f>
        <v>318.50474972254085</v>
      </c>
      <c r="T37" s="59">
        <f t="shared" si="34"/>
        <v>326.45858332753562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14.853369192171066</v>
      </c>
      <c r="AA37" s="21">
        <f>EXP(-LN(2)/25)*AA36+(1-EXP(-LN(2)/25))/(LN(2)/25)*Calculateur!V37*Calculateur!X37*VLOOKUP('Données projet'!$B$9,Paramètres!$A$1:$I$89,3,0)*0.475*44/12</f>
        <v>13.633455088459984</v>
      </c>
      <c r="AB37" s="21">
        <f>EXP(-LN(2)/2)*AB36+(1-EXP(-LN(2)/2))/(LN(2)/2)*V37*Y37*VLOOKUP('Données projet'!$B$9,Paramètres!$A$1:$I$89,3,0)*0.475*44/12</f>
        <v>1.6862428935531688</v>
      </c>
      <c r="AC37" s="22">
        <f t="shared" si="3"/>
        <v>30.173067174184215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7.7715686274509812</v>
      </c>
      <c r="AI37" s="13">
        <f>IF('Données projet'!$A$62&gt;35,AI36+AH37-AQ36,IF(A37&lt;'Données projet'!$A$62,$AF$205^A37,IF(A37='Données projet'!$A$62,'Données projet'!$B$62,AI36+AH37-AQ36)))</f>
        <v>264.23333333333341</v>
      </c>
      <c r="AJ37" s="13">
        <f>AI37*VLOOKUP('Données projet'!$B$10,Paramètres!$A$1:$I$89,3,0)*VLOOKUP('Données projet'!$B$10,Paramètres!$A$1:$I$89,5,0)</f>
        <v>123.66120000000004</v>
      </c>
      <c r="AK37" s="13">
        <f t="shared" si="35"/>
        <v>32.527414732098869</v>
      </c>
      <c r="AL37" s="20">
        <f t="shared" si="4"/>
        <v>272.02850399173889</v>
      </c>
      <c r="AM37" s="59">
        <f t="shared" si="5"/>
        <v>514.80193545385441</v>
      </c>
      <c r="AN37" s="59">
        <f ca="1">AVERAGE(OFFSET($AM$3,0,0,'Données projet'!$E$10+1,1))-AVERAGE(OFFSET($H$3,0,0,'Données projet'!$E$10+1,1))</f>
        <v>374.38106339726073</v>
      </c>
      <c r="AO37" s="59">
        <f t="shared" si="36"/>
        <v>296.53283288925957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4.0942857142857143</v>
      </c>
      <c r="BD37" s="12">
        <f>IF('Données projet'!$A$88&gt;35,BD36+BC37-BL36,IF(A37&lt;'Données projet'!$A$88,$BA$205^A37,IF(A37='Données projet'!$A$88,'Données projet'!$B$88,BD36+BC37-BL36)))</f>
        <v>139.20571428571438</v>
      </c>
      <c r="BE37" s="13">
        <f>BD37*VLOOKUP('Données projet'!$B$11,Paramètres!$A$1:$I$89,3,0)*VLOOKUP('Données projet'!$B$11,Paramètres!$A$1:$I$89,5,0)</f>
        <v>125.95333028571436</v>
      </c>
      <c r="BF37" s="13">
        <f t="shared" si="37"/>
        <v>33.059578796189285</v>
      </c>
      <c r="BG37" s="20">
        <f t="shared" si="7"/>
        <v>276.94748331764885</v>
      </c>
      <c r="BH37" s="59">
        <f t="shared" si="8"/>
        <v>519.72091477976437</v>
      </c>
      <c r="BI37" s="59">
        <f ca="1">AVERAGE(OFFSET($BH$3,0,0,'Données projet'!$E$11+1,1))-AVERAGE(OFFSET($H$3,0,0,'Données projet'!$E$11+1,1))</f>
        <v>681.47578137804555</v>
      </c>
      <c r="BJ37" s="59">
        <f t="shared" si="38"/>
        <v>300.88511065995885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5.3846153846153868</v>
      </c>
      <c r="BY37" s="12">
        <f>IF('Données projet'!$A$114&gt;35,BY36+BX37-CG36,IF(A37&lt;'Données projet'!$A$114,$BV$205^A37,IF(A37='Données projet'!$A$114,'Données projet'!$B$114,BY36+BX37-CG36)))</f>
        <v>92.692307692307708</v>
      </c>
      <c r="BZ37" s="13">
        <f>BY37*VLOOKUP('Données projet'!$B$12,Paramètres!$A$1:$I$89,3,0)*VLOOKUP('Données projet'!$B$12,Paramètres!$A$1:$I$89,5,0)</f>
        <v>96.882000000000033</v>
      </c>
      <c r="CA37" s="13">
        <f t="shared" si="39"/>
        <v>26.21781316207062</v>
      </c>
      <c r="CB37" s="20">
        <f t="shared" si="10"/>
        <v>214.39884125727303</v>
      </c>
      <c r="CC37" s="59">
        <f t="shared" si="11"/>
        <v>457.17227271938862</v>
      </c>
      <c r="CD37" s="59">
        <f ca="1">AVERAGE(OFFSET($CC$3,0,0,'Données projet'!$E$12+1,1))-AVERAGE(OFFSET($H$3,0,0,'Données projet'!$E$12+1,1))</f>
        <v>290.69667785754848</v>
      </c>
      <c r="CE37" s="59">
        <f t="shared" si="40"/>
        <v>256.28124185489082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10.66086354429217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10.66086354429217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</v>
      </c>
      <c r="CT37" s="12">
        <f>IF('Données projet'!$A$140&gt;35,CT36+CS37-DB36,IF(A37&lt;'Données projet'!$A$140,$CQ$205^A37,IF(A37='Données projet'!$A$140,'Données projet'!$B$140,CT36+CS37-DB36)))</f>
        <v>193.19999999999996</v>
      </c>
      <c r="CU37" s="17">
        <f>CT37*VLOOKUP('Données projet'!$B$13,Paramètres!$A$1:$I$89,3,0)*VLOOKUP('Données projet'!$B$13,Paramètres!$A$1:$I$89,5,0)</f>
        <v>168.77951999999999</v>
      </c>
      <c r="CV37" s="13">
        <f t="shared" si="41"/>
        <v>42.816562145177031</v>
      </c>
      <c r="CW37" s="20">
        <f t="shared" si="13"/>
        <v>368.52984306951663</v>
      </c>
      <c r="CX37" s="59">
        <f t="shared" si="14"/>
        <v>611.30327453163227</v>
      </c>
      <c r="CY37" s="59">
        <f ca="1">AVERAGE(OFFSET($CX$3,0,0,'Données projet'!$E$13+1,1))-AVERAGE(OFFSET($H$3,0,0,'Données projet'!$E$13+1,1))</f>
        <v>408.246209980743</v>
      </c>
      <c r="CZ37" s="59">
        <f t="shared" si="42"/>
        <v>394.10236303013903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4.1375211833557533</v>
      </c>
      <c r="DG37" s="21">
        <f>EXP(-LN(2)/25)*DG36+(1-EXP(-LN(2)/25))/(LN(2)/25)*Calculateur!DB37*Calculateur!DD37*VLOOKUP('Données projet'!$B$13,Paramètres!$A$1:$I$89,3,0)*0.475*44/12</f>
        <v>12.902824056906187</v>
      </c>
      <c r="DH37" s="21">
        <f>EXP(-LN(2)/2)*DH36+(1-EXP(-LN(2)/2))/(LN(2)/2)*DB37*DE37*VLOOKUP('Données projet'!$B$13,Paramètres!$A$1:$I$89,3,0)*0.475*44/12</f>
        <v>2.1872756227131083</v>
      </c>
      <c r="DI37" s="22">
        <f t="shared" si="15"/>
        <v>19.227620862975051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23.265714285714289</v>
      </c>
      <c r="DO37" s="12">
        <f>IF('Données projet'!$A$166&gt;35,DO36+DN37-DW36,IF(A37&lt;'Données projet'!$A$166,$DL$205^A37,IF(A37='Données projet'!$A$166,'Données projet'!$B$166,DO36+DN37-DW36)))</f>
        <v>353.96428571428572</v>
      </c>
      <c r="DP37" s="17">
        <f>DO37*VLOOKUP('Données projet'!$B$14,Paramètres!$A$1:$I$89,3,0)*VLOOKUP('Données projet'!$B$14,Paramètres!$A$1:$I$89,5,0)</f>
        <v>197.86603571428572</v>
      </c>
      <c r="DQ37" s="13">
        <f t="shared" si="43"/>
        <v>49.274894571766396</v>
      </c>
      <c r="DR37" s="20">
        <f t="shared" si="16"/>
        <v>430.43712024820735</v>
      </c>
      <c r="DS37" s="59">
        <f t="shared" si="17"/>
        <v>673.21055171032299</v>
      </c>
      <c r="DT37" s="59">
        <f ca="1">AVERAGE(OFFSET($DS$3,0,0,'Données projet'!$E$14+1,1))-AVERAGE(OFFSET($H$3,0,0,'Données projet'!$E$14+1,1))</f>
        <v>407.05634973057056</v>
      </c>
      <c r="DU37" s="59">
        <f t="shared" si="44"/>
        <v>375.32891954889965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11.215803330048995</v>
      </c>
      <c r="EB37" s="21">
        <f>EXP(-LN(2)/25)*EB36+(1-EXP(-LN(2)/25))/(LN(2)/25)*Calculateur!DW37*Calculateur!DY37*VLOOKUP('Données projet'!$B$14,Paramètres!$A$1:$I$89,3,0)*0.475*44/12</f>
        <v>15.380449925364307</v>
      </c>
      <c r="EC37" s="21">
        <f>EXP(-LN(2)/2)*EC36+(1-EXP(-LN(2)/2))/(LN(2)/2)*DW37*DZ37*VLOOKUP('Données projet'!$B$14,Paramètres!$A$1:$I$89,3,0)*0.475*44/12</f>
        <v>2.2051615297455154</v>
      </c>
      <c r="ED37" s="22">
        <f t="shared" si="18"/>
        <v>28.801414785158819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26.2</v>
      </c>
      <c r="EJ37" s="12">
        <f>IF('Données projet'!$A$192&gt;35,EJ36+EI37-ER36,IF(A37&lt;'Données projet'!$A$192,$EG$205^A37,IF(A37='Données projet'!$A$192,'Données projet'!$B$192,EJ36+EI37-ER36)))</f>
        <v>349.80000000000007</v>
      </c>
      <c r="EK37" s="17">
        <f>EJ37*VLOOKUP('Données projet'!$B$15,Paramètres!$A$1:$I$89,3,0)*VLOOKUP('Données projet'!$B$15,Paramètres!$A$1:$I$89,5,0)</f>
        <v>154.61160000000004</v>
      </c>
      <c r="EL37" s="13">
        <f t="shared" si="45"/>
        <v>39.624734188365849</v>
      </c>
      <c r="EM37" s="20">
        <f t="shared" si="19"/>
        <v>338.29494871140395</v>
      </c>
      <c r="EN37" s="59">
        <f t="shared" si="20"/>
        <v>581.06838017351947</v>
      </c>
      <c r="EO37" s="59">
        <f ca="1">AVERAGE(OFFSET($EN$3,0,0,'Données projet'!$E$15+1,1))-AVERAGE(OFFSET($H$3,0,0,'Données projet'!$E$15+1,1))</f>
        <v>418.28022549686278</v>
      </c>
      <c r="EP37" s="59">
        <f t="shared" si="46"/>
        <v>354.55070454517158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9.2478234823916896</v>
      </c>
      <c r="EW37" s="21">
        <f>EXP(-LN(2)/25)*EW36+(1-EXP(-LN(2)/25))/(LN(2)/25)*Calculateur!ER37*Calculateur!ET37*VLOOKUP('Données projet'!$B$15,Paramètres!$A$1:$I$89,3,0)*0.475*44/12</f>
        <v>12.938734115387643</v>
      </c>
      <c r="EX37" s="21">
        <f>EXP(-LN(2)/2)*EX36+(1-EXP(-LN(2)/2))/(LN(2)/2)*ER37*EU37*VLOOKUP('Données projet'!$B$15,Paramètres!$A$1:$I$89,3,0)*0.475*44/12</f>
        <v>3.5320787054146927</v>
      </c>
      <c r="EY37" s="22">
        <f t="shared" si="21"/>
        <v>25.718636303194028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3.3603333333333336</v>
      </c>
      <c r="FE37" s="12">
        <f>IF('Données projet'!$A$218&gt;35,FE36+FD37-FM36,IF(A37&lt;'Données projet'!$A$218,$FB$205^A37,IF(A37='Données projet'!$A$218,'Données projet'!$B$218,FE36+FD37-FM36)))</f>
        <v>114.25133333333332</v>
      </c>
      <c r="FF37" s="17">
        <f>FE37*VLOOKUP('Données projet'!$B$16,Paramètres!$A$1:$I$89,3,0)*VLOOKUP('Données projet'!$B$16,Paramètres!$A$1:$I$89,5,0)</f>
        <v>130.10941839999998</v>
      </c>
      <c r="FG37" s="13">
        <f t="shared" si="47"/>
        <v>34.021641473848256</v>
      </c>
      <c r="FH37" s="20">
        <f t="shared" si="22"/>
        <v>285.86159594695238</v>
      </c>
      <c r="FI37" s="59">
        <f t="shared" si="23"/>
        <v>528.63502740906802</v>
      </c>
      <c r="FJ37" s="59">
        <f ca="1">AVERAGE(OFFSET($FI$3,0,0,'Données projet'!$E$16+1,1))-AVERAGE(OFFSET($H$3,0,0,'Données projet'!$E$16+1,1))</f>
        <v>640.05156427113661</v>
      </c>
      <c r="FK37" s="59">
        <f t="shared" si="48"/>
        <v>308.77220155372902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17.804285714285715</v>
      </c>
      <c r="N38" s="13">
        <f>IF('Données projet'!$A$36&gt;35,N37+M38-V37,IF(A38&lt;'Données projet'!$A$36,$K$205^A38,IF(A38='Données projet'!$A$36,'Données projet'!$B$36,N37+M38-V37)))</f>
        <v>294.7657142857143</v>
      </c>
      <c r="O38" s="13">
        <f>N38*VLOOKUP('Données projet'!$B$9,Paramètres!$A$1:$I$89,3,0)*VLOOKUP('Données projet'!$B$9,Paramètres!$A$1:$I$89,5,0)</f>
        <v>176.26989714285719</v>
      </c>
      <c r="P38" s="13">
        <f t="shared" si="33"/>
        <v>44.491298310145091</v>
      </c>
      <c r="Q38" s="20">
        <f t="shared" si="53"/>
        <v>384.49241541397896</v>
      </c>
      <c r="R38" s="59">
        <f t="shared" si="0"/>
        <v>628.14294813855349</v>
      </c>
      <c r="S38" s="59">
        <f ca="1">AVERAGE(OFFSET($R$3,0,0,'Données projet'!$E$9+1,1))-AVERAGE(OFFSET($H$3,0,0,'Données projet'!$E$9+1,1))</f>
        <v>318.50474972254085</v>
      </c>
      <c r="T38" s="59">
        <f t="shared" si="34"/>
        <v>326.45858332753562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14.56210368197323</v>
      </c>
      <c r="AA38" s="21">
        <f>EXP(-LN(2)/25)*AA37+(1-EXP(-LN(2)/25))/(LN(2)/25)*Calculateur!V38*Calculateur!X38*VLOOKUP('Données projet'!$B$9,Paramètres!$A$1:$I$89,3,0)*0.475*44/12</f>
        <v>13.260647542113801</v>
      </c>
      <c r="AB38" s="21">
        <f>EXP(-LN(2)/2)*AB37+(1-EXP(-LN(2)/2))/(LN(2)/2)*V38*Y38*VLOOKUP('Données projet'!$B$9,Paramètres!$A$1:$I$89,3,0)*0.475*44/12</f>
        <v>1.1923537847590713</v>
      </c>
      <c r="AC38" s="22">
        <f t="shared" si="3"/>
        <v>29.015105008846103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7.7715686274509812</v>
      </c>
      <c r="AI38" s="13">
        <f>IF('Données projet'!$A$62&gt;35,AI37+AH38-AQ37,IF(A38&lt;'Données projet'!$A$62,$AF$205^A38,IF(A38='Données projet'!$A$62,'Données projet'!$B$62,AI37+AH38-AQ37)))</f>
        <v>272.00490196078437</v>
      </c>
      <c r="AJ38" s="13">
        <f>AI38*VLOOKUP('Données projet'!$B$10,Paramètres!$A$1:$I$89,3,0)*VLOOKUP('Données projet'!$B$10,Paramètres!$A$1:$I$89,5,0)</f>
        <v>127.29829411764709</v>
      </c>
      <c r="AK38" s="13">
        <f t="shared" si="35"/>
        <v>33.371313429015686</v>
      </c>
      <c r="AL38" s="20">
        <f t="shared" si="4"/>
        <v>279.83289981043765</v>
      </c>
      <c r="AM38" s="59">
        <f t="shared" si="5"/>
        <v>523.48343253501218</v>
      </c>
      <c r="AN38" s="59">
        <f ca="1">AVERAGE(OFFSET($AM$3,0,0,'Données projet'!$E$10+1,1))-AVERAGE(OFFSET($H$3,0,0,'Données projet'!$E$10+1,1))</f>
        <v>374.38106339726073</v>
      </c>
      <c r="AO38" s="59">
        <f t="shared" si="36"/>
        <v>296.53283288925957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4.0942857142857143</v>
      </c>
      <c r="BD38" s="12">
        <f>IF('Données projet'!$A$88&gt;35,BD37+BC38-BL37,IF(A38&lt;'Données projet'!$A$88,$BA$205^A38,IF(A38='Données projet'!$A$88,'Données projet'!$B$88,BD37+BC38-BL37)))</f>
        <v>143.3000000000001</v>
      </c>
      <c r="BE38" s="13">
        <f>BD38*VLOOKUP('Données projet'!$B$11,Paramètres!$A$1:$I$89,3,0)*VLOOKUP('Données projet'!$B$11,Paramètres!$A$1:$I$89,5,0)</f>
        <v>129.65784000000008</v>
      </c>
      <c r="BF38" s="13">
        <f t="shared" si="37"/>
        <v>33.917284079455818</v>
      </c>
      <c r="BG38" s="20">
        <f t="shared" si="7"/>
        <v>284.89334110505234</v>
      </c>
      <c r="BH38" s="59">
        <f t="shared" si="8"/>
        <v>528.54387382962682</v>
      </c>
      <c r="BI38" s="59">
        <f ca="1">AVERAGE(OFFSET($BH$3,0,0,'Données projet'!$E$11+1,1))-AVERAGE(OFFSET($H$3,0,0,'Données projet'!$E$11+1,1))</f>
        <v>681.47578137804555</v>
      </c>
      <c r="BJ38" s="59">
        <f t="shared" si="38"/>
        <v>300.88511065995885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98.07692307692308</v>
      </c>
      <c r="BW38" s="12">
        <f>VLOOKUP(A38,'Données projet'!$A$113:$I$133,9,0)</f>
        <v>5.3846153846153868</v>
      </c>
      <c r="BX38" s="12">
        <f t="array" ref="BX38">INDEX(BW:BW,MIN(IF(ISNUMBER(BW38:BW234),ROW(BW38:BW234),"")))</f>
        <v>5.3846153846153868</v>
      </c>
      <c r="BY38" s="12">
        <f>IF('Données projet'!$A$114&gt;35,BY37+BX38-CG37,IF(A38&lt;'Données projet'!$A$114,$BV$205^A38,IF(A38='Données projet'!$A$114,'Données projet'!$B$114,BY37+BX38-CG37)))</f>
        <v>98.076923076923094</v>
      </c>
      <c r="BZ38" s="13">
        <f>BY38*VLOOKUP('Données projet'!$B$12,Paramètres!$A$1:$I$89,3,0)*VLOOKUP('Données projet'!$B$12,Paramètres!$A$1:$I$89,5,0)</f>
        <v>102.51000000000003</v>
      </c>
      <c r="CA38" s="13">
        <f t="shared" si="39"/>
        <v>27.55910495810631</v>
      </c>
      <c r="CB38" s="20">
        <f t="shared" si="10"/>
        <v>226.5370244687019</v>
      </c>
      <c r="CC38" s="59">
        <f t="shared" si="11"/>
        <v>470.1875571932764</v>
      </c>
      <c r="CD38" s="59">
        <f ca="1">AVERAGE(OFFSET($CC$3,0,0,'Données projet'!$E$12+1,1))-AVERAGE(OFFSET($H$3,0,0,'Données projet'!$E$12+1,1))</f>
        <v>290.69667785754848</v>
      </c>
      <c r="CE38" s="59">
        <f t="shared" si="40"/>
        <v>256.28124185489082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15.384615384615383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0.215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14.176125856576006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14.176125856576006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206</v>
      </c>
      <c r="CR38" s="12">
        <f>VLOOKUP(A38,'Données projet'!$A$139:$I$159,9,0)</f>
        <v>12.8</v>
      </c>
      <c r="CS38" s="12">
        <f t="array" ref="CS38">INDEX(CR:CR,MIN(IF(ISNUMBER(CR38:CR234),ROW(CR38:CR234),"")))</f>
        <v>12.8</v>
      </c>
      <c r="CT38" s="12">
        <f>IF('Données projet'!$A$140&gt;35,CT37+CS38-DB37,IF(A38&lt;'Données projet'!$A$140,$CQ$205^A38,IF(A38='Données projet'!$A$140,'Données projet'!$B$140,CT37+CS38-DB37)))</f>
        <v>205.99999999999997</v>
      </c>
      <c r="CU38" s="17">
        <f>CT38*VLOOKUP('Données projet'!$B$13,Paramètres!$A$1:$I$89,3,0)*VLOOKUP('Données projet'!$B$13,Paramètres!$A$1:$I$89,5,0)</f>
        <v>179.9616</v>
      </c>
      <c r="CV38" s="13">
        <f t="shared" si="41"/>
        <v>45.313642767960104</v>
      </c>
      <c r="CW38" s="20">
        <f t="shared" si="13"/>
        <v>392.35438115419714</v>
      </c>
      <c r="CX38" s="59">
        <f t="shared" si="14"/>
        <v>636.00491387877162</v>
      </c>
      <c r="CY38" s="59">
        <f ca="1">AVERAGE(OFFSET($CX$3,0,0,'Données projet'!$E$13+1,1))-AVERAGE(OFFSET($H$3,0,0,'Données projet'!$E$13+1,1))</f>
        <v>408.246209980743</v>
      </c>
      <c r="CZ38" s="59">
        <f t="shared" si="42"/>
        <v>394.10236303013903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35</v>
      </c>
      <c r="DC38" s="16">
        <f>IF(ISNA(VLOOKUP(A38,'Données projet'!$A$139:$I$159,5,0)),0%,VLOOKUP(A38,'Données projet'!$A$139:$I$159,5,0)*VLOOKUP('Données projet'!$B$13,Paramètres!$A$1:$I$89,7,0))</f>
        <v>0.13250000000000001</v>
      </c>
      <c r="DD38" s="16">
        <f>IF(ISNA(VLOOKUP(A38,'Données projet'!$A$139:$I$159,6,0)),0%,VLOOKUP(A38,'Données projet'!$A$139:$I$159,6,0)*VLOOKUP('Données projet'!$B$13,Paramètres!$A$1:$I$89,7,0))</f>
        <v>0.13250000000000001</v>
      </c>
      <c r="DE38" s="16">
        <f>IF(ISNA(VLOOKUP(A38,'Données projet'!$A$139:$I$159,7,0)),0%,VLOOKUP(A38,'Données projet'!$A$139:$I$159,7,0))</f>
        <v>0.25</v>
      </c>
      <c r="DF38" s="21">
        <f>EXP(-LN(2)/35)*DF37+(1-EXP(-LN(2)/35))/(LN(2)/35)*DB38*DC38*VLOOKUP('Données projet'!$B$13,Paramètres!$A$1:$I$89,3,0)*0.475*44/12</f>
        <v>8.5350011745983139</v>
      </c>
      <c r="DG38" s="21">
        <f>EXP(-LN(2)/25)*DG37+(1-EXP(-LN(2)/25))/(LN(2)/25)*Calculateur!DB38*Calculateur!DD38*VLOOKUP('Données projet'!$B$13,Paramètres!$A$1:$I$89,3,0)*0.475*44/12</f>
        <v>17.010975901729889</v>
      </c>
      <c r="DH38" s="21">
        <f>EXP(-LN(2)/2)*DH37+(1-EXP(-LN(2)/2))/(LN(2)/2)*DB38*DE38*VLOOKUP('Données projet'!$B$13,Paramètres!$A$1:$I$89,3,0)*0.475*44/12</f>
        <v>8.7589571603880554</v>
      </c>
      <c r="DI38" s="22">
        <f t="shared" si="15"/>
        <v>34.304934236716257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377.23</v>
      </c>
      <c r="DM38" s="12">
        <f>VLOOKUP(A38,'Données projet'!$A$165:$I$185,9,0)</f>
        <v>23.265714285714289</v>
      </c>
      <c r="DN38" s="12">
        <f t="array" ref="DN38">INDEX(DM:DM,MIN(IF(ISNUMBER(DM38:DM234),ROW(DM38:DM234),"")))</f>
        <v>23.265714285714289</v>
      </c>
      <c r="DO38" s="12">
        <f>IF('Données projet'!$A$166&gt;35,DO37+DN38-DW37,IF(A38&lt;'Données projet'!$A$166,$DL$205^A38,IF(A38='Données projet'!$A$166,'Données projet'!$B$166,DO37+DN38-DW37)))</f>
        <v>377.23</v>
      </c>
      <c r="DP38" s="17">
        <f>DO38*VLOOKUP('Données projet'!$B$14,Paramètres!$A$1:$I$89,3,0)*VLOOKUP('Données projet'!$B$14,Paramètres!$A$1:$I$89,5,0)</f>
        <v>210.87157000000002</v>
      </c>
      <c r="DQ38" s="13">
        <f t="shared" si="43"/>
        <v>52.125999737089174</v>
      </c>
      <c r="DR38" s="20">
        <f t="shared" si="16"/>
        <v>458.05410062543029</v>
      </c>
      <c r="DS38" s="59">
        <f t="shared" si="17"/>
        <v>701.70463335000477</v>
      </c>
      <c r="DT38" s="59">
        <f ca="1">AVERAGE(OFFSET($DS$3,0,0,'Données projet'!$E$14+1,1))-AVERAGE(OFFSET($H$3,0,0,'Données projet'!$E$14+1,1))</f>
        <v>407.05634973057056</v>
      </c>
      <c r="DU38" s="59">
        <f t="shared" si="44"/>
        <v>375.32891954889965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86.700000000000045</v>
      </c>
      <c r="DX38" s="16">
        <f>IF(ISNA(VLOOKUP(A38,'Données projet'!$A$165:$I$185,5,0)),0%,VLOOKUP(A38,'Données projet'!$A$165:$I$185,5,0)*VLOOKUP('Données projet'!$B$14,Paramètres!$A$1:$I$89,7,0))</f>
        <v>0.33</v>
      </c>
      <c r="DY38" s="16">
        <f>IF(ISNA(VLOOKUP(A38,'Données projet'!$A$165:$I$185,6,0)),0%,VLOOKUP(A38,'Données projet'!$A$165:$I$185,6,0)*VLOOKUP('Données projet'!$B$14,Paramètres!$A$1:$I$89,7,0))</f>
        <v>0.11000000000000001</v>
      </c>
      <c r="DZ38" s="16">
        <f>IF(ISNA(VLOOKUP(A38,'Données projet'!$A$165:$I$185,7,0)),0%,VLOOKUP(A38,'Données projet'!$A$165:$I$185,7,0))</f>
        <v>0.2</v>
      </c>
      <c r="EA38" s="21">
        <f>EXP(-LN(2)/35)*EA37+(1-EXP(-LN(2)/35))/(LN(2)/35)*DW38*DX38*VLOOKUP('Données projet'!$B$14,Paramètres!$A$1:$I$89,3,0)*0.475*44/12</f>
        <v>32.212341887441895</v>
      </c>
      <c r="EB38" s="21">
        <f>EXP(-LN(2)/25)*EB37+(1-EXP(-LN(2)/25))/(LN(2)/25)*Calculateur!DW38*Calculateur!DY38*VLOOKUP('Données projet'!$B$14,Paramètres!$A$1:$I$89,3,0)*0.475*44/12</f>
        <v>22.004182806325677</v>
      </c>
      <c r="EC38" s="21">
        <f>EXP(-LN(2)/2)*EC37+(1-EXP(-LN(2)/2))/(LN(2)/2)*DW38*DZ38*VLOOKUP('Données projet'!$B$14,Paramètres!$A$1:$I$89,3,0)*0.475*44/12</f>
        <v>12.534080265156646</v>
      </c>
      <c r="ED38" s="22">
        <f t="shared" si="18"/>
        <v>66.750604958924214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376</v>
      </c>
      <c r="EH38" s="12">
        <f>VLOOKUP(A38,'Données projet'!$A$191:$I$211,9,0)</f>
        <v>26.2</v>
      </c>
      <c r="EI38" s="12">
        <f t="array" ref="EI38">INDEX(EH:EH,MIN(IF(ISNUMBER(EH38:EH234),ROW(EH38:EH234),"")))</f>
        <v>26.2</v>
      </c>
      <c r="EJ38" s="12">
        <f>IF('Données projet'!$A$192&gt;35,EJ37+EI38-ER37,IF(A38&lt;'Données projet'!$A$192,$EG$205^A38,IF(A38='Données projet'!$A$192,'Données projet'!$B$192,EJ37+EI38-ER37)))</f>
        <v>376.00000000000006</v>
      </c>
      <c r="EK38" s="17">
        <f>EJ38*VLOOKUP('Données projet'!$B$15,Paramètres!$A$1:$I$89,3,0)*VLOOKUP('Données projet'!$B$15,Paramètres!$A$1:$I$89,5,0)</f>
        <v>166.19200000000004</v>
      </c>
      <c r="EL38" s="13">
        <f t="shared" si="45"/>
        <v>42.236037017770272</v>
      </c>
      <c r="EM38" s="20">
        <f t="shared" si="19"/>
        <v>363.01216447261658</v>
      </c>
      <c r="EN38" s="59">
        <f t="shared" si="20"/>
        <v>606.66269719719105</v>
      </c>
      <c r="EO38" s="59">
        <f ca="1">AVERAGE(OFFSET($EN$3,0,0,'Données projet'!$E$15+1,1))-AVERAGE(OFFSET($H$3,0,0,'Données projet'!$E$15+1,1))</f>
        <v>418.28022549686278</v>
      </c>
      <c r="EP38" s="59">
        <f t="shared" si="46"/>
        <v>354.55070454517158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63</v>
      </c>
      <c r="ES38" s="16">
        <f>IF(ISNA(VLOOKUP(A38,'Données projet'!$A$191:$I$211,5,0)),0%,VLOOKUP(A38,'Données projet'!$A$191:$I$211,5,0)*VLOOKUP('Données projet'!$B$15,Paramètres!$A$1:$I$89,7,0))</f>
        <v>0.13750000000000001</v>
      </c>
      <c r="ET38" s="16">
        <f>IF(ISNA(VLOOKUP(A38,'Données projet'!$A$191:$I$211,6,0)),0%,VLOOKUP(A38,'Données projet'!$A$191:$I$211,6,0)*VLOOKUP('Données projet'!$B$15,Paramètres!$A$1:$I$89,7,0))</f>
        <v>0.20350000000000001</v>
      </c>
      <c r="EU38" s="16">
        <f>IF(ISNA(VLOOKUP(A38,'Données projet'!$A$191:$I$211,7,0)),0%,VLOOKUP(A38,'Données projet'!$A$191:$I$211,7,0))</f>
        <v>0.38</v>
      </c>
      <c r="EV38" s="21">
        <f>EXP(-LN(2)/35)*EV37+(1-EXP(-LN(2)/35))/(LN(2)/35)*ER38*ES38*VLOOKUP('Données projet'!$B$15,Paramètres!$A$1:$I$89,3,0)*0.475*44/12</f>
        <v>14.145662455615646</v>
      </c>
      <c r="EW38" s="21">
        <f>EXP(-LN(2)/25)*EW37+(1-EXP(-LN(2)/25))/(LN(2)/25)*Calculateur!ER38*Calculateur!ET38*VLOOKUP('Données projet'!$B$15,Paramètres!$A$1:$I$89,3,0)*0.475*44/12</f>
        <v>20.072516768717549</v>
      </c>
      <c r="EX38" s="21">
        <f>EXP(-LN(2)/2)*EX37+(1-EXP(-LN(2)/2))/(LN(2)/2)*ER38*EU38*VLOOKUP('Données projet'!$B$15,Paramètres!$A$1:$I$89,3,0)*0.475*44/12</f>
        <v>14.478250215913681</v>
      </c>
      <c r="EY38" s="22">
        <f t="shared" si="21"/>
        <v>48.696429440246881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3.3603333333333336</v>
      </c>
      <c r="FE38" s="12">
        <f>IF('Données projet'!$A$218&gt;35,FE37+FD38-FM37,IF(A38&lt;'Données projet'!$A$218,$FB$205^A38,IF(A38='Données projet'!$A$218,'Données projet'!$B$218,FE37+FD38-FM37)))</f>
        <v>117.61166666666665</v>
      </c>
      <c r="FF38" s="17">
        <f>FE38*VLOOKUP('Données projet'!$B$16,Paramètres!$A$1:$I$89,3,0)*VLOOKUP('Données projet'!$B$16,Paramètres!$A$1:$I$89,5,0)</f>
        <v>133.93616599999999</v>
      </c>
      <c r="FG38" s="13">
        <f t="shared" si="47"/>
        <v>34.904306731546029</v>
      </c>
      <c r="FH38" s="20">
        <f t="shared" si="22"/>
        <v>294.06382334077597</v>
      </c>
      <c r="FI38" s="59">
        <f t="shared" si="23"/>
        <v>537.71435606535044</v>
      </c>
      <c r="FJ38" s="59">
        <f ca="1">AVERAGE(OFFSET($FI$3,0,0,'Données projet'!$E$16+1,1))-AVERAGE(OFFSET($H$3,0,0,'Données projet'!$E$16+1,1))</f>
        <v>640.05156427113661</v>
      </c>
      <c r="FK38" s="59">
        <f t="shared" si="48"/>
        <v>308.77220155372902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312.57</v>
      </c>
      <c r="L39" s="12">
        <f>VLOOKUP(A39,'Données projet'!$A$35:$I$55,9,0)</f>
        <v>17.804285714285715</v>
      </c>
      <c r="M39" s="12">
        <f t="array" ref="M39">INDEX(L:L,MIN(IF(ISNUMBER(L39:L235),ROW(L39:L235),"")))</f>
        <v>17.804285714285715</v>
      </c>
      <c r="N39" s="13">
        <f>IF('Données projet'!$A$36&gt;35,N38+M39-V38,IF(A39&lt;'Données projet'!$A$36,$K$205^A39,IF(A39='Données projet'!$A$36,'Données projet'!$B$36,N38+M39-V38)))</f>
        <v>312.57</v>
      </c>
      <c r="O39" s="13">
        <f>N39*VLOOKUP('Données projet'!$B$9,Paramètres!$A$1:$I$89,3,0)*VLOOKUP('Données projet'!$B$9,Paramètres!$A$1:$I$89,5,0)</f>
        <v>186.91685999999999</v>
      </c>
      <c r="P39" s="13">
        <f t="shared" si="33"/>
        <v>46.857666701992478</v>
      </c>
      <c r="Q39" s="20">
        <f t="shared" si="53"/>
        <v>407.15730067263689</v>
      </c>
      <c r="R39" s="59">
        <f t="shared" si="0"/>
        <v>651.66971891367132</v>
      </c>
      <c r="S39" s="59">
        <f ca="1">AVERAGE(OFFSET($R$3,0,0,'Données projet'!$E$9+1,1))-AVERAGE(OFFSET($H$3,0,0,'Données projet'!$E$9+1,1))</f>
        <v>318.50474972254085</v>
      </c>
      <c r="T39" s="59">
        <f t="shared" si="34"/>
        <v>326.45858332753562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76.509999999999991</v>
      </c>
      <c r="W39" s="16">
        <f>IF(ISNA(VLOOKUP(A39,'Données projet'!$A$35:$I$55,5,0)),0%,VLOOKUP(A39,'Données projet'!$A$35:$I$55,5,0)*VLOOKUP('Données projet'!$B$9,Paramètres!$A$1:$I$89,7,0))</f>
        <v>0.27</v>
      </c>
      <c r="X39" s="16">
        <f>IF(ISNA(VLOOKUP(A39,'Données projet'!$A$35:$I$55,6,0)),0%,VLOOKUP(A39,'Données projet'!$A$35:$I$55,6,0)*VLOOKUP('Données projet'!$B$9,Paramètres!$A$1:$I$89,7,0))</f>
        <v>9.0000000000000011E-2</v>
      </c>
      <c r="Y39" s="16">
        <f>IF(ISNA(VLOOKUP(A39,'Données projet'!$A$35:$I$55,7,0)),0%,VLOOKUP(A39,'Données projet'!$A$35:$I$55,7,0))</f>
        <v>0.2</v>
      </c>
      <c r="Z39" s="21">
        <f>EXP(-LN(2)/35)*Z38+(1-EXP(-LN(2)/35))/(LN(2)/35)*V39*W39*VLOOKUP('Données projet'!$B$9,Paramètres!$A$1:$I$89,3,0)*0.475*44/12</f>
        <v>30.66400450035372</v>
      </c>
      <c r="AA39" s="21">
        <f>EXP(-LN(2)/25)*AA38+(1-EXP(-LN(2)/25))/(LN(2)/25)*Calculateur!V39*Calculateur!X39*VLOOKUP('Données projet'!$B$9,Paramètres!$A$1:$I$89,3,0)*0.475*44/12</f>
        <v>18.339011483048019</v>
      </c>
      <c r="AB39" s="21">
        <f>EXP(-LN(2)/2)*AB38+(1-EXP(-LN(2)/2))/(LN(2)/2)*V39*Y39*VLOOKUP('Données projet'!$B$9,Paramètres!$A$1:$I$89,3,0)*0.475*44/12</f>
        <v>11.203721779593071</v>
      </c>
      <c r="AC39" s="22">
        <f t="shared" si="3"/>
        <v>60.206737762994806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7.7715686274509812</v>
      </c>
      <c r="AI39" s="13">
        <f>IF('Données projet'!$A$62&gt;35,AI38+AH39-AQ38,IF(A39&lt;'Données projet'!$A$62,$AF$205^A39,IF(A39='Données projet'!$A$62,'Données projet'!$B$62,AI38+AH39-AQ38)))</f>
        <v>279.77647058823533</v>
      </c>
      <c r="AJ39" s="13">
        <f>AI39*VLOOKUP('Données projet'!$B$10,Paramètres!$A$1:$I$89,3,0)*VLOOKUP('Données projet'!$B$10,Paramètres!$A$1:$I$89,5,0)</f>
        <v>130.93538823529414</v>
      </c>
      <c r="AK39" s="13">
        <f t="shared" si="35"/>
        <v>34.212409818864202</v>
      </c>
      <c r="AL39" s="20">
        <f t="shared" si="4"/>
        <v>287.63241494432572</v>
      </c>
      <c r="AM39" s="59">
        <f t="shared" si="5"/>
        <v>532.14483318536008</v>
      </c>
      <c r="AN39" s="59">
        <f ca="1">AVERAGE(OFFSET($AM$3,0,0,'Données projet'!$E$10+1,1))-AVERAGE(OFFSET($H$3,0,0,'Données projet'!$E$10+1,1))</f>
        <v>374.38106339726073</v>
      </c>
      <c r="AO39" s="59">
        <f t="shared" si="36"/>
        <v>296.53283288925957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4.0942857142857143</v>
      </c>
      <c r="BD39" s="12">
        <f>IF('Données projet'!$A$88&gt;35,BD38+BC39-BL38,IF(A39&lt;'Données projet'!$A$88,$BA$205^A39,IF(A39='Données projet'!$A$88,'Données projet'!$B$88,BD38+BC39-BL38)))</f>
        <v>147.39428571428581</v>
      </c>
      <c r="BE39" s="13">
        <f>BD39*VLOOKUP('Données projet'!$B$11,Paramètres!$A$1:$I$89,3,0)*VLOOKUP('Données projet'!$B$11,Paramètres!$A$1:$I$89,5,0)</f>
        <v>133.36234971428578</v>
      </c>
      <c r="BF39" s="13">
        <f t="shared" si="37"/>
        <v>34.772141208569977</v>
      </c>
      <c r="BG39" s="20">
        <f t="shared" si="7"/>
        <v>292.83423835730713</v>
      </c>
      <c r="BH39" s="59">
        <f t="shared" si="8"/>
        <v>537.3466565983415</v>
      </c>
      <c r="BI39" s="59">
        <f ca="1">AVERAGE(OFFSET($BH$3,0,0,'Données projet'!$E$11+1,1))-AVERAGE(OFFSET($H$3,0,0,'Données projet'!$E$11+1,1))</f>
        <v>681.47578137804555</v>
      </c>
      <c r="BJ39" s="59">
        <f t="shared" si="38"/>
        <v>300.88511065995885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4.9999999999999973</v>
      </c>
      <c r="BY39" s="12">
        <f>IF('Données projet'!$A$114&gt;35,BY38+BX39-CG38,IF(A39&lt;'Données projet'!$A$114,$BV$205^A39,IF(A39='Données projet'!$A$114,'Données projet'!$B$114,BY38+BX39-CG38)))</f>
        <v>87.692307692307708</v>
      </c>
      <c r="BZ39" s="13">
        <f>BY39*VLOOKUP('Données projet'!$B$12,Paramètres!$A$1:$I$89,3,0)*VLOOKUP('Données projet'!$B$12,Paramètres!$A$1:$I$89,5,0)</f>
        <v>91.65600000000002</v>
      </c>
      <c r="CA39" s="13">
        <f t="shared" si="39"/>
        <v>24.964187521971738</v>
      </c>
      <c r="CB39" s="20">
        <f t="shared" si="10"/>
        <v>203.11349326743414</v>
      </c>
      <c r="CC39" s="59">
        <f t="shared" si="11"/>
        <v>447.62591150846856</v>
      </c>
      <c r="CD39" s="59">
        <f ca="1">AVERAGE(OFFSET($CC$3,0,0,'Données projet'!$E$12+1,1))-AVERAGE(OFFSET($H$3,0,0,'Données projet'!$E$12+1,1))</f>
        <v>290.69667785754848</v>
      </c>
      <c r="CE39" s="59">
        <f t="shared" si="40"/>
        <v>256.28124185489082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13.788478949537875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13.788478949537875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11.4</v>
      </c>
      <c r="CT39" s="12">
        <f>IF('Données projet'!$A$140&gt;35,CT38+CS39-DB38,IF(A39&lt;'Données projet'!$A$140,$CQ$205^A39,IF(A39='Données projet'!$A$140,'Données projet'!$B$140,CT38+CS39-DB38)))</f>
        <v>182.39999999999998</v>
      </c>
      <c r="CU39" s="17">
        <f>CT39*VLOOKUP('Données projet'!$B$13,Paramètres!$A$1:$I$89,3,0)*VLOOKUP('Données projet'!$B$13,Paramètres!$A$1:$I$89,5,0)</f>
        <v>159.34464</v>
      </c>
      <c r="CV39" s="13">
        <f t="shared" si="41"/>
        <v>40.694661837553809</v>
      </c>
      <c r="CW39" s="20">
        <f t="shared" si="13"/>
        <v>348.40178403373949</v>
      </c>
      <c r="CX39" s="59">
        <f t="shared" si="14"/>
        <v>592.91420227477397</v>
      </c>
      <c r="CY39" s="59">
        <f ca="1">AVERAGE(OFFSET($CX$3,0,0,'Données projet'!$E$13+1,1))-AVERAGE(OFFSET($H$3,0,0,'Données projet'!$E$13+1,1))</f>
        <v>408.246209980743</v>
      </c>
      <c r="CZ39" s="59">
        <f t="shared" si="42"/>
        <v>394.10236303013903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8.3676350074011232</v>
      </c>
      <c r="DG39" s="21">
        <f>EXP(-LN(2)/25)*DG38+(1-EXP(-LN(2)/25))/(LN(2)/25)*Calculateur!DB39*Calculateur!DD39*VLOOKUP('Données projet'!$B$13,Paramètres!$A$1:$I$89,3,0)*0.475*44/12</f>
        <v>16.545809871128743</v>
      </c>
      <c r="DH39" s="21">
        <f>EXP(-LN(2)/2)*DH38+(1-EXP(-LN(2)/2))/(LN(2)/2)*DB39*DE39*VLOOKUP('Données projet'!$B$13,Paramètres!$A$1:$I$89,3,0)*0.475*44/12</f>
        <v>6.1935180042328604</v>
      </c>
      <c r="DI39" s="22">
        <f t="shared" si="15"/>
        <v>31.106962882762726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22.851428571428578</v>
      </c>
      <c r="DO39" s="12">
        <f>IF('Données projet'!$A$166&gt;35,DO38+DN39-DW38,IF(A39&lt;'Données projet'!$A$166,$DL$205^A39,IF(A39='Données projet'!$A$166,'Données projet'!$B$166,DO38+DN39-DW38)))</f>
        <v>313.38142857142856</v>
      </c>
      <c r="DP39" s="17">
        <f>DO39*VLOOKUP('Données projet'!$B$14,Paramètres!$A$1:$I$89,3,0)*VLOOKUP('Données projet'!$B$14,Paramètres!$A$1:$I$89,5,0)</f>
        <v>175.18021857142855</v>
      </c>
      <c r="DQ39" s="13">
        <f t="shared" si="43"/>
        <v>44.248185618905715</v>
      </c>
      <c r="DR39" s="20">
        <f t="shared" si="16"/>
        <v>382.17113729816555</v>
      </c>
      <c r="DS39" s="59">
        <f t="shared" si="17"/>
        <v>626.68355553919992</v>
      </c>
      <c r="DT39" s="59">
        <f ca="1">AVERAGE(OFFSET($DS$3,0,0,'Données projet'!$E$14+1,1))-AVERAGE(OFFSET($H$3,0,0,'Données projet'!$E$14+1,1))</f>
        <v>407.05634973057056</v>
      </c>
      <c r="DU39" s="59">
        <f t="shared" si="44"/>
        <v>375.32891954889965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31.580677510617672</v>
      </c>
      <c r="EB39" s="21">
        <f>EXP(-LN(2)/25)*EB38+(1-EXP(-LN(2)/25))/(LN(2)/25)*Calculateur!DW39*Calculateur!DY39*VLOOKUP('Données projet'!$B$14,Paramètres!$A$1:$I$89,3,0)*0.475*44/12</f>
        <v>21.40247727033702</v>
      </c>
      <c r="EC39" s="21">
        <f>EXP(-LN(2)/2)*EC38+(1-EXP(-LN(2)/2))/(LN(2)/2)*DW39*DZ39*VLOOKUP('Données projet'!$B$14,Paramètres!$A$1:$I$89,3,0)*0.475*44/12</f>
        <v>8.862933151428745</v>
      </c>
      <c r="ED39" s="22">
        <f t="shared" si="18"/>
        <v>61.84608793238344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25.4</v>
      </c>
      <c r="EJ39" s="12">
        <f>IF('Données projet'!$A$192&gt;35,EJ38+EI39-ER38,IF(A39&lt;'Données projet'!$A$192,$EG$205^A39,IF(A39='Données projet'!$A$192,'Données projet'!$B$192,EJ38+EI39-ER38)))</f>
        <v>338.40000000000003</v>
      </c>
      <c r="EK39" s="17">
        <f>EJ39*VLOOKUP('Données projet'!$B$15,Paramètres!$A$1:$I$89,3,0)*VLOOKUP('Données projet'!$B$15,Paramètres!$A$1:$I$89,5,0)</f>
        <v>149.57280000000003</v>
      </c>
      <c r="EL39" s="13">
        <f t="shared" si="45"/>
        <v>38.481486779011725</v>
      </c>
      <c r="EM39" s="20">
        <f t="shared" si="19"/>
        <v>327.52788280677879</v>
      </c>
      <c r="EN39" s="59">
        <f t="shared" si="20"/>
        <v>572.04030104781327</v>
      </c>
      <c r="EO39" s="59">
        <f ca="1">AVERAGE(OFFSET($EN$3,0,0,'Données projet'!$E$15+1,1))-AVERAGE(OFFSET($H$3,0,0,'Données projet'!$E$15+1,1))</f>
        <v>418.28022549686278</v>
      </c>
      <c r="EP39" s="59">
        <f t="shared" si="46"/>
        <v>354.55070454517158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13.868274642863177</v>
      </c>
      <c r="EW39" s="21">
        <f>EXP(-LN(2)/25)*EW38+(1-EXP(-LN(2)/25))/(LN(2)/25)*Calculateur!ER39*Calculateur!ET39*VLOOKUP('Données projet'!$B$15,Paramètres!$A$1:$I$89,3,0)*0.475*44/12</f>
        <v>19.523632742109186</v>
      </c>
      <c r="EX39" s="21">
        <f>EXP(-LN(2)/2)*EX38+(1-EXP(-LN(2)/2))/(LN(2)/2)*ER39*EU39*VLOOKUP('Données projet'!$B$15,Paramètres!$A$1:$I$89,3,0)*0.475*44/12</f>
        <v>10.23766890738816</v>
      </c>
      <c r="EY39" s="22">
        <f t="shared" si="21"/>
        <v>43.629576292360525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3.3603333333333336</v>
      </c>
      <c r="FE39" s="12">
        <f>IF('Données projet'!$A$218&gt;35,FE38+FD39-FM38,IF(A39&lt;'Données projet'!$A$218,$FB$205^A39,IF(A39='Données projet'!$A$218,'Données projet'!$B$218,FE38+FD39-FM38)))</f>
        <v>120.97199999999998</v>
      </c>
      <c r="FF39" s="17">
        <f>FE39*VLOOKUP('Données projet'!$B$16,Paramètres!$A$1:$I$89,3,0)*VLOOKUP('Données projet'!$B$16,Paramètres!$A$1:$I$89,5,0)</f>
        <v>137.76291359999996</v>
      </c>
      <c r="FG39" s="13">
        <f t="shared" si="47"/>
        <v>35.784040951312875</v>
      </c>
      <c r="FH39" s="20">
        <f t="shared" si="22"/>
        <v>302.26094584353649</v>
      </c>
      <c r="FI39" s="59">
        <f t="shared" si="23"/>
        <v>546.77336408457086</v>
      </c>
      <c r="FJ39" s="59">
        <f ca="1">AVERAGE(OFFSET($FI$3,0,0,'Données projet'!$E$16+1,1))-AVERAGE(OFFSET($H$3,0,0,'Données projet'!$E$16+1,1))</f>
        <v>640.05156427113661</v>
      </c>
      <c r="FK39" s="59">
        <f t="shared" si="48"/>
        <v>308.77220155372902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16.583750000000002</v>
      </c>
      <c r="N40" s="13">
        <f>IF('Données projet'!$A$36&gt;35,N39+M40-V39,IF(A40&lt;'Données projet'!$A$36,$K$205^A40,IF(A40='Données projet'!$A$36,'Données projet'!$B$36,N39+M40-V39)))</f>
        <v>252.64375000000001</v>
      </c>
      <c r="O40" s="13">
        <f>N40*VLOOKUP('Données projet'!$B$9,Paramètres!$A$1:$I$89,3,0)*VLOOKUP('Données projet'!$B$9,Paramètres!$A$1:$I$89,5,0)</f>
        <v>151.0809625</v>
      </c>
      <c r="P40" s="13">
        <f t="shared" si="33"/>
        <v>38.824135473109777</v>
      </c>
      <c r="Q40" s="20">
        <f t="shared" si="53"/>
        <v>330.75137896983284</v>
      </c>
      <c r="R40" s="59">
        <f t="shared" si="0"/>
        <v>576.11073094050391</v>
      </c>
      <c r="S40" s="59">
        <f ca="1">AVERAGE(OFFSET($R$3,0,0,'Données projet'!$E$9+1,1))-AVERAGE(OFFSET($H$3,0,0,'Données projet'!$E$9+1,1))</f>
        <v>318.50474972254085</v>
      </c>
      <c r="T40" s="59">
        <f t="shared" si="34"/>
        <v>326.45858332753562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30.062702075297739</v>
      </c>
      <c r="AA40" s="21">
        <f>EXP(-LN(2)/25)*AA39+(1-EXP(-LN(2)/25))/(LN(2)/25)*Calculateur!V40*Calculateur!X40*VLOOKUP('Données projet'!$B$9,Paramètres!$A$1:$I$89,3,0)*0.475*44/12</f>
        <v>17.837530249637371</v>
      </c>
      <c r="AB40" s="21">
        <f>EXP(-LN(2)/2)*AB39+(1-EXP(-LN(2)/2))/(LN(2)/2)*V40*Y40*VLOOKUP('Données projet'!$B$9,Paramètres!$A$1:$I$89,3,0)*0.475*44/12</f>
        <v>7.9222276448776752</v>
      </c>
      <c r="AC40" s="22">
        <f t="shared" si="3"/>
        <v>55.822459969812783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7.7715686274509812</v>
      </c>
      <c r="AI40" s="13">
        <f>IF('Données projet'!$A$62&gt;35,AI39+AH40-AQ39,IF(A40&lt;'Données projet'!$A$62,$AF$205^A40,IF(A40='Données projet'!$A$62,'Données projet'!$B$62,AI39+AH40-AQ39)))</f>
        <v>287.54803921568629</v>
      </c>
      <c r="AJ40" s="13">
        <f>AI40*VLOOKUP('Données projet'!$B$10,Paramètres!$A$1:$I$89,3,0)*VLOOKUP('Données projet'!$B$10,Paramètres!$A$1:$I$89,5,0)</f>
        <v>134.57248235294117</v>
      </c>
      <c r="AK40" s="13">
        <f t="shared" si="35"/>
        <v>35.050790686567069</v>
      </c>
      <c r="AL40" s="20">
        <f t="shared" si="4"/>
        <v>295.42720054381022</v>
      </c>
      <c r="AM40" s="59">
        <f t="shared" si="5"/>
        <v>540.78655251448129</v>
      </c>
      <c r="AN40" s="59">
        <f ca="1">AVERAGE(OFFSET($AM$3,0,0,'Données projet'!$E$10+1,1))-AVERAGE(OFFSET($H$3,0,0,'Données projet'!$E$10+1,1))</f>
        <v>374.38106339726073</v>
      </c>
      <c r="AO40" s="59">
        <f t="shared" si="36"/>
        <v>296.53283288925957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4.0942857142857143</v>
      </c>
      <c r="BD40" s="12">
        <f>IF('Données projet'!$A$88&gt;35,BD39+BC40-BL39,IF(A40&lt;'Données projet'!$A$88,$BA$205^A40,IF(A40='Données projet'!$A$88,'Données projet'!$B$88,BD39+BC40-BL39)))</f>
        <v>151.48857142857153</v>
      </c>
      <c r="BE40" s="13">
        <f>BD40*VLOOKUP('Données projet'!$B$11,Paramètres!$A$1:$I$89,3,0)*VLOOKUP('Données projet'!$B$11,Paramètres!$A$1:$I$89,5,0)</f>
        <v>137.06685942857152</v>
      </c>
      <c r="BF40" s="13">
        <f t="shared" si="37"/>
        <v>35.624238388297236</v>
      </c>
      <c r="BG40" s="20">
        <f t="shared" si="7"/>
        <v>300.77032869771307</v>
      </c>
      <c r="BH40" s="59">
        <f t="shared" si="8"/>
        <v>546.12968066838414</v>
      </c>
      <c r="BI40" s="59">
        <f ca="1">AVERAGE(OFFSET($BH$3,0,0,'Données projet'!$E$11+1,1))-AVERAGE(OFFSET($H$3,0,0,'Données projet'!$E$11+1,1))</f>
        <v>681.47578137804555</v>
      </c>
      <c r="BJ40" s="59">
        <f t="shared" si="38"/>
        <v>300.88511065995885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4.9999999999999973</v>
      </c>
      <c r="BY40" s="12">
        <f>IF('Données projet'!$A$114&gt;35,BY39+BX40-CG39,IF(A40&lt;'Données projet'!$A$114,$BV$205^A40,IF(A40='Données projet'!$A$114,'Données projet'!$B$114,BY39+BX40-CG39)))</f>
        <v>92.692307692307708</v>
      </c>
      <c r="BZ40" s="13">
        <f>BY40*VLOOKUP('Données projet'!$B$12,Paramètres!$A$1:$I$89,3,0)*VLOOKUP('Données projet'!$B$12,Paramètres!$A$1:$I$89,5,0)</f>
        <v>96.882000000000033</v>
      </c>
      <c r="CA40" s="13">
        <f t="shared" si="39"/>
        <v>26.21781316207062</v>
      </c>
      <c r="CB40" s="20">
        <f t="shared" si="10"/>
        <v>214.39884125727303</v>
      </c>
      <c r="CC40" s="59">
        <f t="shared" si="11"/>
        <v>459.75819322794416</v>
      </c>
      <c r="CD40" s="59">
        <f ca="1">AVERAGE(OFFSET($CC$3,0,0,'Données projet'!$E$12+1,1))-AVERAGE(OFFSET($H$3,0,0,'Données projet'!$E$12+1,1))</f>
        <v>290.69667785754848</v>
      </c>
      <c r="CE40" s="59">
        <f t="shared" si="40"/>
        <v>256.28124185489082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13.411432267558169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13.411432267558169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11.4</v>
      </c>
      <c r="CT40" s="12">
        <f>IF('Données projet'!$A$140&gt;35,CT39+CS40-DB39,IF(A40&lt;'Données projet'!$A$140,$CQ$205^A40,IF(A40='Données projet'!$A$140,'Données projet'!$B$140,CT39+CS40-DB39)))</f>
        <v>193.79999999999998</v>
      </c>
      <c r="CU40" s="17">
        <f>CT40*VLOOKUP('Données projet'!$B$13,Paramètres!$A$1:$I$89,3,0)*VLOOKUP('Données projet'!$B$13,Paramètres!$A$1:$I$89,5,0)</f>
        <v>169.30368000000001</v>
      </c>
      <c r="CV40" s="13">
        <f t="shared" si="41"/>
        <v>42.934033834973214</v>
      </c>
      <c r="CW40" s="20">
        <f t="shared" si="13"/>
        <v>369.64735159591169</v>
      </c>
      <c r="CX40" s="59">
        <f t="shared" si="14"/>
        <v>615.00670356658281</v>
      </c>
      <c r="CY40" s="59">
        <f ca="1">AVERAGE(OFFSET($CX$3,0,0,'Données projet'!$E$13+1,1))-AVERAGE(OFFSET($H$3,0,0,'Données projet'!$E$13+1,1))</f>
        <v>408.246209980743</v>
      </c>
      <c r="CZ40" s="59">
        <f t="shared" si="42"/>
        <v>394.10236303013903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8.2035507886593884</v>
      </c>
      <c r="DG40" s="21">
        <f>EXP(-LN(2)/25)*DG39+(1-EXP(-LN(2)/25))/(LN(2)/25)*Calculateur!DB40*Calculateur!DD40*VLOOKUP('Données projet'!$B$13,Paramètres!$A$1:$I$89,3,0)*0.475*44/12</f>
        <v>16.093363830096401</v>
      </c>
      <c r="DH40" s="21">
        <f>EXP(-LN(2)/2)*DH39+(1-EXP(-LN(2)/2))/(LN(2)/2)*DB40*DE40*VLOOKUP('Données projet'!$B$13,Paramètres!$A$1:$I$89,3,0)*0.475*44/12</f>
        <v>4.3794785801940277</v>
      </c>
      <c r="DI40" s="22">
        <f t="shared" si="15"/>
        <v>28.676393198949818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22.851428571428578</v>
      </c>
      <c r="DO40" s="12">
        <f>IF('Données projet'!$A$166&gt;35,DO39+DN40-DW39,IF(A40&lt;'Données projet'!$A$166,$DL$205^A40,IF(A40='Données projet'!$A$166,'Données projet'!$B$166,DO39+DN40-DW39)))</f>
        <v>336.23285714285714</v>
      </c>
      <c r="DP40" s="17">
        <f>DO40*VLOOKUP('Données projet'!$B$14,Paramètres!$A$1:$I$89,3,0)*VLOOKUP('Données projet'!$B$14,Paramètres!$A$1:$I$89,5,0)</f>
        <v>187.95416714285713</v>
      </c>
      <c r="DQ40" s="13">
        <f t="shared" si="43"/>
        <v>47.087363665282226</v>
      </c>
      <c r="DR40" s="20">
        <f t="shared" si="16"/>
        <v>409.36399949084267</v>
      </c>
      <c r="DS40" s="59">
        <f t="shared" si="17"/>
        <v>654.72335146151374</v>
      </c>
      <c r="DT40" s="59">
        <f ca="1">AVERAGE(OFFSET($DS$3,0,0,'Données projet'!$E$14+1,1))-AVERAGE(OFFSET($H$3,0,0,'Données projet'!$E$14+1,1))</f>
        <v>407.05634973057056</v>
      </c>
      <c r="DU40" s="59">
        <f t="shared" si="44"/>
        <v>375.32891954889965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30.961399686945747</v>
      </c>
      <c r="EB40" s="21">
        <f>EXP(-LN(2)/25)*EB39+(1-EXP(-LN(2)/25))/(LN(2)/25)*Calculateur!DW40*Calculateur!DY40*VLOOKUP('Données projet'!$B$14,Paramètres!$A$1:$I$89,3,0)*0.475*44/12</f>
        <v>20.817225403872289</v>
      </c>
      <c r="EC40" s="21">
        <f>EXP(-LN(2)/2)*EC39+(1-EXP(-LN(2)/2))/(LN(2)/2)*DW40*DZ40*VLOOKUP('Données projet'!$B$14,Paramètres!$A$1:$I$89,3,0)*0.475*44/12</f>
        <v>6.267040132578324</v>
      </c>
      <c r="ED40" s="22">
        <f t="shared" si="18"/>
        <v>58.045665223396362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25.4</v>
      </c>
      <c r="EJ40" s="12">
        <f>IF('Données projet'!$A$192&gt;35,EJ39+EI40-ER39,IF(A40&lt;'Données projet'!$A$192,$EG$205^A40,IF(A40='Données projet'!$A$192,'Données projet'!$B$192,EJ39+EI40-ER39)))</f>
        <v>363.8</v>
      </c>
      <c r="EK40" s="17">
        <f>EJ40*VLOOKUP('Données projet'!$B$15,Paramètres!$A$1:$I$89,3,0)*VLOOKUP('Données projet'!$B$15,Paramètres!$A$1:$I$89,5,0)</f>
        <v>160.79960000000003</v>
      </c>
      <c r="EL40" s="13">
        <f t="shared" si="45"/>
        <v>41.022815059749384</v>
      </c>
      <c r="EM40" s="20">
        <f t="shared" si="19"/>
        <v>351.50737289573021</v>
      </c>
      <c r="EN40" s="59">
        <f t="shared" si="20"/>
        <v>596.86672486640134</v>
      </c>
      <c r="EO40" s="59">
        <f ca="1">AVERAGE(OFFSET($EN$3,0,0,'Données projet'!$E$15+1,1))-AVERAGE(OFFSET($H$3,0,0,'Données projet'!$E$15+1,1))</f>
        <v>418.28022549686278</v>
      </c>
      <c r="EP40" s="59">
        <f t="shared" si="46"/>
        <v>354.55070454517158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13.596326235928924</v>
      </c>
      <c r="EW40" s="21">
        <f>EXP(-LN(2)/25)*EW39+(1-EXP(-LN(2)/25))/(LN(2)/25)*Calculateur!ER40*Calculateur!ET40*VLOOKUP('Données projet'!$B$15,Paramètres!$A$1:$I$89,3,0)*0.475*44/12</f>
        <v>18.989757978072987</v>
      </c>
      <c r="EX40" s="21">
        <f>EXP(-LN(2)/2)*EX39+(1-EXP(-LN(2)/2))/(LN(2)/2)*ER40*EU40*VLOOKUP('Données projet'!$B$15,Paramètres!$A$1:$I$89,3,0)*0.475*44/12</f>
        <v>7.2391251079568413</v>
      </c>
      <c r="EY40" s="22">
        <f t="shared" si="21"/>
        <v>39.825209321958752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3.3603333333333336</v>
      </c>
      <c r="FE40" s="12">
        <f>IF('Données projet'!$A$218&gt;35,FE39+FD40-FM39,IF(A40&lt;'Données projet'!$A$218,$FB$205^A40,IF(A40='Données projet'!$A$218,'Données projet'!$B$218,FE39+FD40-FM39)))</f>
        <v>124.33233333333331</v>
      </c>
      <c r="FF40" s="17">
        <f>FE40*VLOOKUP('Données projet'!$B$16,Paramètres!$A$1:$I$89,3,0)*VLOOKUP('Données projet'!$B$16,Paramètres!$A$1:$I$89,5,0)</f>
        <v>141.58966119999997</v>
      </c>
      <c r="FG40" s="13">
        <f t="shared" si="47"/>
        <v>36.66093490475005</v>
      </c>
      <c r="FH40" s="20">
        <f t="shared" si="22"/>
        <v>310.45312154910624</v>
      </c>
      <c r="FI40" s="59">
        <f t="shared" si="23"/>
        <v>555.81247351977731</v>
      </c>
      <c r="FJ40" s="59">
        <f ca="1">AVERAGE(OFFSET($FI$3,0,0,'Données projet'!$E$16+1,1))-AVERAGE(OFFSET($H$3,0,0,'Données projet'!$E$16+1,1))</f>
        <v>640.05156427113661</v>
      </c>
      <c r="FK40" s="59">
        <f t="shared" si="48"/>
        <v>308.77220155372902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16.583750000000002</v>
      </c>
      <c r="N41" s="13">
        <f>IF('Données projet'!$A$36&gt;35,N40+M41-V40,IF(A41&lt;'Données projet'!$A$36,$K$205^A41,IF(A41='Données projet'!$A$36,'Données projet'!$B$36,N40+M41-V40)))</f>
        <v>269.22750000000002</v>
      </c>
      <c r="O41" s="13">
        <f>N41*VLOOKUP('Données projet'!$B$9,Paramètres!$A$1:$I$89,3,0)*VLOOKUP('Données projet'!$B$9,Paramètres!$A$1:$I$89,5,0)</f>
        <v>160.99804500000002</v>
      </c>
      <c r="P41" s="13">
        <f t="shared" si="33"/>
        <v>41.067545707058052</v>
      </c>
      <c r="Q41" s="20">
        <f t="shared" si="53"/>
        <v>351.93090381479277</v>
      </c>
      <c r="R41" s="59">
        <f t="shared" si="0"/>
        <v>598.12249710835147</v>
      </c>
      <c r="S41" s="59">
        <f ca="1">AVERAGE(OFFSET($R$3,0,0,'Données projet'!$E$9+1,1))-AVERAGE(OFFSET($H$3,0,0,'Données projet'!$E$9+1,1))</f>
        <v>318.50474972254085</v>
      </c>
      <c r="T41" s="59">
        <f t="shared" si="34"/>
        <v>326.45858332753562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29.473190824038845</v>
      </c>
      <c r="AA41" s="21">
        <f>EXP(-LN(2)/25)*AA40+(1-EXP(-LN(2)/25))/(LN(2)/25)*Calculateur!V41*Calculateur!X41*VLOOKUP('Données projet'!$B$9,Paramètres!$A$1:$I$89,3,0)*0.475*44/12</f>
        <v>17.349762046926088</v>
      </c>
      <c r="AB41" s="21">
        <f>EXP(-LN(2)/2)*AB40+(1-EXP(-LN(2)/2))/(LN(2)/2)*V41*Y41*VLOOKUP('Données projet'!$B$9,Paramètres!$A$1:$I$89,3,0)*0.475*44/12</f>
        <v>5.6018608897965363</v>
      </c>
      <c r="AC41" s="22">
        <f t="shared" si="3"/>
        <v>52.424813760761467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7.7715686274509812</v>
      </c>
      <c r="AI41" s="13">
        <f>IF('Données projet'!$A$62&gt;35,AI40+AH41-AQ40,IF(A41&lt;'Données projet'!$A$62,$AF$205^A41,IF(A41='Données projet'!$A$62,'Données projet'!$B$62,AI40+AH41-AQ40)))</f>
        <v>295.31960784313725</v>
      </c>
      <c r="AJ41" s="13">
        <f>AI41*VLOOKUP('Données projet'!$B$10,Paramètres!$A$1:$I$89,3,0)*VLOOKUP('Données projet'!$B$10,Paramètres!$A$1:$I$89,5,0)</f>
        <v>138.20957647058825</v>
      </c>
      <c r="AK41" s="13">
        <f t="shared" si="35"/>
        <v>35.886537858926076</v>
      </c>
      <c r="AL41" s="20">
        <f t="shared" si="4"/>
        <v>303.21739912390404</v>
      </c>
      <c r="AM41" s="59">
        <f t="shared" si="5"/>
        <v>549.40899241746274</v>
      </c>
      <c r="AN41" s="59">
        <f ca="1">AVERAGE(OFFSET($AM$3,0,0,'Données projet'!$E$10+1,1))-AVERAGE(OFFSET($H$3,0,0,'Données projet'!$E$10+1,1))</f>
        <v>374.38106339726073</v>
      </c>
      <c r="AO41" s="59">
        <f t="shared" si="36"/>
        <v>296.53283288925957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4.0942857142857143</v>
      </c>
      <c r="BD41" s="12">
        <f>IF('Données projet'!$A$88&gt;35,BD40+BC41-BL40,IF(A41&lt;'Données projet'!$A$88,$BA$205^A41,IF(A41='Données projet'!$A$88,'Données projet'!$B$88,BD40+BC41-BL40)))</f>
        <v>155.58285714285725</v>
      </c>
      <c r="BE41" s="13">
        <f>BD41*VLOOKUP('Données projet'!$B$11,Paramètres!$A$1:$I$89,3,0)*VLOOKUP('Données projet'!$B$11,Paramètres!$A$1:$I$89,5,0)</f>
        <v>140.77136914285722</v>
      </c>
      <c r="BF41" s="13">
        <f t="shared" si="37"/>
        <v>36.473658784165018</v>
      </c>
      <c r="BG41" s="20">
        <f t="shared" si="7"/>
        <v>308.70175697289704</v>
      </c>
      <c r="BH41" s="59">
        <f t="shared" si="8"/>
        <v>554.89335026645574</v>
      </c>
      <c r="BI41" s="59">
        <f ca="1">AVERAGE(OFFSET($BH$3,0,0,'Données projet'!$E$11+1,1))-AVERAGE(OFFSET($H$3,0,0,'Données projet'!$E$11+1,1))</f>
        <v>681.47578137804555</v>
      </c>
      <c r="BJ41" s="59">
        <f t="shared" si="38"/>
        <v>300.88511065995885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4.9999999999999973</v>
      </c>
      <c r="BY41" s="12">
        <f>IF('Données projet'!$A$114&gt;35,BY40+BX41-CG40,IF(A41&lt;'Données projet'!$A$114,$BV$205^A41,IF(A41='Données projet'!$A$114,'Données projet'!$B$114,BY40+BX41-CG40)))</f>
        <v>97.692307692307708</v>
      </c>
      <c r="BZ41" s="13">
        <f>BY41*VLOOKUP('Données projet'!$B$12,Paramètres!$A$1:$I$89,3,0)*VLOOKUP('Données projet'!$B$12,Paramètres!$A$1:$I$89,5,0)</f>
        <v>102.10800000000003</v>
      </c>
      <c r="CA41" s="13">
        <f t="shared" si="39"/>
        <v>27.463588130350807</v>
      </c>
      <c r="CB41" s="20">
        <f t="shared" si="10"/>
        <v>225.67051599369438</v>
      </c>
      <c r="CC41" s="59">
        <f t="shared" si="11"/>
        <v>471.86210928725313</v>
      </c>
      <c r="CD41" s="59">
        <f ca="1">AVERAGE(OFFSET($CC$3,0,0,'Données projet'!$E$12+1,1))-AVERAGE(OFFSET($H$3,0,0,'Données projet'!$E$12+1,1))</f>
        <v>290.69667785754848</v>
      </c>
      <c r="CE41" s="59">
        <f t="shared" si="40"/>
        <v>256.28124185489082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13.04469594692522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13.04469594692522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11.4</v>
      </c>
      <c r="CT41" s="12">
        <f>IF('Données projet'!$A$140&gt;35,CT40+CS41-DB40,IF(A41&lt;'Données projet'!$A$140,$CQ$205^A41,IF(A41='Données projet'!$A$140,'Données projet'!$B$140,CT40+CS41-DB40)))</f>
        <v>205.2</v>
      </c>
      <c r="CU41" s="17">
        <f>CT41*VLOOKUP('Données projet'!$B$13,Paramètres!$A$1:$I$89,3,0)*VLOOKUP('Données projet'!$B$13,Paramètres!$A$1:$I$89,5,0)</f>
        <v>179.26272</v>
      </c>
      <c r="CV41" s="13">
        <f t="shared" si="41"/>
        <v>45.158115787467153</v>
      </c>
      <c r="CW41" s="20">
        <f t="shared" si="13"/>
        <v>390.86628899650526</v>
      </c>
      <c r="CX41" s="59">
        <f t="shared" si="14"/>
        <v>637.05788229006396</v>
      </c>
      <c r="CY41" s="59">
        <f ca="1">AVERAGE(OFFSET($CX$3,0,0,'Données projet'!$E$13+1,1))-AVERAGE(OFFSET($H$3,0,0,'Données projet'!$E$13+1,1))</f>
        <v>408.246209980743</v>
      </c>
      <c r="CZ41" s="59">
        <f t="shared" si="42"/>
        <v>394.10236303013903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8.0426841613656865</v>
      </c>
      <c r="DG41" s="21">
        <f>EXP(-LN(2)/25)*DG40+(1-EXP(-LN(2)/25))/(LN(2)/25)*Calculateur!DB41*Calculateur!DD41*VLOOKUP('Données projet'!$B$13,Paramètres!$A$1:$I$89,3,0)*0.475*44/12</f>
        <v>15.653289949849192</v>
      </c>
      <c r="DH41" s="21">
        <f>EXP(-LN(2)/2)*DH40+(1-EXP(-LN(2)/2))/(LN(2)/2)*DB41*DE41*VLOOKUP('Données projet'!$B$13,Paramètres!$A$1:$I$89,3,0)*0.475*44/12</f>
        <v>3.0967590021164302</v>
      </c>
      <c r="DI41" s="22">
        <f t="shared" si="15"/>
        <v>26.792733113331309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22.851428571428578</v>
      </c>
      <c r="DO41" s="12">
        <f>IF('Données projet'!$A$166&gt;35,DO40+DN41-DW40,IF(A41&lt;'Données projet'!$A$166,$DL$205^A41,IF(A41='Données projet'!$A$166,'Données projet'!$B$166,DO40+DN41-DW40)))</f>
        <v>359.08428571428573</v>
      </c>
      <c r="DP41" s="17">
        <f>DO41*VLOOKUP('Données projet'!$B$14,Paramètres!$A$1:$I$89,3,0)*VLOOKUP('Données projet'!$B$14,Paramètres!$A$1:$I$89,5,0)</f>
        <v>200.72811571428574</v>
      </c>
      <c r="DQ41" s="13">
        <f t="shared" si="43"/>
        <v>49.904151662519681</v>
      </c>
      <c r="DR41" s="20">
        <f t="shared" si="16"/>
        <v>436.51786568126948</v>
      </c>
      <c r="DS41" s="59">
        <f t="shared" si="17"/>
        <v>682.70945897482818</v>
      </c>
      <c r="DT41" s="59">
        <f ca="1">AVERAGE(OFFSET($DS$3,0,0,'Données projet'!$E$14+1,1))-AVERAGE(OFFSET($H$3,0,0,'Données projet'!$E$14+1,1))</f>
        <v>407.05634973057056</v>
      </c>
      <c r="DU41" s="59">
        <f t="shared" si="44"/>
        <v>375.32891954889965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30.354265523673853</v>
      </c>
      <c r="EB41" s="21">
        <f>EXP(-LN(2)/25)*EB40+(1-EXP(-LN(2)/25))/(LN(2)/25)*Calculateur!DW41*Calculateur!DY41*VLOOKUP('Données projet'!$B$14,Paramètres!$A$1:$I$89,3,0)*0.475*44/12</f>
        <v>20.247977280473094</v>
      </c>
      <c r="EC41" s="21">
        <f>EXP(-LN(2)/2)*EC40+(1-EXP(-LN(2)/2))/(LN(2)/2)*DW41*DZ41*VLOOKUP('Données projet'!$B$14,Paramètres!$A$1:$I$89,3,0)*0.475*44/12</f>
        <v>4.4314665757143734</v>
      </c>
      <c r="ED41" s="22">
        <f t="shared" si="18"/>
        <v>55.033709379861321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25.4</v>
      </c>
      <c r="EJ41" s="12">
        <f>IF('Données projet'!$A$192&gt;35,EJ40+EI41-ER40,IF(A41&lt;'Données projet'!$A$192,$EG$205^A41,IF(A41='Données projet'!$A$192,'Données projet'!$B$192,EJ40+EI41-ER40)))</f>
        <v>389.2</v>
      </c>
      <c r="EK41" s="17">
        <f>EJ41*VLOOKUP('Données projet'!$B$15,Paramètres!$A$1:$I$89,3,0)*VLOOKUP('Données projet'!$B$15,Paramètres!$A$1:$I$89,5,0)</f>
        <v>172.02640000000002</v>
      </c>
      <c r="EL41" s="13">
        <f t="shared" si="45"/>
        <v>43.543556310624133</v>
      </c>
      <c r="EM41" s="20">
        <f t="shared" si="19"/>
        <v>375.45100724100371</v>
      </c>
      <c r="EN41" s="59">
        <f t="shared" si="20"/>
        <v>621.64260053456246</v>
      </c>
      <c r="EO41" s="59">
        <f ca="1">AVERAGE(OFFSET($EN$3,0,0,'Données projet'!$E$15+1,1))-AVERAGE(OFFSET($H$3,0,0,'Données projet'!$E$15+1,1))</f>
        <v>418.28022549686278</v>
      </c>
      <c r="EP41" s="59">
        <f t="shared" si="46"/>
        <v>354.55070454517158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13.329710571382503</v>
      </c>
      <c r="EW41" s="21">
        <f>EXP(-LN(2)/25)*EW40+(1-EXP(-LN(2)/25))/(LN(2)/25)*Calculateur!ER41*Calculateur!ET41*VLOOKUP('Données projet'!$B$15,Paramètres!$A$1:$I$89,3,0)*0.475*44/12</f>
        <v>18.47048204753461</v>
      </c>
      <c r="EX41" s="21">
        <f>EXP(-LN(2)/2)*EX40+(1-EXP(-LN(2)/2))/(LN(2)/2)*ER41*EU41*VLOOKUP('Données projet'!$B$15,Paramètres!$A$1:$I$89,3,0)*0.475*44/12</f>
        <v>5.1188344536940811</v>
      </c>
      <c r="EY41" s="22">
        <f t="shared" si="21"/>
        <v>36.919027072611193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3.3603333333333336</v>
      </c>
      <c r="FE41" s="12">
        <f>IF('Données projet'!$A$218&gt;35,FE40+FD41-FM40,IF(A41&lt;'Données projet'!$A$218,$FB$205^A41,IF(A41='Données projet'!$A$218,'Données projet'!$B$218,FE40+FD41-FM40)))</f>
        <v>127.69266666666664</v>
      </c>
      <c r="FF41" s="17">
        <f>FE41*VLOOKUP('Données projet'!$B$16,Paramètres!$A$1:$I$89,3,0)*VLOOKUP('Données projet'!$B$16,Paramètres!$A$1:$I$89,5,0)</f>
        <v>145.41640879999997</v>
      </c>
      <c r="FG41" s="13">
        <f t="shared" si="47"/>
        <v>37.535074177574629</v>
      </c>
      <c r="FH41" s="20">
        <f t="shared" si="22"/>
        <v>318.64049951927569</v>
      </c>
      <c r="FI41" s="59">
        <f t="shared" si="23"/>
        <v>564.83209281283439</v>
      </c>
      <c r="FJ41" s="59">
        <f ca="1">AVERAGE(OFFSET($FI$3,0,0,'Données projet'!$E$16+1,1))-AVERAGE(OFFSET($H$3,0,0,'Données projet'!$E$16+1,1))</f>
        <v>640.05156427113661</v>
      </c>
      <c r="FK41" s="59">
        <f t="shared" si="48"/>
        <v>308.77220155372902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16.583750000000002</v>
      </c>
      <c r="N42" s="13">
        <f>IF('Données projet'!$A$36&gt;35,N41+M42-V41,IF(A42&lt;'Données projet'!$A$36,$K$205^A42,IF(A42='Données projet'!$A$36,'Données projet'!$B$36,N41+M42-V41)))</f>
        <v>285.81125000000003</v>
      </c>
      <c r="O42" s="13">
        <f>N42*VLOOKUP('Données projet'!$B$9,Paramètres!$A$1:$I$89,3,0)*VLOOKUP('Données projet'!$B$9,Paramètres!$A$1:$I$89,5,0)</f>
        <v>170.91512750000004</v>
      </c>
      <c r="P42" s="13">
        <f t="shared" si="33"/>
        <v>43.294917618591782</v>
      </c>
      <c r="Q42" s="20">
        <f t="shared" si="53"/>
        <v>373.08249524821412</v>
      </c>
      <c r="R42" s="59">
        <f t="shared" si="0"/>
        <v>620.09189233832126</v>
      </c>
      <c r="S42" s="59">
        <f ca="1">AVERAGE(OFFSET($R$3,0,0,'Données projet'!$E$9+1,1))-AVERAGE(OFFSET($H$3,0,0,'Données projet'!$E$9+1,1))</f>
        <v>318.50474972254085</v>
      </c>
      <c r="T42" s="59">
        <f t="shared" si="34"/>
        <v>326.45858332753562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28.895239528850777</v>
      </c>
      <c r="AA42" s="21">
        <f>EXP(-LN(2)/25)*AA41+(1-EXP(-LN(2)/25))/(LN(2)/25)*Calculateur!V42*Calculateur!X42*VLOOKUP('Données projet'!$B$9,Paramètres!$A$1:$I$89,3,0)*0.475*44/12</f>
        <v>16.87533189136856</v>
      </c>
      <c r="AB42" s="21">
        <f>EXP(-LN(2)/2)*AB41+(1-EXP(-LN(2)/2))/(LN(2)/2)*V42*Y42*VLOOKUP('Données projet'!$B$9,Paramètres!$A$1:$I$89,3,0)*0.475*44/12</f>
        <v>3.961113822438838</v>
      </c>
      <c r="AC42" s="22">
        <f t="shared" si="3"/>
        <v>49.73168524265818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7.7715686274509812</v>
      </c>
      <c r="AI42" s="13">
        <f>IF('Données projet'!$A$62&gt;35,AI41+AH42-AQ41,IF(A42&lt;'Données projet'!$A$62,$AF$205^A42,IF(A42='Données projet'!$A$62,'Données projet'!$B$62,AI41+AH42-AQ41)))</f>
        <v>303.09117647058821</v>
      </c>
      <c r="AJ42" s="13">
        <f>AI42*VLOOKUP('Données projet'!$B$10,Paramètres!$A$1:$I$89,3,0)*VLOOKUP('Données projet'!$B$10,Paramètres!$A$1:$I$89,5,0)</f>
        <v>141.8466705882353</v>
      </c>
      <c r="AK42" s="13">
        <f t="shared" si="35"/>
        <v>36.719728610807536</v>
      </c>
      <c r="AL42" s="20">
        <f t="shared" si="4"/>
        <v>311.00314527166626</v>
      </c>
      <c r="AM42" s="59">
        <f t="shared" si="5"/>
        <v>558.0125423617734</v>
      </c>
      <c r="AN42" s="59">
        <f ca="1">AVERAGE(OFFSET($AM$3,0,0,'Données projet'!$E$10+1,1))-AVERAGE(OFFSET($H$3,0,0,'Données projet'!$E$10+1,1))</f>
        <v>374.38106339726073</v>
      </c>
      <c r="AO42" s="59">
        <f t="shared" si="36"/>
        <v>296.53283288925957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4.0942857142857143</v>
      </c>
      <c r="BD42" s="12">
        <f>IF('Données projet'!$A$88&gt;35,BD41+BC42-BL41,IF(A42&lt;'Données projet'!$A$88,$BA$205^A42,IF(A42='Données projet'!$A$88,'Données projet'!$B$88,BD41+BC42-BL41)))</f>
        <v>159.67714285714297</v>
      </c>
      <c r="BE42" s="13">
        <f>BD42*VLOOKUP('Données projet'!$B$11,Paramètres!$A$1:$I$89,3,0)*VLOOKUP('Données projet'!$B$11,Paramètres!$A$1:$I$89,5,0)</f>
        <v>144.47587885714296</v>
      </c>
      <c r="BF42" s="13">
        <f t="shared" si="37"/>
        <v>37.320480935293446</v>
      </c>
      <c r="BG42" s="20">
        <f t="shared" si="7"/>
        <v>316.62865997182678</v>
      </c>
      <c r="BH42" s="59">
        <f t="shared" si="8"/>
        <v>563.63805706193386</v>
      </c>
      <c r="BI42" s="59">
        <f ca="1">AVERAGE(OFFSET($BH$3,0,0,'Données projet'!$E$11+1,1))-AVERAGE(OFFSET($H$3,0,0,'Données projet'!$E$11+1,1))</f>
        <v>681.47578137804555</v>
      </c>
      <c r="BJ42" s="59">
        <f t="shared" si="38"/>
        <v>300.88511065995885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4.9999999999999973</v>
      </c>
      <c r="BY42" s="12">
        <f>IF('Données projet'!$A$114&gt;35,BY41+BX42-CG41,IF(A42&lt;'Données projet'!$A$114,$BV$205^A42,IF(A42='Données projet'!$A$114,'Données projet'!$B$114,BY41+BX42-CG41)))</f>
        <v>102.69230769230771</v>
      </c>
      <c r="BZ42" s="13">
        <f>BY42*VLOOKUP('Données projet'!$B$12,Paramètres!$A$1:$I$89,3,0)*VLOOKUP('Données projet'!$B$12,Paramètres!$A$1:$I$89,5,0)</f>
        <v>107.33400000000002</v>
      </c>
      <c r="CA42" s="13">
        <f t="shared" si="39"/>
        <v>28.701960070060018</v>
      </c>
      <c r="CB42" s="20">
        <f t="shared" si="10"/>
        <v>236.92929712202124</v>
      </c>
      <c r="CC42" s="59">
        <f t="shared" si="11"/>
        <v>483.93869421212833</v>
      </c>
      <c r="CD42" s="59">
        <f ca="1">AVERAGE(OFFSET($CC$3,0,0,'Données projet'!$E$12+1,1))-AVERAGE(OFFSET($H$3,0,0,'Données projet'!$E$12+1,1))</f>
        <v>290.69667785754848</v>
      </c>
      <c r="CE42" s="59">
        <f t="shared" si="40"/>
        <v>256.28124185489082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12.687988050265805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12.687988050265805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11.4</v>
      </c>
      <c r="CT42" s="12">
        <f>IF('Données projet'!$A$140&gt;35,CT41+CS42-DB41,IF(A42&lt;'Données projet'!$A$140,$CQ$205^A42,IF(A42='Données projet'!$A$140,'Données projet'!$B$140,CT41+CS42-DB41)))</f>
        <v>216.6</v>
      </c>
      <c r="CU42" s="17">
        <f>CT42*VLOOKUP('Données projet'!$B$13,Paramètres!$A$1:$I$89,3,0)*VLOOKUP('Données projet'!$B$13,Paramètres!$A$1:$I$89,5,0)</f>
        <v>189.22176000000002</v>
      </c>
      <c r="CV42" s="13">
        <f t="shared" si="41"/>
        <v>47.367853957810077</v>
      </c>
      <c r="CW42" s="20">
        <f t="shared" si="13"/>
        <v>412.06024430985258</v>
      </c>
      <c r="CX42" s="59">
        <f t="shared" si="14"/>
        <v>659.06964139995966</v>
      </c>
      <c r="CY42" s="59">
        <f ca="1">AVERAGE(OFFSET($CX$3,0,0,'Données projet'!$E$13+1,1))-AVERAGE(OFFSET($H$3,0,0,'Données projet'!$E$13+1,1))</f>
        <v>408.246209980743</v>
      </c>
      <c r="CZ42" s="59">
        <f t="shared" si="42"/>
        <v>394.10236303013903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7.8849720305142608</v>
      </c>
      <c r="DG42" s="21">
        <f>EXP(-LN(2)/25)*DG41+(1-EXP(-LN(2)/25))/(LN(2)/25)*Calculateur!DB42*Calculateur!DD42*VLOOKUP('Données projet'!$B$13,Paramètres!$A$1:$I$89,3,0)*0.475*44/12</f>
        <v>15.225249912999823</v>
      </c>
      <c r="DH42" s="21">
        <f>EXP(-LN(2)/2)*DH41+(1-EXP(-LN(2)/2))/(LN(2)/2)*DB42*DE42*VLOOKUP('Données projet'!$B$13,Paramètres!$A$1:$I$89,3,0)*0.475*44/12</f>
        <v>2.1897392900970138</v>
      </c>
      <c r="DI42" s="22">
        <f t="shared" si="15"/>
        <v>25.299961233611096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22.851428571428578</v>
      </c>
      <c r="DO42" s="12">
        <f>IF('Données projet'!$A$166&gt;35,DO41+DN42-DW41,IF(A42&lt;'Données projet'!$A$166,$DL$205^A42,IF(A42='Données projet'!$A$166,'Données projet'!$B$166,DO41+DN42-DW41)))</f>
        <v>381.93571428571431</v>
      </c>
      <c r="DP42" s="17">
        <f>DO42*VLOOKUP('Données projet'!$B$14,Paramètres!$A$1:$I$89,3,0)*VLOOKUP('Données projet'!$B$14,Paramètres!$A$1:$I$89,5,0)</f>
        <v>213.50206428571431</v>
      </c>
      <c r="DQ42" s="13">
        <f t="shared" si="43"/>
        <v>52.700136656354076</v>
      </c>
      <c r="DR42" s="20">
        <f t="shared" si="16"/>
        <v>463.6354999741024</v>
      </c>
      <c r="DS42" s="59">
        <f t="shared" si="17"/>
        <v>710.64489706420954</v>
      </c>
      <c r="DT42" s="59">
        <f ca="1">AVERAGE(OFFSET($DS$3,0,0,'Données projet'!$E$14+1,1))-AVERAGE(OFFSET($H$3,0,0,'Données projet'!$E$14+1,1))</f>
        <v>407.05634973057056</v>
      </c>
      <c r="DU42" s="59">
        <f t="shared" si="44"/>
        <v>375.32891954889965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29.759036891028444</v>
      </c>
      <c r="EB42" s="21">
        <f>EXP(-LN(2)/25)*EB41+(1-EXP(-LN(2)/25))/(LN(2)/25)*Calculateur!DW42*Calculateur!DY42*VLOOKUP('Données projet'!$B$14,Paramètres!$A$1:$I$89,3,0)*0.475*44/12</f>
        <v>19.694295276943709</v>
      </c>
      <c r="EC42" s="21">
        <f>EXP(-LN(2)/2)*EC41+(1-EXP(-LN(2)/2))/(LN(2)/2)*DW42*DZ42*VLOOKUP('Données projet'!$B$14,Paramètres!$A$1:$I$89,3,0)*0.475*44/12</f>
        <v>3.1335200662891629</v>
      </c>
      <c r="ED42" s="22">
        <f t="shared" si="18"/>
        <v>52.586852234261315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25.4</v>
      </c>
      <c r="EJ42" s="12">
        <f>IF('Données projet'!$A$192&gt;35,EJ41+EI42-ER41,IF(A42&lt;'Données projet'!$A$192,$EG$205^A42,IF(A42='Données projet'!$A$192,'Données projet'!$B$192,EJ41+EI42-ER41)))</f>
        <v>414.59999999999997</v>
      </c>
      <c r="EK42" s="17">
        <f>EJ42*VLOOKUP('Données projet'!$B$15,Paramètres!$A$1:$I$89,3,0)*VLOOKUP('Données projet'!$B$15,Paramètres!$A$1:$I$89,5,0)</f>
        <v>183.25319999999999</v>
      </c>
      <c r="EL42" s="13">
        <f t="shared" si="45"/>
        <v>46.04520698394716</v>
      </c>
      <c r="EM42" s="20">
        <f t="shared" si="19"/>
        <v>399.36139216370793</v>
      </c>
      <c r="EN42" s="59">
        <f t="shared" si="20"/>
        <v>646.37078925381502</v>
      </c>
      <c r="EO42" s="59">
        <f ca="1">AVERAGE(OFFSET($EN$3,0,0,'Données projet'!$E$15+1,1))-AVERAGE(OFFSET($H$3,0,0,'Données projet'!$E$15+1,1))</f>
        <v>418.28022549686278</v>
      </c>
      <c r="EP42" s="59">
        <f t="shared" si="46"/>
        <v>354.55070454517158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13.068323077398338</v>
      </c>
      <c r="EW42" s="21">
        <f>EXP(-LN(2)/25)*EW41+(1-EXP(-LN(2)/25))/(LN(2)/25)*Calculateur!ER42*Calculateur!ET42*VLOOKUP('Données projet'!$B$15,Paramètres!$A$1:$I$89,3,0)*0.475*44/12</f>
        <v>17.965405744624341</v>
      </c>
      <c r="EX42" s="21">
        <f>EXP(-LN(2)/2)*EX41+(1-EXP(-LN(2)/2))/(LN(2)/2)*ER42*EU42*VLOOKUP('Données projet'!$B$15,Paramètres!$A$1:$I$89,3,0)*0.475*44/12</f>
        <v>3.6195625539784215</v>
      </c>
      <c r="EY42" s="22">
        <f t="shared" si="21"/>
        <v>34.6532913760011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3.3603333333333336</v>
      </c>
      <c r="FE42" s="12">
        <f>IF('Données projet'!$A$218&gt;35,FE41+FD42-FM41,IF(A42&lt;'Données projet'!$A$218,$FB$205^A42,IF(A42='Données projet'!$A$218,'Données projet'!$B$218,FE41+FD42-FM41)))</f>
        <v>131.05299999999997</v>
      </c>
      <c r="FF42" s="17">
        <f>FE42*VLOOKUP('Données projet'!$B$16,Paramètres!$A$1:$I$89,3,0)*VLOOKUP('Données projet'!$B$16,Paramètres!$A$1:$I$89,5,0)</f>
        <v>149.24315639999995</v>
      </c>
      <c r="FG42" s="13">
        <f t="shared" si="47"/>
        <v>38.406539594463815</v>
      </c>
      <c r="FH42" s="20">
        <f t="shared" si="22"/>
        <v>326.82322052369108</v>
      </c>
      <c r="FI42" s="59">
        <f t="shared" si="23"/>
        <v>573.83261761379822</v>
      </c>
      <c r="FJ42" s="59">
        <f ca="1">AVERAGE(OFFSET($FI$3,0,0,'Données projet'!$E$16+1,1))-AVERAGE(OFFSET($H$3,0,0,'Données projet'!$E$16+1,1))</f>
        <v>640.05156427113661</v>
      </c>
      <c r="FK42" s="59">
        <f t="shared" si="48"/>
        <v>308.77220155372902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16.583750000000002</v>
      </c>
      <c r="N43" s="13">
        <f>IF('Données projet'!$A$36&gt;35,N42+M43-V42,IF(A43&lt;'Données projet'!$A$36,$K$205^A43,IF(A43='Données projet'!$A$36,'Données projet'!$B$36,N42+M43-V42)))</f>
        <v>302.39500000000004</v>
      </c>
      <c r="O43" s="13">
        <f>N43*VLOOKUP('Données projet'!$B$9,Paramètres!$A$1:$I$89,3,0)*VLOOKUP('Données projet'!$B$9,Paramètres!$A$1:$I$89,5,0)</f>
        <v>180.83221000000003</v>
      </c>
      <c r="P43" s="13">
        <f t="shared" si="33"/>
        <v>45.507287823747916</v>
      </c>
      <c r="Q43" s="20">
        <f t="shared" si="53"/>
        <v>394.20795870969431</v>
      </c>
      <c r="R43" s="59">
        <f t="shared" si="0"/>
        <v>642.02097252881515</v>
      </c>
      <c r="S43" s="59">
        <f ca="1">AVERAGE(OFFSET($R$3,0,0,'Données projet'!$E$9+1,1))-AVERAGE(OFFSET($H$3,0,0,'Données projet'!$E$9+1,1))</f>
        <v>318.50474972254085</v>
      </c>
      <c r="T43" s="59">
        <f t="shared" si="34"/>
        <v>326.45858332753562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28.328621506045867</v>
      </c>
      <c r="AA43" s="21">
        <f>EXP(-LN(2)/25)*AA42+(1-EXP(-LN(2)/25))/(LN(2)/25)*Calculateur!V43*Calculateur!X43*VLOOKUP('Données projet'!$B$9,Paramètres!$A$1:$I$89,3,0)*0.475*44/12</f>
        <v>16.413875053363952</v>
      </c>
      <c r="AB43" s="21">
        <f>EXP(-LN(2)/2)*AB42+(1-EXP(-LN(2)/2))/(LN(2)/2)*V43*Y43*VLOOKUP('Données projet'!$B$9,Paramètres!$A$1:$I$89,3,0)*0.475*44/12</f>
        <v>2.8009304448982686</v>
      </c>
      <c r="AC43" s="22">
        <f t="shared" si="3"/>
        <v>47.543427004308086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7.7715686274509812</v>
      </c>
      <c r="AI43" s="13">
        <f>IF('Données projet'!$A$62&gt;35,AI42+AH43-AQ42,IF(A43&lt;'Données projet'!$A$62,$AF$205^A43,IF(A43='Données projet'!$A$62,'Données projet'!$B$62,AI42+AH43-AQ42)))</f>
        <v>310.86274509803917</v>
      </c>
      <c r="AJ43" s="13">
        <f>AI43*VLOOKUP('Données projet'!$B$10,Paramètres!$A$1:$I$89,3,0)*VLOOKUP('Données projet'!$B$10,Paramètres!$A$1:$I$89,5,0)</f>
        <v>145.48376470588232</v>
      </c>
      <c r="AK43" s="13">
        <f t="shared" si="35"/>
        <v>37.550436028495511</v>
      </c>
      <c r="AL43" s="20">
        <f t="shared" si="4"/>
        <v>318.78456627904137</v>
      </c>
      <c r="AM43" s="59">
        <f t="shared" si="5"/>
        <v>566.59758009816221</v>
      </c>
      <c r="AN43" s="59">
        <f ca="1">AVERAGE(OFFSET($AM$3,0,0,'Données projet'!$E$10+1,1))-AVERAGE(OFFSET($H$3,0,0,'Données projet'!$E$10+1,1))</f>
        <v>374.38106339726073</v>
      </c>
      <c r="AO43" s="59">
        <f t="shared" si="36"/>
        <v>296.53283288925957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4.0942857142857143</v>
      </c>
      <c r="BD43" s="12">
        <f>IF('Données projet'!$A$88&gt;35,BD42+BC43-BL42,IF(A43&lt;'Données projet'!$A$88,$BA$205^A43,IF(A43='Données projet'!$A$88,'Données projet'!$B$88,BD42+BC43-BL42)))</f>
        <v>163.77142857142869</v>
      </c>
      <c r="BE43" s="13">
        <f>BD43*VLOOKUP('Données projet'!$B$11,Paramètres!$A$1:$I$89,3,0)*VLOOKUP('Données projet'!$B$11,Paramètres!$A$1:$I$89,5,0)</f>
        <v>148.18038857142867</v>
      </c>
      <c r="BF43" s="13">
        <f t="shared" si="37"/>
        <v>38.16477912369308</v>
      </c>
      <c r="BG43" s="20">
        <f t="shared" si="7"/>
        <v>324.55116706900372</v>
      </c>
      <c r="BH43" s="59">
        <f t="shared" si="8"/>
        <v>572.36418088812457</v>
      </c>
      <c r="BI43" s="59">
        <f ca="1">AVERAGE(OFFSET($BH$3,0,0,'Données projet'!$E$11+1,1))-AVERAGE(OFFSET($H$3,0,0,'Données projet'!$E$11+1,1))</f>
        <v>681.47578137804555</v>
      </c>
      <c r="BJ43" s="59">
        <f t="shared" si="38"/>
        <v>300.88511065995885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107.69230769230768</v>
      </c>
      <c r="BW43" s="12">
        <f>VLOOKUP(A43,'Données projet'!$A$113:$I$133,9,0)</f>
        <v>4.9999999999999973</v>
      </c>
      <c r="BX43" s="12">
        <f t="array" ref="BX43">INDEX(BW:BW,MIN(IF(ISNUMBER(BW43:BW239),ROW(BW43:BW239),"")))</f>
        <v>4.9999999999999973</v>
      </c>
      <c r="BY43" s="12">
        <f>IF('Données projet'!$A$114&gt;35,BY42+BX43-CG42,IF(A43&lt;'Données projet'!$A$114,$BV$205^A43,IF(A43='Données projet'!$A$114,'Données projet'!$B$114,BY42+BX43-CG42)))</f>
        <v>107.69230769230771</v>
      </c>
      <c r="BZ43" s="13">
        <f>BY43*VLOOKUP('Données projet'!$B$12,Paramètres!$A$1:$I$89,3,0)*VLOOKUP('Données projet'!$B$12,Paramètres!$A$1:$I$89,5,0)</f>
        <v>112.56000000000003</v>
      </c>
      <c r="CA43" s="13">
        <f t="shared" si="39"/>
        <v>29.933330570949426</v>
      </c>
      <c r="CB43" s="20">
        <f t="shared" si="10"/>
        <v>248.17588407773692</v>
      </c>
      <c r="CC43" s="59">
        <f t="shared" si="11"/>
        <v>495.98889789685774</v>
      </c>
      <c r="CD43" s="59">
        <f ca="1">AVERAGE(OFFSET($CC$3,0,0,'Données projet'!$E$12+1,1))-AVERAGE(OFFSET($H$3,0,0,'Données projet'!$E$12+1,1))</f>
        <v>290.69667785754848</v>
      </c>
      <c r="CE43" s="59">
        <f t="shared" si="40"/>
        <v>256.28124185489082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14.743589743589743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0.215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15.989202528559741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15.989202528559741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228</v>
      </c>
      <c r="CR43" s="12">
        <f>VLOOKUP(A43,'Données projet'!$A$139:$I$159,9,0)</f>
        <v>11.4</v>
      </c>
      <c r="CS43" s="12">
        <f t="array" ref="CS43">INDEX(CR:CR,MIN(IF(ISNUMBER(CR43:CR239),ROW(CR43:CR239),"")))</f>
        <v>11.4</v>
      </c>
      <c r="CT43" s="12">
        <f>IF('Données projet'!$A$140&gt;35,CT42+CS43-DB42,IF(A43&lt;'Données projet'!$A$140,$CQ$205^A43,IF(A43='Données projet'!$A$140,'Données projet'!$B$140,CT42+CS43-DB42)))</f>
        <v>228</v>
      </c>
      <c r="CU43" s="17">
        <f>CT43*VLOOKUP('Données projet'!$B$13,Paramètres!$A$1:$I$89,3,0)*VLOOKUP('Données projet'!$B$13,Paramètres!$A$1:$I$89,5,0)</f>
        <v>199.1808</v>
      </c>
      <c r="CV43" s="13">
        <f t="shared" si="41"/>
        <v>49.564089376413683</v>
      </c>
      <c r="CW43" s="20">
        <f t="shared" si="13"/>
        <v>433.23068233058711</v>
      </c>
      <c r="CX43" s="59">
        <f t="shared" si="14"/>
        <v>681.0436961497079</v>
      </c>
      <c r="CY43" s="59">
        <f ca="1">AVERAGE(OFFSET($CX$3,0,0,'Données projet'!$E$13+1,1))-AVERAGE(OFFSET($H$3,0,0,'Données projet'!$E$13+1,1))</f>
        <v>408.246209980743</v>
      </c>
      <c r="CZ43" s="59">
        <f t="shared" si="42"/>
        <v>394.10236303013903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35</v>
      </c>
      <c r="DC43" s="16">
        <f>IF(ISNA(VLOOKUP(A43,'Données projet'!$A$139:$I$159,5,0)),0%,VLOOKUP(A43,'Données projet'!$A$139:$I$159,5,0)*VLOOKUP('Données projet'!$B$13,Paramètres!$A$1:$I$89,7,0))</f>
        <v>0.13250000000000001</v>
      </c>
      <c r="DD43" s="16">
        <f>IF(ISNA(VLOOKUP(A43,'Données projet'!$A$139:$I$159,6,0)),0%,VLOOKUP(A43,'Données projet'!$A$139:$I$159,6,0)*VLOOKUP('Données projet'!$B$13,Paramètres!$A$1:$I$89,7,0))</f>
        <v>0.13250000000000001</v>
      </c>
      <c r="DE43" s="16">
        <f>IF(ISNA(VLOOKUP(A43,'Données projet'!$A$139:$I$159,7,0)),0%,VLOOKUP(A43,'Données projet'!$A$139:$I$159,7,0))</f>
        <v>0.25</v>
      </c>
      <c r="DF43" s="21">
        <f>EXP(-LN(2)/35)*DF42+(1-EXP(-LN(2)/35))/(LN(2)/35)*DB43*DC43*VLOOKUP('Données projet'!$B$13,Paramètres!$A$1:$I$89,3,0)*0.475*44/12</f>
        <v>12.208966796363363</v>
      </c>
      <c r="DG43" s="21">
        <f>EXP(-LN(2)/25)*DG42+(1-EXP(-LN(2)/25))/(LN(2)/25)*Calculateur!DB43*Calculateur!DD43*VLOOKUP('Données projet'!$B$13,Paramètres!$A$1:$I$89,3,0)*0.475*44/12</f>
        <v>19.269894900657576</v>
      </c>
      <c r="DH43" s="21">
        <f>EXP(-LN(2)/2)*DH42+(1-EXP(-LN(2)/2))/(LN(2)/2)*DB43*DE43*VLOOKUP('Données projet'!$B$13,Paramètres!$A$1:$I$89,3,0)*0.475*44/12</f>
        <v>8.7606992363018037</v>
      </c>
      <c r="DI43" s="22">
        <f t="shared" si="15"/>
        <v>40.239560933322743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22.851428571428578</v>
      </c>
      <c r="DO43" s="12">
        <f>IF('Données projet'!$A$166&gt;35,DO42+DN43-DW42,IF(A43&lt;'Données projet'!$A$166,$DL$205^A43,IF(A43='Données projet'!$A$166,'Données projet'!$B$166,DO42+DN43-DW42)))</f>
        <v>404.7871428571429</v>
      </c>
      <c r="DP43" s="17">
        <f>DO43*VLOOKUP('Données projet'!$B$14,Paramètres!$A$1:$I$89,3,0)*VLOOKUP('Données projet'!$B$14,Paramètres!$A$1:$I$89,5,0)</f>
        <v>226.27601285714289</v>
      </c>
      <c r="DQ43" s="13">
        <f t="shared" si="43"/>
        <v>55.476705055614268</v>
      </c>
      <c r="DR43" s="20">
        <f t="shared" si="16"/>
        <v>490.71931703138534</v>
      </c>
      <c r="DS43" s="59">
        <f t="shared" si="17"/>
        <v>738.53233085050613</v>
      </c>
      <c r="DT43" s="59">
        <f ca="1">AVERAGE(OFFSET($DS$3,0,0,'Données projet'!$E$14+1,1))-AVERAGE(OFFSET($H$3,0,0,'Données projet'!$E$14+1,1))</f>
        <v>407.05634973057056</v>
      </c>
      <c r="DU43" s="59">
        <f t="shared" si="44"/>
        <v>375.32891954889965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29.175480328815595</v>
      </c>
      <c r="EB43" s="21">
        <f>EXP(-LN(2)/25)*EB42+(1-EXP(-LN(2)/25))/(LN(2)/25)*Calculateur!DW43*Calculateur!DY43*VLOOKUP('Données projet'!$B$14,Paramètres!$A$1:$I$89,3,0)*0.475*44/12</f>
        <v>19.155753736917706</v>
      </c>
      <c r="EC43" s="21">
        <f>EXP(-LN(2)/2)*EC42+(1-EXP(-LN(2)/2))/(LN(2)/2)*DW43*DZ43*VLOOKUP('Données projet'!$B$14,Paramètres!$A$1:$I$89,3,0)*0.475*44/12</f>
        <v>2.2157332878571872</v>
      </c>
      <c r="ED43" s="22">
        <f t="shared" si="18"/>
        <v>50.546967353590489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440</v>
      </c>
      <c r="EH43" s="12">
        <f>VLOOKUP(A43,'Données projet'!$A$191:$I$211,9,0)</f>
        <v>25.4</v>
      </c>
      <c r="EI43" s="12">
        <f t="array" ref="EI43">INDEX(EH:EH,MIN(IF(ISNUMBER(EH43:EH239),ROW(EH43:EH239),"")))</f>
        <v>25.4</v>
      </c>
      <c r="EJ43" s="12">
        <f>IF('Données projet'!$A$192&gt;35,EJ42+EI43-ER42,IF(A43&lt;'Données projet'!$A$192,$EG$205^A43,IF(A43='Données projet'!$A$192,'Données projet'!$B$192,EJ42+EI43-ER42)))</f>
        <v>439.99999999999994</v>
      </c>
      <c r="EK43" s="17">
        <f>EJ43*VLOOKUP('Données projet'!$B$15,Paramètres!$A$1:$I$89,3,0)*VLOOKUP('Données projet'!$B$15,Paramètres!$A$1:$I$89,5,0)</f>
        <v>194.48</v>
      </c>
      <c r="EL43" s="13">
        <f t="shared" si="45"/>
        <v>48.529069813916593</v>
      </c>
      <c r="EM43" s="20">
        <f t="shared" si="19"/>
        <v>423.24079659257137</v>
      </c>
      <c r="EN43" s="59">
        <f t="shared" si="20"/>
        <v>671.05381041169221</v>
      </c>
      <c r="EO43" s="59">
        <f ca="1">AVERAGE(OFFSET($EN$3,0,0,'Données projet'!$E$15+1,1))-AVERAGE(OFFSET($H$3,0,0,'Données projet'!$E$15+1,1))</f>
        <v>418.28022549686278</v>
      </c>
      <c r="EP43" s="59">
        <f t="shared" si="46"/>
        <v>354.55070454517158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63</v>
      </c>
      <c r="ES43" s="16">
        <f>IF(ISNA(VLOOKUP(A43,'Données projet'!$A$191:$I$211,5,0)),0%,VLOOKUP(A43,'Données projet'!$A$191:$I$211,5,0)*VLOOKUP('Données projet'!$B$15,Paramètres!$A$1:$I$89,7,0))</f>
        <v>0.13750000000000001</v>
      </c>
      <c r="ET43" s="16">
        <f>IF(ISNA(VLOOKUP(A43,'Données projet'!$A$191:$I$211,6,0)),0%,VLOOKUP(A43,'Données projet'!$A$191:$I$211,6,0)*VLOOKUP('Données projet'!$B$15,Paramètres!$A$1:$I$89,7,0))</f>
        <v>0.20350000000000001</v>
      </c>
      <c r="EU43" s="16">
        <f>IF(ISNA(VLOOKUP(A43,'Données projet'!$A$191:$I$211,7,0)),0%,VLOOKUP(A43,'Données projet'!$A$191:$I$211,7,0))</f>
        <v>0.38</v>
      </c>
      <c r="EV43" s="21">
        <f>EXP(-LN(2)/35)*EV42+(1-EXP(-LN(2)/35))/(LN(2)/35)*ER43*ES43*VLOOKUP('Données projet'!$B$15,Paramètres!$A$1:$I$89,3,0)*0.475*44/12</f>
        <v>17.89124438383887</v>
      </c>
      <c r="EW43" s="21">
        <f>EXP(-LN(2)/25)*EW42+(1-EXP(-LN(2)/25))/(LN(2)/25)*Calculateur!ER43*Calculateur!ET43*VLOOKUP('Données projet'!$B$15,Paramètres!$A$1:$I$89,3,0)*0.475*44/12</f>
        <v>24.961733797911599</v>
      </c>
      <c r="EX43" s="21">
        <f>EXP(-LN(2)/2)*EX42+(1-EXP(-LN(2)/2))/(LN(2)/2)*ER43*EU43*VLOOKUP('Données projet'!$B$15,Paramètres!$A$1:$I$89,3,0)*0.475*44/12</f>
        <v>14.54011063847739</v>
      </c>
      <c r="EY43" s="22">
        <f t="shared" si="21"/>
        <v>57.39308882022786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3.3603333333333336</v>
      </c>
      <c r="FE43" s="12">
        <f>IF('Données projet'!$A$218&gt;35,FE42+FD43-FM42,IF(A43&lt;'Données projet'!$A$218,$FB$205^A43,IF(A43='Données projet'!$A$218,'Données projet'!$B$218,FE42+FD43-FM42)))</f>
        <v>134.4133333333333</v>
      </c>
      <c r="FF43" s="17">
        <f>FE43*VLOOKUP('Données projet'!$B$16,Paramètres!$A$1:$I$89,3,0)*VLOOKUP('Données projet'!$B$16,Paramètres!$A$1:$I$89,5,0)</f>
        <v>153.06990399999998</v>
      </c>
      <c r="FG43" s="13">
        <f t="shared" si="47"/>
        <v>39.275407599099857</v>
      </c>
      <c r="FH43" s="20">
        <f t="shared" si="22"/>
        <v>335.00141770176555</v>
      </c>
      <c r="FI43" s="59">
        <f t="shared" si="23"/>
        <v>582.81443152088639</v>
      </c>
      <c r="FJ43" s="59">
        <f ca="1">AVERAGE(OFFSET($FI$3,0,0,'Données projet'!$E$16+1,1))-AVERAGE(OFFSET($H$3,0,0,'Données projet'!$E$16+1,1))</f>
        <v>640.05156427113661</v>
      </c>
      <c r="FK43" s="59">
        <f t="shared" si="48"/>
        <v>308.77220155372902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16.583750000000002</v>
      </c>
      <c r="N44" s="13">
        <f>IF('Données projet'!$A$36&gt;35,N43+M44-V43,IF(A44&lt;'Données projet'!$A$36,$K$205^A44,IF(A44='Données projet'!$A$36,'Données projet'!$B$36,N43+M44-V43)))</f>
        <v>318.97875000000005</v>
      </c>
      <c r="O44" s="13">
        <f>N44*VLOOKUP('Données projet'!$B$9,Paramètres!$A$1:$I$89,3,0)*VLOOKUP('Données projet'!$B$9,Paramètres!$A$1:$I$89,5,0)</f>
        <v>190.74929250000002</v>
      </c>
      <c r="P44" s="13">
        <f t="shared" si="33"/>
        <v>47.705572818216723</v>
      </c>
      <c r="Q44" s="20">
        <f t="shared" si="53"/>
        <v>415.30889042922746</v>
      </c>
      <c r="R44" s="59">
        <f t="shared" si="0"/>
        <v>663.9115800237314</v>
      </c>
      <c r="S44" s="59">
        <f ca="1">AVERAGE(OFFSET($R$3,0,0,'Données projet'!$E$9+1,1))-AVERAGE(OFFSET($H$3,0,0,'Données projet'!$E$9+1,1))</f>
        <v>318.50474972254085</v>
      </c>
      <c r="T44" s="59">
        <f t="shared" si="34"/>
        <v>326.45858332753562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27.773114517065292</v>
      </c>
      <c r="AA44" s="21">
        <f>EXP(-LN(2)/25)*AA43+(1-EXP(-LN(2)/25))/(LN(2)/25)*Calculateur!V44*Calculateur!X44*VLOOKUP('Données projet'!$B$9,Paramètres!$A$1:$I$89,3,0)*0.475*44/12</f>
        <v>15.96503677686154</v>
      </c>
      <c r="AB44" s="21">
        <f>EXP(-LN(2)/2)*AB43+(1-EXP(-LN(2)/2))/(LN(2)/2)*V44*Y44*VLOOKUP('Données projet'!$B$9,Paramètres!$A$1:$I$89,3,0)*0.475*44/12</f>
        <v>1.9805569112194195</v>
      </c>
      <c r="AC44" s="22">
        <f t="shared" si="3"/>
        <v>45.71870820514625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7.7715686274509812</v>
      </c>
      <c r="AI44" s="13">
        <f>IF('Données projet'!$A$62&gt;35,AI43+AH44-AQ43,IF(A44&lt;'Données projet'!$A$62,$AF$205^A44,IF(A44='Données projet'!$A$62,'Données projet'!$B$62,AI43+AH44-AQ43)))</f>
        <v>318.63431372549013</v>
      </c>
      <c r="AJ44" s="13">
        <f>AI44*VLOOKUP('Données projet'!$B$10,Paramètres!$A$1:$I$89,3,0)*VLOOKUP('Données projet'!$B$10,Paramètres!$A$1:$I$89,5,0)</f>
        <v>149.12085882352937</v>
      </c>
      <c r="AK44" s="13">
        <f t="shared" si="35"/>
        <v>38.378729335686863</v>
      </c>
      <c r="AL44" s="20">
        <f t="shared" si="4"/>
        <v>326.56178271063499</v>
      </c>
      <c r="AM44" s="59">
        <f t="shared" si="5"/>
        <v>575.16447230513893</v>
      </c>
      <c r="AN44" s="59">
        <f ca="1">AVERAGE(OFFSET($AM$3,0,0,'Données projet'!$E$10+1,1))-AVERAGE(OFFSET($H$3,0,0,'Données projet'!$E$10+1,1))</f>
        <v>374.38106339726073</v>
      </c>
      <c r="AO44" s="59">
        <f t="shared" si="36"/>
        <v>296.53283288925957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4.0942857142857143</v>
      </c>
      <c r="BD44" s="12">
        <f>IF('Données projet'!$A$88&gt;35,BD43+BC44-BL43,IF(A44&lt;'Données projet'!$A$88,$BA$205^A44,IF(A44='Données projet'!$A$88,'Données projet'!$B$88,BD43+BC44-BL43)))</f>
        <v>167.8657142857144</v>
      </c>
      <c r="BE44" s="13">
        <f>BD44*VLOOKUP('Données projet'!$B$11,Paramètres!$A$1:$I$89,3,0)*VLOOKUP('Données projet'!$B$11,Paramètres!$A$1:$I$89,5,0)</f>
        <v>151.88489828571437</v>
      </c>
      <c r="BF44" s="13">
        <f t="shared" si="37"/>
        <v>39.006623705593562</v>
      </c>
      <c r="BG44" s="20">
        <f t="shared" si="7"/>
        <v>332.46940080152797</v>
      </c>
      <c r="BH44" s="59">
        <f t="shared" si="8"/>
        <v>581.07209039603197</v>
      </c>
      <c r="BI44" s="59">
        <f ca="1">AVERAGE(OFFSET($BH$3,0,0,'Données projet'!$E$11+1,1))-AVERAGE(OFFSET($H$3,0,0,'Données projet'!$E$11+1,1))</f>
        <v>681.47578137804555</v>
      </c>
      <c r="BJ44" s="59">
        <f t="shared" si="38"/>
        <v>300.88511065995885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4.487179487179489</v>
      </c>
      <c r="BY44" s="12">
        <f>IF('Données projet'!$A$114&gt;35,BY43+BX44-CG43,IF(A44&lt;'Données projet'!$A$114,$BV$205^A44,IF(A44='Données projet'!$A$114,'Données projet'!$B$114,BY43+BX44-CG43)))</f>
        <v>97.435897435897459</v>
      </c>
      <c r="BZ44" s="13">
        <f>BY44*VLOOKUP('Données projet'!$B$12,Paramètres!$A$1:$I$89,3,0)*VLOOKUP('Données projet'!$B$12,Paramètres!$A$1:$I$89,5,0)</f>
        <v>101.84000000000003</v>
      </c>
      <c r="CA44" s="13">
        <f t="shared" si="39"/>
        <v>27.399885933503842</v>
      </c>
      <c r="CB44" s="20">
        <f t="shared" si="10"/>
        <v>225.09280133418588</v>
      </c>
      <c r="CC44" s="59">
        <f t="shared" si="11"/>
        <v>473.69549092868988</v>
      </c>
      <c r="CD44" s="59">
        <f ca="1">AVERAGE(OFFSET($CC$3,0,0,'Données projet'!$E$12+1,1))-AVERAGE(OFFSET($H$3,0,0,'Données projet'!$E$12+1,1))</f>
        <v>290.69667785754848</v>
      </c>
      <c r="CE44" s="59">
        <f t="shared" si="40"/>
        <v>256.28124185489082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15.551976944580657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15.551976944580657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202.8</v>
      </c>
      <c r="CU44" s="17">
        <f>CT44*VLOOKUP('Données projet'!$B$13,Paramètres!$A$1:$I$89,3,0)*VLOOKUP('Données projet'!$B$13,Paramètres!$A$1:$I$89,5,0)</f>
        <v>177.16608000000002</v>
      </c>
      <c r="CV44" s="13">
        <f t="shared" si="41"/>
        <v>44.691110042101649</v>
      </c>
      <c r="CW44" s="20">
        <f t="shared" si="13"/>
        <v>386.40127265666041</v>
      </c>
      <c r="CX44" s="59">
        <f t="shared" si="14"/>
        <v>635.00396225116435</v>
      </c>
      <c r="CY44" s="59">
        <f ca="1">AVERAGE(OFFSET($CX$3,0,0,'Données projet'!$E$13+1,1))-AVERAGE(OFFSET($H$3,0,0,'Données projet'!$E$13+1,1))</f>
        <v>408.246209980743</v>
      </c>
      <c r="CZ44" s="59">
        <f t="shared" si="42"/>
        <v>394.10236303013903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11.96955640422112</v>
      </c>
      <c r="DG44" s="21">
        <f>EXP(-LN(2)/25)*DG43+(1-EXP(-LN(2)/25))/(LN(2)/25)*Calculateur!DB44*Calculateur!DD44*VLOOKUP('Données projet'!$B$13,Paramètres!$A$1:$I$89,3,0)*0.475*44/12</f>
        <v>18.742958611239363</v>
      </c>
      <c r="DH44" s="21">
        <f>EXP(-LN(2)/2)*DH43+(1-EXP(-LN(2)/2))/(LN(2)/2)*DB44*DE44*VLOOKUP('Données projet'!$B$13,Paramètres!$A$1:$I$89,3,0)*0.475*44/12</f>
        <v>6.1947498379248138</v>
      </c>
      <c r="DI44" s="22">
        <f t="shared" si="15"/>
        <v>36.9072648533853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22.851428571428578</v>
      </c>
      <c r="DO44" s="12">
        <f>IF('Données projet'!$A$166&gt;35,DO43+DN44-DW43,IF(A44&lt;'Données projet'!$A$166,$DL$205^A44,IF(A44='Données projet'!$A$166,'Données projet'!$B$166,DO43+DN44-DW43)))</f>
        <v>427.63857142857148</v>
      </c>
      <c r="DP44" s="17">
        <f>DO44*VLOOKUP('Données projet'!$B$14,Paramètres!$A$1:$I$89,3,0)*VLOOKUP('Données projet'!$B$14,Paramètres!$A$1:$I$89,5,0)</f>
        <v>239.04996142857144</v>
      </c>
      <c r="DQ44" s="13">
        <f t="shared" si="43"/>
        <v>58.235077894233235</v>
      </c>
      <c r="DR44" s="20">
        <f t="shared" si="16"/>
        <v>517.77144348721811</v>
      </c>
      <c r="DS44" s="59">
        <f t="shared" si="17"/>
        <v>766.37413308172211</v>
      </c>
      <c r="DT44" s="59">
        <f ca="1">AVERAGE(OFFSET($DS$3,0,0,'Données projet'!$E$14+1,1))-AVERAGE(OFFSET($H$3,0,0,'Données projet'!$E$14+1,1))</f>
        <v>407.05634973057056</v>
      </c>
      <c r="DU44" s="59">
        <f t="shared" si="44"/>
        <v>375.32891954889965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28.603366954853385</v>
      </c>
      <c r="EB44" s="21">
        <f>EXP(-LN(2)/25)*EB43+(1-EXP(-LN(2)/25))/(LN(2)/25)*Calculateur!DW44*Calculateur!DY44*VLOOKUP('Données projet'!$B$14,Paramètres!$A$1:$I$89,3,0)*0.475*44/12</f>
        <v>18.631938643624384</v>
      </c>
      <c r="EC44" s="21">
        <f>EXP(-LN(2)/2)*EC43+(1-EXP(-LN(2)/2))/(LN(2)/2)*DW44*DZ44*VLOOKUP('Données projet'!$B$14,Paramètres!$A$1:$I$89,3,0)*0.475*44/12</f>
        <v>1.5667600331445817</v>
      </c>
      <c r="ED44" s="22">
        <f t="shared" si="18"/>
        <v>48.802065631622348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24.2</v>
      </c>
      <c r="EJ44" s="12">
        <f>IF('Données projet'!$A$192&gt;35,EJ43+EI44-ER43,IF(A44&lt;'Données projet'!$A$192,$EG$205^A44,IF(A44='Données projet'!$A$192,'Données projet'!$B$192,EJ43+EI44-ER43)))</f>
        <v>401.19999999999993</v>
      </c>
      <c r="EK44" s="17">
        <f>EJ44*VLOOKUP('Données projet'!$B$15,Paramètres!$A$1:$I$89,3,0)*VLOOKUP('Données projet'!$B$15,Paramètres!$A$1:$I$89,5,0)</f>
        <v>177.3304</v>
      </c>
      <c r="EL44" s="13">
        <f t="shared" si="45"/>
        <v>44.72773383028116</v>
      </c>
      <c r="EM44" s="20">
        <f t="shared" si="19"/>
        <v>386.75124975440627</v>
      </c>
      <c r="EN44" s="59">
        <f t="shared" si="20"/>
        <v>635.35393934891022</v>
      </c>
      <c r="EO44" s="59">
        <f ca="1">AVERAGE(OFFSET($EN$3,0,0,'Données projet'!$E$15+1,1))-AVERAGE(OFFSET($H$3,0,0,'Données projet'!$E$15+1,1))</f>
        <v>418.28022549686278</v>
      </c>
      <c r="EP44" s="59">
        <f t="shared" si="46"/>
        <v>354.55070454517158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17.540407994053336</v>
      </c>
      <c r="EW44" s="21">
        <f>EXP(-LN(2)/25)*EW43+(1-EXP(-LN(2)/25))/(LN(2)/25)*Calculateur!ER44*Calculateur!ET44*VLOOKUP('Données projet'!$B$15,Paramètres!$A$1:$I$89,3,0)*0.475*44/12</f>
        <v>24.279153874527175</v>
      </c>
      <c r="EX44" s="21">
        <f>EXP(-LN(2)/2)*EX43+(1-EXP(-LN(2)/2))/(LN(2)/2)*ER44*EU44*VLOOKUP('Données projet'!$B$15,Paramètres!$A$1:$I$89,3,0)*0.475*44/12</f>
        <v>10.281410831670025</v>
      </c>
      <c r="EY44" s="22">
        <f t="shared" si="21"/>
        <v>52.10097270025053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3.3603333333333336</v>
      </c>
      <c r="FE44" s="12">
        <f>IF('Données projet'!$A$218&gt;35,FE43+FD44-FM43,IF(A44&lt;'Données projet'!$A$218,$FB$205^A44,IF(A44='Données projet'!$A$218,'Données projet'!$B$218,FE43+FD44-FM43)))</f>
        <v>137.77366666666663</v>
      </c>
      <c r="FF44" s="17">
        <f>FE44*VLOOKUP('Données projet'!$B$16,Paramètres!$A$1:$I$89,3,0)*VLOOKUP('Données projet'!$B$16,Paramètres!$A$1:$I$89,5,0)</f>
        <v>156.89665159999996</v>
      </c>
      <c r="FG44" s="13">
        <f t="shared" si="47"/>
        <v>40.141750595140159</v>
      </c>
      <c r="FH44" s="20">
        <f t="shared" si="22"/>
        <v>343.17521715653567</v>
      </c>
      <c r="FI44" s="59">
        <f t="shared" si="23"/>
        <v>591.77790675103961</v>
      </c>
      <c r="FJ44" s="59">
        <f ca="1">AVERAGE(OFFSET($FI$3,0,0,'Données projet'!$E$16+1,1))-AVERAGE(OFFSET($H$3,0,0,'Données projet'!$E$16+1,1))</f>
        <v>640.05156427113661</v>
      </c>
      <c r="FK44" s="59">
        <f t="shared" si="48"/>
        <v>308.77220155372902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16.583750000000002</v>
      </c>
      <c r="N45" s="13">
        <f>IF('Données projet'!$A$36&gt;35,N44+M45-V44,IF(A45&lt;'Données projet'!$A$36,$K$205^A45,IF(A45='Données projet'!$A$36,'Données projet'!$B$36,N44+M45-V44)))</f>
        <v>335.56250000000006</v>
      </c>
      <c r="O45" s="13">
        <f>N45*VLOOKUP('Données projet'!$B$9,Paramètres!$A$1:$I$89,3,0)*VLOOKUP('Données projet'!$B$9,Paramètres!$A$1:$I$89,5,0)</f>
        <v>200.66637500000007</v>
      </c>
      <c r="P45" s="13">
        <f t="shared" si="33"/>
        <v>49.890588417680917</v>
      </c>
      <c r="Q45" s="20">
        <f t="shared" si="53"/>
        <v>436.38671128579443</v>
      </c>
      <c r="R45" s="59">
        <f t="shared" si="0"/>
        <v>685.76537754642914</v>
      </c>
      <c r="S45" s="59">
        <f ca="1">AVERAGE(OFFSET($R$3,0,0,'Données projet'!$E$9+1,1))-AVERAGE(OFFSET($H$3,0,0,'Données projet'!$E$9+1,1))</f>
        <v>318.50474972254085</v>
      </c>
      <c r="T45" s="59">
        <f t="shared" si="34"/>
        <v>326.45858332753562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27.228500681312816</v>
      </c>
      <c r="AA45" s="21">
        <f>EXP(-LN(2)/25)*AA44+(1-EXP(-LN(2)/25))/(LN(2)/25)*Calculateur!V45*Calculateur!X45*VLOOKUP('Données projet'!$B$9,Paramètres!$A$1:$I$89,3,0)*0.475*44/12</f>
        <v>15.528472006633466</v>
      </c>
      <c r="AB45" s="21">
        <f>EXP(-LN(2)/2)*AB44+(1-EXP(-LN(2)/2))/(LN(2)/2)*V45*Y45*VLOOKUP('Données projet'!$B$9,Paramètres!$A$1:$I$89,3,0)*0.475*44/12</f>
        <v>1.4004652224491345</v>
      </c>
      <c r="AC45" s="22">
        <f t="shared" si="3"/>
        <v>44.157437910395416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7.7715686274509812</v>
      </c>
      <c r="AI45" s="13">
        <f>IF('Données projet'!$A$62&gt;35,AI44+AH45-AQ44,IF(A45&lt;'Données projet'!$A$62,$AF$205^A45,IF(A45='Données projet'!$A$62,'Données projet'!$B$62,AI44+AH45-AQ44)))</f>
        <v>326.40588235294109</v>
      </c>
      <c r="AJ45" s="13">
        <f>AI45*VLOOKUP('Données projet'!$B$10,Paramètres!$A$1:$I$89,3,0)*VLOOKUP('Données projet'!$B$10,Paramètres!$A$1:$I$89,5,0)</f>
        <v>152.75795294117643</v>
      </c>
      <c r="AK45" s="13">
        <f t="shared" si="35"/>
        <v>39.204674186786249</v>
      </c>
      <c r="AL45" s="20">
        <f t="shared" si="4"/>
        <v>334.33490891453494</v>
      </c>
      <c r="AM45" s="59">
        <f t="shared" si="5"/>
        <v>583.71357517516969</v>
      </c>
      <c r="AN45" s="59">
        <f ca="1">AVERAGE(OFFSET($AM$3,0,0,'Données projet'!$E$10+1,1))-AVERAGE(OFFSET($H$3,0,0,'Données projet'!$E$10+1,1))</f>
        <v>374.38106339726073</v>
      </c>
      <c r="AO45" s="59">
        <f t="shared" si="36"/>
        <v>296.53283288925957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4.0942857142857143</v>
      </c>
      <c r="BC45" s="12">
        <f t="array" ref="BC45">INDEX(BB:BB,MIN(IF(ISNUMBER(BB45:BB241),ROW(BB45:BB241),"")))</f>
        <v>4.0942857142857143</v>
      </c>
      <c r="BD45" s="12">
        <f>IF('Données projet'!$A$88&gt;35,BD44+BC45-BL44,IF(A45&lt;'Données projet'!$A$88,$BA$205^A45,IF(A45='Données projet'!$A$88,'Données projet'!$B$88,BD44+BC45-BL44)))</f>
        <v>171.96000000000012</v>
      </c>
      <c r="BE45" s="13">
        <f>BD45*VLOOKUP('Données projet'!$B$11,Paramètres!$A$1:$I$89,3,0)*VLOOKUP('Données projet'!$B$11,Paramètres!$A$1:$I$89,5,0)</f>
        <v>155.58940800000011</v>
      </c>
      <c r="BF45" s="13">
        <f t="shared" si="37"/>
        <v>39.846081409537142</v>
      </c>
      <c r="BG45" s="20">
        <f t="shared" si="7"/>
        <v>340.3834773882773</v>
      </c>
      <c r="BH45" s="59">
        <f t="shared" si="8"/>
        <v>589.762143648912</v>
      </c>
      <c r="BI45" s="59">
        <f ca="1">AVERAGE(OFFSET($BH$3,0,0,'Données projet'!$E$11+1,1))-AVERAGE(OFFSET($H$3,0,0,'Données projet'!$E$11+1,1))</f>
        <v>681.47578137804555</v>
      </c>
      <c r="BJ45" s="59">
        <f t="shared" si="38"/>
        <v>300.88511065995885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44.510000000000005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0.34400000000000003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15.254654682209745</v>
      </c>
      <c r="BR45" s="21">
        <f>EXP(-LN(2)/2)*BR44+(1-EXP(-LN(2)/2))/(LN(2)/2)*BL45*BO45*VLOOKUP('Données projet'!$B$11,Paramètres!$A$1:$I$89,3,0)*0.475*44/12</f>
        <v>7.599665462085774</v>
      </c>
      <c r="BS45" s="22">
        <f t="shared" si="9"/>
        <v>22.854320144295521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4.487179487179489</v>
      </c>
      <c r="BY45" s="12">
        <f>IF('Données projet'!$A$114&gt;35,BY44+BX45-CG44,IF(A45&lt;'Données projet'!$A$114,$BV$205^A45,IF(A45='Données projet'!$A$114,'Données projet'!$B$114,BY44+BX45-CG44)))</f>
        <v>101.92307692307695</v>
      </c>
      <c r="BZ45" s="13">
        <f>BY45*VLOOKUP('Données projet'!$B$12,Paramètres!$A$1:$I$89,3,0)*VLOOKUP('Données projet'!$B$12,Paramètres!$A$1:$I$89,5,0)</f>
        <v>106.53000000000004</v>
      </c>
      <c r="CA45" s="13">
        <f t="shared" si="39"/>
        <v>28.511906593363467</v>
      </c>
      <c r="CB45" s="20">
        <f t="shared" si="10"/>
        <v>235.19798731677477</v>
      </c>
      <c r="CC45" s="59">
        <f t="shared" si="11"/>
        <v>484.5766535774095</v>
      </c>
      <c r="CD45" s="59">
        <f ca="1">AVERAGE(OFFSET($CC$3,0,0,'Données projet'!$E$12+1,1))-AVERAGE(OFFSET($H$3,0,0,'Données projet'!$E$12+1,1))</f>
        <v>290.69667785754848</v>
      </c>
      <c r="CE45" s="59">
        <f t="shared" si="40"/>
        <v>256.28124185489082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15.126707317188176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15.126707317188176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212.60000000000002</v>
      </c>
      <c r="CU45" s="17">
        <f>CT45*VLOOKUP('Données projet'!$B$13,Paramètres!$A$1:$I$89,3,0)*VLOOKUP('Données projet'!$B$13,Paramètres!$A$1:$I$89,5,0)</f>
        <v>185.72736000000003</v>
      </c>
      <c r="CV45" s="13">
        <f t="shared" si="41"/>
        <v>46.594086043363802</v>
      </c>
      <c r="CW45" s="20">
        <f t="shared" si="13"/>
        <v>404.62651852552534</v>
      </c>
      <c r="CX45" s="59">
        <f t="shared" si="14"/>
        <v>654.00518478616004</v>
      </c>
      <c r="CY45" s="59">
        <f ca="1">AVERAGE(OFFSET($CX$3,0,0,'Données projet'!$E$13+1,1))-AVERAGE(OFFSET($H$3,0,0,'Données projet'!$E$13+1,1))</f>
        <v>408.246209980743</v>
      </c>
      <c r="CZ45" s="59">
        <f t="shared" si="42"/>
        <v>394.10236303013903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11.734840703842865</v>
      </c>
      <c r="DG45" s="21">
        <f>EXP(-LN(2)/25)*DG44+(1-EXP(-LN(2)/25))/(LN(2)/25)*Calculateur!DB45*Calculateur!DD45*VLOOKUP('Données projet'!$B$13,Paramètres!$A$1:$I$89,3,0)*0.475*44/12</f>
        <v>18.230431422365665</v>
      </c>
      <c r="DH45" s="21">
        <f>EXP(-LN(2)/2)*DH44+(1-EXP(-LN(2)/2))/(LN(2)/2)*DB45*DE45*VLOOKUP('Données projet'!$B$13,Paramètres!$A$1:$I$89,3,0)*0.475*44/12</f>
        <v>4.3803496181509027</v>
      </c>
      <c r="DI45" s="22">
        <f t="shared" si="15"/>
        <v>34.345621744359434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450.49</v>
      </c>
      <c r="DM45" s="12">
        <f>VLOOKUP(A45,'Données projet'!$A$165:$I$185,9,0)</f>
        <v>22.851428571428578</v>
      </c>
      <c r="DN45" s="12">
        <f t="array" ref="DN45">INDEX(DM:DM,MIN(IF(ISNUMBER(DM45:DM241),ROW(DM45:DM241),"")))</f>
        <v>22.851428571428578</v>
      </c>
      <c r="DO45" s="12">
        <f>IF('Données projet'!$A$166&gt;35,DO44+DN45-DW44,IF(A45&lt;'Données projet'!$A$166,$DL$205^A45,IF(A45='Données projet'!$A$166,'Données projet'!$B$166,DO44+DN45-DW44)))</f>
        <v>450.49000000000007</v>
      </c>
      <c r="DP45" s="17">
        <f>DO45*VLOOKUP('Données projet'!$B$14,Paramètres!$A$1:$I$89,3,0)*VLOOKUP('Données projet'!$B$14,Paramètres!$A$1:$I$89,5,0)</f>
        <v>251.82391000000004</v>
      </c>
      <c r="DQ45" s="13">
        <f t="shared" si="43"/>
        <v>60.976338340878812</v>
      </c>
      <c r="DR45" s="20">
        <f t="shared" si="16"/>
        <v>544.79376586036392</v>
      </c>
      <c r="DS45" s="59">
        <f t="shared" si="17"/>
        <v>794.17243212099868</v>
      </c>
      <c r="DT45" s="59">
        <f ca="1">AVERAGE(OFFSET($DS$3,0,0,'Données projet'!$E$14+1,1))-AVERAGE(OFFSET($H$3,0,0,'Données projet'!$E$14+1,1))</f>
        <v>407.05634973057056</v>
      </c>
      <c r="DU45" s="59">
        <f t="shared" si="44"/>
        <v>375.32891954889965</v>
      </c>
      <c r="DV45" s="15">
        <f>IF(ISNA(VLOOKUP(A45,'Données projet'!$A$165:$I$185,3,0)),0,VLOOKUP(A45,'Données projet'!$A$165:$I$185,3,0))</f>
        <v>4</v>
      </c>
      <c r="DW45" s="15">
        <f>IF(ISNA(VLOOKUP(A45,'Données projet'!$A$165:$I$185,4,0)),0,VLOOKUP(A45,'Données projet'!$A$165:$I$185,4,0))</f>
        <v>100.04000000000002</v>
      </c>
      <c r="DX45" s="16">
        <f>IF(ISNA(VLOOKUP(A45,'Données projet'!$A$165:$I$185,5,0)),0%,VLOOKUP(A45,'Données projet'!$A$165:$I$185,5,0)*VLOOKUP('Données projet'!$B$14,Paramètres!$A$1:$I$89,7,0))</f>
        <v>0.33</v>
      </c>
      <c r="DY45" s="16">
        <f>IF(ISNA(VLOOKUP(A45,'Données projet'!$A$165:$I$185,6,0)),0%,VLOOKUP(A45,'Données projet'!$A$165:$I$185,6,0)*VLOOKUP('Données projet'!$B$14,Paramètres!$A$1:$I$89,7,0))</f>
        <v>0.11000000000000001</v>
      </c>
      <c r="DZ45" s="16">
        <f>IF(ISNA(VLOOKUP(A45,'Données projet'!$A$165:$I$185,7,0)),0%,VLOOKUP(A45,'Données projet'!$A$165:$I$185,7,0))</f>
        <v>0.2</v>
      </c>
      <c r="EA45" s="21">
        <f>EXP(-LN(2)/35)*EA44+(1-EXP(-LN(2)/35))/(LN(2)/35)*DW45*DX45*VLOOKUP('Données projet'!$B$14,Paramètres!$A$1:$I$89,3,0)*0.475*44/12</f>
        <v>52.523395338496876</v>
      </c>
      <c r="EB45" s="21">
        <f>EXP(-LN(2)/25)*EB44+(1-EXP(-LN(2)/25))/(LN(2)/25)*Calculateur!DW45*Calculateur!DY45*VLOOKUP('Données projet'!$B$14,Paramètres!$A$1:$I$89,3,0)*0.475*44/12</f>
        <v>26.250624715479255</v>
      </c>
      <c r="EC45" s="21">
        <f>EXP(-LN(2)/2)*EC44+(1-EXP(-LN(2)/2))/(LN(2)/2)*DW45*DZ45*VLOOKUP('Données projet'!$B$14,Paramètres!$A$1:$I$89,3,0)*0.475*44/12</f>
        <v>13.771287073109026</v>
      </c>
      <c r="ED45" s="22">
        <f t="shared" si="18"/>
        <v>92.545307127085152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24.2</v>
      </c>
      <c r="EJ45" s="12">
        <f>IF('Données projet'!$A$192&gt;35,EJ44+EI45-ER44,IF(A45&lt;'Données projet'!$A$192,$EG$205^A45,IF(A45='Données projet'!$A$192,'Données projet'!$B$192,EJ44+EI45-ER44)))</f>
        <v>425.39999999999992</v>
      </c>
      <c r="EK45" s="17">
        <f>EJ45*VLOOKUP('Données projet'!$B$15,Paramètres!$A$1:$I$89,3,0)*VLOOKUP('Données projet'!$B$15,Paramètres!$A$1:$I$89,5,0)</f>
        <v>188.02680000000001</v>
      </c>
      <c r="EL45" s="13">
        <f t="shared" si="45"/>
        <v>47.103441645351992</v>
      </c>
      <c r="EM45" s="20">
        <f t="shared" si="19"/>
        <v>409.51850419898801</v>
      </c>
      <c r="EN45" s="59">
        <f t="shared" si="20"/>
        <v>658.89717045962277</v>
      </c>
      <c r="EO45" s="59">
        <f ca="1">AVERAGE(OFFSET($EN$3,0,0,'Données projet'!$E$15+1,1))-AVERAGE(OFFSET($H$3,0,0,'Données projet'!$E$15+1,1))</f>
        <v>418.28022549686278</v>
      </c>
      <c r="EP45" s="59">
        <f t="shared" si="46"/>
        <v>354.55070454517158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17.196451291882429</v>
      </c>
      <c r="EW45" s="21">
        <f>EXP(-LN(2)/25)*EW44+(1-EXP(-LN(2)/25))/(LN(2)/25)*Calculateur!ER45*Calculateur!ET45*VLOOKUP('Données projet'!$B$15,Paramètres!$A$1:$I$89,3,0)*0.475*44/12</f>
        <v>23.615239135043019</v>
      </c>
      <c r="EX45" s="21">
        <f>EXP(-LN(2)/2)*EX44+(1-EXP(-LN(2)/2))/(LN(2)/2)*ER45*EU45*VLOOKUP('Données projet'!$B$15,Paramètres!$A$1:$I$89,3,0)*0.475*44/12</f>
        <v>7.2700553192386961</v>
      </c>
      <c r="EY45" s="22">
        <f t="shared" si="21"/>
        <v>48.081745746164145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3.3603333333333336</v>
      </c>
      <c r="FE45" s="12">
        <f>IF('Données projet'!$A$218&gt;35,FE44+FD45-FM44,IF(A45&lt;'Données projet'!$A$218,$FB$205^A45,IF(A45='Données projet'!$A$218,'Données projet'!$B$218,FE44+FD45-FM44)))</f>
        <v>141.13399999999996</v>
      </c>
      <c r="FF45" s="17">
        <f>FE45*VLOOKUP('Données projet'!$B$16,Paramètres!$A$1:$I$89,3,0)*VLOOKUP('Données projet'!$B$16,Paramètres!$A$1:$I$89,5,0)</f>
        <v>160.72339919999996</v>
      </c>
      <c r="FG45" s="13">
        <f t="shared" si="47"/>
        <v>41.005637252985878</v>
      </c>
      <c r="FH45" s="20">
        <f t="shared" si="22"/>
        <v>351.34473848895027</v>
      </c>
      <c r="FI45" s="59">
        <f t="shared" si="23"/>
        <v>600.72340474958503</v>
      </c>
      <c r="FJ45" s="59">
        <f ca="1">AVERAGE(OFFSET($FI$3,0,0,'Données projet'!$E$16+1,1))-AVERAGE(OFFSET($H$3,0,0,'Données projet'!$E$16+1,1))</f>
        <v>640.05156427113661</v>
      </c>
      <c r="FK45" s="59">
        <f t="shared" si="48"/>
        <v>308.77220155372902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16.583750000000002</v>
      </c>
      <c r="N46" s="13">
        <f>IF('Données projet'!$A$36&gt;35,N45+M46-V45,IF(A46&lt;'Données projet'!$A$36,$K$205^A46,IF(A46='Données projet'!$A$36,'Données projet'!$B$36,N45+M46-V45)))</f>
        <v>352.14625000000007</v>
      </c>
      <c r="O46" s="13">
        <f>N46*VLOOKUP('Données projet'!$B$9,Paramètres!$A$1:$I$89,3,0)*VLOOKUP('Données projet'!$B$9,Paramètres!$A$1:$I$89,5,0)</f>
        <v>210.58345750000007</v>
      </c>
      <c r="P46" s="13">
        <f t="shared" si="33"/>
        <v>52.063065246002132</v>
      </c>
      <c r="Q46" s="20">
        <f t="shared" si="53"/>
        <v>457.44269378262044</v>
      </c>
      <c r="R46" s="59">
        <f t="shared" si="0"/>
        <v>707.58387524905243</v>
      </c>
      <c r="S46" s="59">
        <f ca="1">AVERAGE(OFFSET($R$3,0,0,'Données projet'!$E$9+1,1))-AVERAGE(OFFSET($H$3,0,0,'Données projet'!$E$9+1,1))</f>
        <v>318.50474972254085</v>
      </c>
      <c r="T46" s="59">
        <f t="shared" si="34"/>
        <v>326.45858332753562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26.694566390697808</v>
      </c>
      <c r="AA46" s="21">
        <f>EXP(-LN(2)/25)*AA45+(1-EXP(-LN(2)/25))/(LN(2)/25)*Calculateur!V46*Calculateur!X46*VLOOKUP('Données projet'!$B$9,Paramètres!$A$1:$I$89,3,0)*0.475*44/12</f>
        <v>15.103845123005222</v>
      </c>
      <c r="AB46" s="21">
        <f>EXP(-LN(2)/2)*AB45+(1-EXP(-LN(2)/2))/(LN(2)/2)*V46*Y46*VLOOKUP('Données projet'!$B$9,Paramètres!$A$1:$I$89,3,0)*0.475*44/12</f>
        <v>0.99027845560970984</v>
      </c>
      <c r="AC46" s="22">
        <f t="shared" si="3"/>
        <v>42.788689969312742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7.7715686274509812</v>
      </c>
      <c r="AI46" s="13">
        <f>IF('Données projet'!$A$62&gt;35,AI45+AH46-AQ45,IF(A46&lt;'Données projet'!$A$62,$AF$205^A46,IF(A46='Données projet'!$A$62,'Données projet'!$B$62,AI45+AH46-AQ45)))</f>
        <v>334.17745098039205</v>
      </c>
      <c r="AJ46" s="13">
        <f>AI46*VLOOKUP('Données projet'!$B$10,Paramètres!$A$1:$I$89,3,0)*VLOOKUP('Données projet'!$B$10,Paramètres!$A$1:$I$89,5,0)</f>
        <v>156.39504705882348</v>
      </c>
      <c r="AK46" s="13">
        <f t="shared" si="35"/>
        <v>40.028332931481749</v>
      </c>
      <c r="AL46" s="20">
        <f t="shared" si="4"/>
        <v>342.10405348311491</v>
      </c>
      <c r="AM46" s="59">
        <f t="shared" si="5"/>
        <v>592.24523494954701</v>
      </c>
      <c r="AN46" s="59">
        <f ca="1">AVERAGE(OFFSET($AM$3,0,0,'Données projet'!$E$10+1,1))-AVERAGE(OFFSET($H$3,0,0,'Données projet'!$E$10+1,1))</f>
        <v>374.38106339726073</v>
      </c>
      <c r="AO46" s="59">
        <f t="shared" si="36"/>
        <v>296.53283288925957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10.110000000000001</v>
      </c>
      <c r="BD46" s="12">
        <f>IF('Données projet'!$A$88&gt;35,BD45+BC46-BL45,IF(A46&lt;'Données projet'!$A$88,$BA$205^A46,IF(A46='Données projet'!$A$88,'Données projet'!$B$88,BD45+BC46-BL45)))</f>
        <v>137.56000000000012</v>
      </c>
      <c r="BE46" s="13">
        <f>BD46*VLOOKUP('Données projet'!$B$11,Paramètres!$A$1:$I$89,3,0)*VLOOKUP('Données projet'!$B$11,Paramètres!$A$1:$I$89,5,0)</f>
        <v>124.4642880000001</v>
      </c>
      <c r="BF46" s="13">
        <f t="shared" si="37"/>
        <v>32.713997336243899</v>
      </c>
      <c r="BG46" s="20">
        <f t="shared" si="7"/>
        <v>273.75218029395825</v>
      </c>
      <c r="BH46" s="59">
        <f t="shared" si="8"/>
        <v>523.89336176039023</v>
      </c>
      <c r="BI46" s="59">
        <f ca="1">AVERAGE(OFFSET($BH$3,0,0,'Données projet'!$E$11+1,1))-AVERAGE(OFFSET($H$3,0,0,'Données projet'!$E$11+1,1))</f>
        <v>681.47578137804555</v>
      </c>
      <c r="BJ46" s="59">
        <f t="shared" si="38"/>
        <v>300.88511065995885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14.837515347717295</v>
      </c>
      <c r="BR46" s="21">
        <f>EXP(-LN(2)/2)*BR45+(1-EXP(-LN(2)/2))/(LN(2)/2)*BL46*BO46*VLOOKUP('Données projet'!$B$11,Paramètres!$A$1:$I$89,3,0)*0.475*44/12</f>
        <v>5.3737749829900485</v>
      </c>
      <c r="BS46" s="22">
        <f t="shared" si="9"/>
        <v>20.211290330707342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4.487179487179489</v>
      </c>
      <c r="BY46" s="12">
        <f>IF('Données projet'!$A$114&gt;35,BY45+BX46-CG45,IF(A46&lt;'Données projet'!$A$114,$BV$205^A46,IF(A46='Données projet'!$A$114,'Données projet'!$B$114,BY45+BX46-CG45)))</f>
        <v>106.41025641025644</v>
      </c>
      <c r="BZ46" s="13">
        <f>BY46*VLOOKUP('Données projet'!$B$12,Paramètres!$A$1:$I$89,3,0)*VLOOKUP('Données projet'!$B$12,Paramètres!$A$1:$I$89,5,0)</f>
        <v>111.22000000000006</v>
      </c>
      <c r="CA46" s="13">
        <f t="shared" si="39"/>
        <v>29.618241308641757</v>
      </c>
      <c r="CB46" s="20">
        <f t="shared" si="10"/>
        <v>245.29327027921784</v>
      </c>
      <c r="CC46" s="59">
        <f t="shared" si="11"/>
        <v>495.43445174564988</v>
      </c>
      <c r="CD46" s="59">
        <f ca="1">AVERAGE(OFFSET($CC$3,0,0,'Données projet'!$E$12+1,1))-AVERAGE(OFFSET($H$3,0,0,'Données projet'!$E$12+1,1))</f>
        <v>290.69667785754848</v>
      </c>
      <c r="CE46" s="59">
        <f t="shared" si="40"/>
        <v>256.28124185489082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14.7130667101207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14.7130667101207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222.40000000000003</v>
      </c>
      <c r="CU46" s="17">
        <f>CT46*VLOOKUP('Données projet'!$B$13,Paramètres!$A$1:$I$89,3,0)*VLOOKUP('Données projet'!$B$13,Paramètres!$A$1:$I$89,5,0)</f>
        <v>194.28864000000004</v>
      </c>
      <c r="CV46" s="13">
        <f t="shared" si="41"/>
        <v>48.486875029770822</v>
      </c>
      <c r="CW46" s="20">
        <f t="shared" si="13"/>
        <v>422.83402201018424</v>
      </c>
      <c r="CX46" s="59">
        <f t="shared" si="14"/>
        <v>672.97520347661634</v>
      </c>
      <c r="CY46" s="59">
        <f ca="1">AVERAGE(OFFSET($CX$3,0,0,'Données projet'!$E$13+1,1))-AVERAGE(OFFSET($H$3,0,0,'Données projet'!$E$13+1,1))</f>
        <v>408.246209980743</v>
      </c>
      <c r="CZ46" s="59">
        <f t="shared" si="42"/>
        <v>394.10236303013903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11.504727635186587</v>
      </c>
      <c r="DG46" s="21">
        <f>EXP(-LN(2)/25)*DG45+(1-EXP(-LN(2)/25))/(LN(2)/25)*Calculateur!DB46*Calculateur!DD46*VLOOKUP('Données projet'!$B$13,Paramètres!$A$1:$I$89,3,0)*0.475*44/12</f>
        <v>17.731919316424353</v>
      </c>
      <c r="DH46" s="21">
        <f>EXP(-LN(2)/2)*DH45+(1-EXP(-LN(2)/2))/(LN(2)/2)*DB46*DE46*VLOOKUP('Données projet'!$B$13,Paramètres!$A$1:$I$89,3,0)*0.475*44/12</f>
        <v>3.0973749189624078</v>
      </c>
      <c r="DI46" s="22">
        <f t="shared" si="15"/>
        <v>32.334021870573345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21.970000000000002</v>
      </c>
      <c r="DO46" s="12">
        <f>IF('Données projet'!$A$166&gt;35,DO45+DN46-DW45,IF(A46&lt;'Données projet'!$A$166,$DL$205^A46,IF(A46='Données projet'!$A$166,'Données projet'!$B$166,DO45+DN46-DW45)))</f>
        <v>372.42000000000007</v>
      </c>
      <c r="DP46" s="17">
        <f>DO46*VLOOKUP('Données projet'!$B$14,Paramètres!$A$1:$I$89,3,0)*VLOOKUP('Données projet'!$B$14,Paramètres!$A$1:$I$89,5,0)</f>
        <v>208.18278000000007</v>
      </c>
      <c r="DQ46" s="13">
        <f t="shared" si="43"/>
        <v>51.538276765249073</v>
      </c>
      <c r="DR46" s="20">
        <f t="shared" si="16"/>
        <v>452.34750719947556</v>
      </c>
      <c r="DS46" s="59">
        <f t="shared" si="17"/>
        <v>702.4886886659076</v>
      </c>
      <c r="DT46" s="59">
        <f ca="1">AVERAGE(OFFSET($DS$3,0,0,'Données projet'!$E$14+1,1))-AVERAGE(OFFSET($H$3,0,0,'Données projet'!$E$14+1,1))</f>
        <v>407.05634973057056</v>
      </c>
      <c r="DU46" s="59">
        <f t="shared" si="44"/>
        <v>375.32891954889965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51.493443592016803</v>
      </c>
      <c r="EB46" s="21">
        <f>EXP(-LN(2)/25)*EB45+(1-EXP(-LN(2)/25))/(LN(2)/25)*Calculateur!DW46*Calculateur!DY46*VLOOKUP('Données projet'!$B$14,Paramètres!$A$1:$I$89,3,0)*0.475*44/12</f>
        <v>25.532800002174117</v>
      </c>
      <c r="EC46" s="21">
        <f>EXP(-LN(2)/2)*EC45+(1-EXP(-LN(2)/2))/(LN(2)/2)*DW46*DZ46*VLOOKUP('Données projet'!$B$14,Paramètres!$A$1:$I$89,3,0)*0.475*44/12</f>
        <v>9.7377704750620353</v>
      </c>
      <c r="ED46" s="22">
        <f t="shared" si="18"/>
        <v>86.764014069252951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24.2</v>
      </c>
      <c r="EJ46" s="12">
        <f>IF('Données projet'!$A$192&gt;35,EJ45+EI46-ER45,IF(A46&lt;'Données projet'!$A$192,$EG$205^A46,IF(A46='Données projet'!$A$192,'Données projet'!$B$192,EJ45+EI46-ER45)))</f>
        <v>449.59999999999991</v>
      </c>
      <c r="EK46" s="17">
        <f>EJ46*VLOOKUP('Données projet'!$B$15,Paramètres!$A$1:$I$89,3,0)*VLOOKUP('Données projet'!$B$15,Paramètres!$A$1:$I$89,5,0)</f>
        <v>198.72319999999996</v>
      </c>
      <c r="EL46" s="13">
        <f t="shared" si="45"/>
        <v>49.463461224416463</v>
      </c>
      <c r="EM46" s="20">
        <f t="shared" si="19"/>
        <v>432.25843496585861</v>
      </c>
      <c r="EN46" s="59">
        <f t="shared" si="20"/>
        <v>682.39961643229071</v>
      </c>
      <c r="EO46" s="59">
        <f ca="1">AVERAGE(OFFSET($EN$3,0,0,'Données projet'!$E$15+1,1))-AVERAGE(OFFSET($H$3,0,0,'Données projet'!$E$15+1,1))</f>
        <v>418.28022549686278</v>
      </c>
      <c r="EP46" s="59">
        <f t="shared" si="46"/>
        <v>354.55070454517158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16.859239370848218</v>
      </c>
      <c r="EW46" s="21">
        <f>EXP(-LN(2)/25)*EW45+(1-EXP(-LN(2)/25))/(LN(2)/25)*Calculateur!ER46*Calculateur!ET46*VLOOKUP('Données projet'!$B$15,Paramètres!$A$1:$I$89,3,0)*0.475*44/12</f>
        <v>22.969479179023814</v>
      </c>
      <c r="EX46" s="21">
        <f>EXP(-LN(2)/2)*EX45+(1-EXP(-LN(2)/2))/(LN(2)/2)*ER46*EU46*VLOOKUP('Données projet'!$B$15,Paramètres!$A$1:$I$89,3,0)*0.475*44/12</f>
        <v>5.1407054158350132</v>
      </c>
      <c r="EY46" s="22">
        <f t="shared" si="21"/>
        <v>44.969423965707051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3.3603333333333336</v>
      </c>
      <c r="FE46" s="12">
        <f>IF('Données projet'!$A$218&gt;35,FE45+FD46-FM45,IF(A46&lt;'Données projet'!$A$218,$FB$205^A46,IF(A46='Données projet'!$A$218,'Données projet'!$B$218,FE45+FD46-FM45)))</f>
        <v>144.49433333333329</v>
      </c>
      <c r="FF46" s="17">
        <f>FE46*VLOOKUP('Données projet'!$B$16,Paramètres!$A$1:$I$89,3,0)*VLOOKUP('Données projet'!$B$16,Paramètres!$A$1:$I$89,5,0)</f>
        <v>164.55014679999996</v>
      </c>
      <c r="FG46" s="13">
        <f t="shared" si="47"/>
        <v>41.867132786511242</v>
      </c>
      <c r="FH46" s="20">
        <f t="shared" si="22"/>
        <v>359.5100952798403</v>
      </c>
      <c r="FI46" s="59">
        <f t="shared" si="23"/>
        <v>609.65127674627229</v>
      </c>
      <c r="FJ46" s="59">
        <f ca="1">AVERAGE(OFFSET($FI$3,0,0,'Données projet'!$E$16+1,1))-AVERAGE(OFFSET($H$3,0,0,'Données projet'!$E$16+1,1))</f>
        <v>640.05156427113661</v>
      </c>
      <c r="FK46" s="59">
        <f t="shared" si="48"/>
        <v>308.77220155372902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368.73</v>
      </c>
      <c r="L47" s="12">
        <f>VLOOKUP(A47,'Données projet'!$A$35:$I$55,9,0)</f>
        <v>16.583750000000002</v>
      </c>
      <c r="M47" s="12">
        <f t="array" ref="M47">INDEX(L:L,MIN(IF(ISNUMBER(L47:L243),ROW(L47:L243),"")))</f>
        <v>16.583750000000002</v>
      </c>
      <c r="N47" s="13">
        <f>IF('Données projet'!$A$36&gt;35,N46+M47-V46,IF(A47&lt;'Données projet'!$A$36,$K$205^A47,IF(A47='Données projet'!$A$36,'Données projet'!$B$36,N46+M47-V46)))</f>
        <v>368.73000000000008</v>
      </c>
      <c r="O47" s="13">
        <f>N47*VLOOKUP('Données projet'!$B$9,Paramètres!$A$1:$I$89,3,0)*VLOOKUP('Données projet'!$B$9,Paramètres!$A$1:$I$89,5,0)</f>
        <v>220.50054000000006</v>
      </c>
      <c r="P47" s="13">
        <f t="shared" si="33"/>
        <v>54.223661223229719</v>
      </c>
      <c r="Q47" s="20">
        <f t="shared" si="53"/>
        <v>478.47798379712521</v>
      </c>
      <c r="R47" s="59">
        <f t="shared" si="0"/>
        <v>729.36845253526258</v>
      </c>
      <c r="S47" s="59">
        <f ca="1">AVERAGE(OFFSET($R$3,0,0,'Données projet'!$E$9+1,1))-AVERAGE(OFFSET($H$3,0,0,'Données projet'!$E$9+1,1))</f>
        <v>318.50474972254085</v>
      </c>
      <c r="T47" s="59">
        <f t="shared" si="34"/>
        <v>326.45858332753562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78.240000000000009</v>
      </c>
      <c r="W47" s="16">
        <f>IF(ISNA(VLOOKUP(A47,'Données projet'!$A$35:$I$55,5,0)),0%,VLOOKUP(A47,'Données projet'!$A$35:$I$55,5,0)*VLOOKUP('Données projet'!$B$9,Paramètres!$A$1:$I$89,7,0))</f>
        <v>0.27</v>
      </c>
      <c r="X47" s="16">
        <f>IF(ISNA(VLOOKUP(A47,'Données projet'!$A$35:$I$55,6,0)),0%,VLOOKUP(A47,'Données projet'!$A$35:$I$55,6,0)*VLOOKUP('Données projet'!$B$9,Paramètres!$A$1:$I$89,7,0))</f>
        <v>9.0000000000000011E-2</v>
      </c>
      <c r="Y47" s="16">
        <f>IF(ISNA(VLOOKUP(A47,'Données projet'!$A$35:$I$55,7,0)),0%,VLOOKUP(A47,'Données projet'!$A$35:$I$55,7,0))</f>
        <v>0.2</v>
      </c>
      <c r="Z47" s="21">
        <f>EXP(-LN(2)/35)*Z46+(1-EXP(-LN(2)/35))/(LN(2)/35)*V47*W47*VLOOKUP('Données projet'!$B$9,Paramètres!$A$1:$I$89,3,0)*0.475*44/12</f>
        <v>42.92910069319899</v>
      </c>
      <c r="AA47" s="21">
        <f>EXP(-LN(2)/25)*AA46+(1-EXP(-LN(2)/25))/(LN(2)/25)*Calculateur!V47*Calculateur!X47*VLOOKUP('Données projet'!$B$9,Paramètres!$A$1:$I$89,3,0)*0.475*44/12</f>
        <v>20.254834964533629</v>
      </c>
      <c r="AB47" s="21">
        <f>EXP(-LN(2)/2)*AB46+(1-EXP(-LN(2)/2))/(LN(2)/2)*V47*Y47*VLOOKUP('Données projet'!$B$9,Paramètres!$A$1:$I$89,3,0)*0.475*44/12</f>
        <v>11.295100864257664</v>
      </c>
      <c r="AC47" s="22">
        <f t="shared" si="3"/>
        <v>74.479036521990281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7.7715686274509812</v>
      </c>
      <c r="AI47" s="13">
        <f>IF('Données projet'!$A$62&gt;35,AI46+AH47-AQ46,IF(A47&lt;'Données projet'!$A$62,$AF$205^A47,IF(A47='Données projet'!$A$62,'Données projet'!$B$62,AI46+AH47-AQ46)))</f>
        <v>341.94901960784301</v>
      </c>
      <c r="AJ47" s="13">
        <f>AI47*VLOOKUP('Données projet'!$B$10,Paramètres!$A$1:$I$89,3,0)*VLOOKUP('Données projet'!$B$10,Paramètres!$A$1:$I$89,5,0)</f>
        <v>160.03214117647053</v>
      </c>
      <c r="AK47" s="13">
        <f t="shared" si="35"/>
        <v>40.849764854015</v>
      </c>
      <c r="AL47" s="20">
        <f t="shared" si="4"/>
        <v>349.86931966976226</v>
      </c>
      <c r="AM47" s="59">
        <f t="shared" si="5"/>
        <v>600.75978840789969</v>
      </c>
      <c r="AN47" s="59">
        <f ca="1">AVERAGE(OFFSET($AM$3,0,0,'Données projet'!$E$10+1,1))-AVERAGE(OFFSET($H$3,0,0,'Données projet'!$E$10+1,1))</f>
        <v>374.38106339726073</v>
      </c>
      <c r="AO47" s="59">
        <f t="shared" si="36"/>
        <v>296.53283288925957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10.110000000000001</v>
      </c>
      <c r="BD47" s="12">
        <f>IF('Données projet'!$A$88&gt;35,BD46+BC47-BL46,IF(A47&lt;'Données projet'!$A$88,$BA$205^A47,IF(A47='Données projet'!$A$88,'Données projet'!$B$88,BD46+BC47-BL46)))</f>
        <v>147.67000000000013</v>
      </c>
      <c r="BE47" s="13">
        <f>BD47*VLOOKUP('Données projet'!$B$11,Paramètres!$A$1:$I$89,3,0)*VLOOKUP('Données projet'!$B$11,Paramètres!$A$1:$I$89,5,0)</f>
        <v>133.61181600000012</v>
      </c>
      <c r="BF47" s="13">
        <f t="shared" si="37"/>
        <v>34.829608206917271</v>
      </c>
      <c r="BG47" s="20">
        <f t="shared" si="7"/>
        <v>293.36881382704775</v>
      </c>
      <c r="BH47" s="59">
        <f t="shared" si="8"/>
        <v>544.25928256518523</v>
      </c>
      <c r="BI47" s="59">
        <f ca="1">AVERAGE(OFFSET($BH$3,0,0,'Données projet'!$E$11+1,1))-AVERAGE(OFFSET($H$3,0,0,'Données projet'!$E$11+1,1))</f>
        <v>681.47578137804555</v>
      </c>
      <c r="BJ47" s="59">
        <f t="shared" si="38"/>
        <v>300.88511065995885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14.431782710262945</v>
      </c>
      <c r="BR47" s="21">
        <f>EXP(-LN(2)/2)*BR46+(1-EXP(-LN(2)/2))/(LN(2)/2)*BL47*BO47*VLOOKUP('Données projet'!$B$11,Paramètres!$A$1:$I$89,3,0)*0.475*44/12</f>
        <v>3.7998327310428874</v>
      </c>
      <c r="BS47" s="22">
        <f t="shared" si="9"/>
        <v>18.231615441305834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4.487179487179489</v>
      </c>
      <c r="BY47" s="12">
        <f>IF('Données projet'!$A$114&gt;35,BY46+BX47-CG46,IF(A47&lt;'Données projet'!$A$114,$BV$205^A47,IF(A47='Données projet'!$A$114,'Données projet'!$B$114,BY46+BX47-CG46)))</f>
        <v>110.89743589743593</v>
      </c>
      <c r="BZ47" s="13">
        <f>BY47*VLOOKUP('Données projet'!$B$12,Paramètres!$A$1:$I$89,3,0)*VLOOKUP('Données projet'!$B$12,Paramètres!$A$1:$I$89,5,0)</f>
        <v>115.91000000000004</v>
      </c>
      <c r="CA47" s="13">
        <f t="shared" si="39"/>
        <v>30.719157262842909</v>
      </c>
      <c r="CB47" s="20">
        <f t="shared" si="10"/>
        <v>255.37911556611809</v>
      </c>
      <c r="CC47" s="59">
        <f t="shared" si="11"/>
        <v>506.26958430425555</v>
      </c>
      <c r="CD47" s="59">
        <f ca="1">AVERAGE(OFFSET($CC$3,0,0,'Données projet'!$E$12+1,1))-AVERAGE(OFFSET($H$3,0,0,'Données projet'!$E$12+1,1))</f>
        <v>290.69667785754848</v>
      </c>
      <c r="CE47" s="59">
        <f t="shared" si="40"/>
        <v>256.28124185489082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14.310737127205899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14.310737127205899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232.20000000000005</v>
      </c>
      <c r="CU47" s="17">
        <f>CT47*VLOOKUP('Données projet'!$B$13,Paramètres!$A$1:$I$89,3,0)*VLOOKUP('Données projet'!$B$13,Paramètres!$A$1:$I$89,5,0)</f>
        <v>202.84992000000005</v>
      </c>
      <c r="CV47" s="13">
        <f t="shared" si="41"/>
        <v>50.369977187686075</v>
      </c>
      <c r="CW47" s="20">
        <f t="shared" si="13"/>
        <v>441.02465426855332</v>
      </c>
      <c r="CX47" s="59">
        <f t="shared" si="14"/>
        <v>691.91512300669069</v>
      </c>
      <c r="CY47" s="59">
        <f ca="1">AVERAGE(OFFSET($CX$3,0,0,'Données projet'!$E$13+1,1))-AVERAGE(OFFSET($H$3,0,0,'Données projet'!$E$13+1,1))</f>
        <v>408.246209980743</v>
      </c>
      <c r="CZ47" s="59">
        <f t="shared" si="42"/>
        <v>394.10236303013903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11.279126943451546</v>
      </c>
      <c r="DG47" s="21">
        <f>EXP(-LN(2)/25)*DG46+(1-EXP(-LN(2)/25))/(LN(2)/25)*Calculateur!DB47*Calculateur!DD47*VLOOKUP('Données projet'!$B$13,Paramètres!$A$1:$I$89,3,0)*0.475*44/12</f>
        <v>17.247039050235617</v>
      </c>
      <c r="DH47" s="21">
        <f>EXP(-LN(2)/2)*DH46+(1-EXP(-LN(2)/2))/(LN(2)/2)*DB47*DE47*VLOOKUP('Données projet'!$B$13,Paramètres!$A$1:$I$89,3,0)*0.475*44/12</f>
        <v>2.1901748090754518</v>
      </c>
      <c r="DI47" s="22">
        <f t="shared" si="15"/>
        <v>30.716340802762616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21.970000000000002</v>
      </c>
      <c r="DO47" s="12">
        <f>IF('Données projet'!$A$166&gt;35,DO46+DN47-DW46,IF(A47&lt;'Données projet'!$A$166,$DL$205^A47,IF(A47='Données projet'!$A$166,'Données projet'!$B$166,DO46+DN47-DW46)))</f>
        <v>394.3900000000001</v>
      </c>
      <c r="DP47" s="17">
        <f>DO47*VLOOKUP('Données projet'!$B$14,Paramètres!$A$1:$I$89,3,0)*VLOOKUP('Données projet'!$B$14,Paramètres!$A$1:$I$89,5,0)</f>
        <v>220.46401000000006</v>
      </c>
      <c r="DQ47" s="13">
        <f t="shared" si="43"/>
        <v>54.215723631671224</v>
      </c>
      <c r="DR47" s="20">
        <f t="shared" si="16"/>
        <v>478.4005360751608</v>
      </c>
      <c r="DS47" s="59">
        <f t="shared" si="17"/>
        <v>729.29100481329829</v>
      </c>
      <c r="DT47" s="59">
        <f ca="1">AVERAGE(OFFSET($DS$3,0,0,'Données projet'!$E$14+1,1))-AVERAGE(OFFSET($H$3,0,0,'Données projet'!$E$14+1,1))</f>
        <v>407.05634973057056</v>
      </c>
      <c r="DU47" s="59">
        <f t="shared" si="44"/>
        <v>375.32891954889965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50.483688571076669</v>
      </c>
      <c r="EB47" s="21">
        <f>EXP(-LN(2)/25)*EB46+(1-EXP(-LN(2)/25))/(LN(2)/25)*Calculateur!DW47*Calculateur!DY47*VLOOKUP('Données projet'!$B$14,Paramètres!$A$1:$I$89,3,0)*0.475*44/12</f>
        <v>24.834604243403071</v>
      </c>
      <c r="EC47" s="21">
        <f>EXP(-LN(2)/2)*EC46+(1-EXP(-LN(2)/2))/(LN(2)/2)*DW47*DZ47*VLOOKUP('Données projet'!$B$14,Paramètres!$A$1:$I$89,3,0)*0.475*44/12</f>
        <v>6.8856435365545137</v>
      </c>
      <c r="ED47" s="22">
        <f t="shared" si="18"/>
        <v>82.203936351034258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24.2</v>
      </c>
      <c r="EJ47" s="12">
        <f>IF('Données projet'!$A$192&gt;35,EJ46+EI47-ER46,IF(A47&lt;'Données projet'!$A$192,$EG$205^A47,IF(A47='Données projet'!$A$192,'Données projet'!$B$192,EJ46+EI47-ER46)))</f>
        <v>473.7999999999999</v>
      </c>
      <c r="EK47" s="17">
        <f>EJ47*VLOOKUP('Données projet'!$B$15,Paramètres!$A$1:$I$89,3,0)*VLOOKUP('Données projet'!$B$15,Paramètres!$A$1:$I$89,5,0)</f>
        <v>209.41959999999997</v>
      </c>
      <c r="EL47" s="13">
        <f t="shared" si="45"/>
        <v>51.808733273237316</v>
      </c>
      <c r="EM47" s="20">
        <f t="shared" si="19"/>
        <v>454.97268045088828</v>
      </c>
      <c r="EN47" s="59">
        <f t="shared" si="20"/>
        <v>705.86314918902576</v>
      </c>
      <c r="EO47" s="59">
        <f ca="1">AVERAGE(OFFSET($EN$3,0,0,'Données projet'!$E$15+1,1))-AVERAGE(OFFSET($H$3,0,0,'Données projet'!$E$15+1,1))</f>
        <v>418.28022549686278</v>
      </c>
      <c r="EP47" s="59">
        <f t="shared" si="46"/>
        <v>354.55070454517158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16.528639969906529</v>
      </c>
      <c r="EW47" s="21">
        <f>EXP(-LN(2)/25)*EW46+(1-EXP(-LN(2)/25))/(LN(2)/25)*Calculateur!ER47*Calculateur!ET47*VLOOKUP('Données projet'!$B$15,Paramètres!$A$1:$I$89,3,0)*0.475*44/12</f>
        <v>22.341377562960997</v>
      </c>
      <c r="EX47" s="21">
        <f>EXP(-LN(2)/2)*EX46+(1-EXP(-LN(2)/2))/(LN(2)/2)*ER47*EU47*VLOOKUP('Données projet'!$B$15,Paramètres!$A$1:$I$89,3,0)*0.475*44/12</f>
        <v>3.6350276596193489</v>
      </c>
      <c r="EY47" s="22">
        <f t="shared" si="21"/>
        <v>42.505045192486868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3.3603333333333336</v>
      </c>
      <c r="FE47" s="12">
        <f>IF('Données projet'!$A$218&gt;35,FE46+FD47-FM46,IF(A47&lt;'Données projet'!$A$218,$FB$205^A47,IF(A47='Données projet'!$A$218,'Données projet'!$B$218,FE46+FD47-FM46)))</f>
        <v>147.85466666666662</v>
      </c>
      <c r="FF47" s="17">
        <f>FE47*VLOOKUP('Données projet'!$B$16,Paramètres!$A$1:$I$89,3,0)*VLOOKUP('Données projet'!$B$16,Paramètres!$A$1:$I$89,5,0)</f>
        <v>168.37689439999994</v>
      </c>
      <c r="FG47" s="13">
        <f t="shared" si="47"/>
        <v>42.726299203325233</v>
      </c>
      <c r="FH47" s="20">
        <f t="shared" si="22"/>
        <v>367.6713955257913</v>
      </c>
      <c r="FI47" s="59">
        <f t="shared" si="23"/>
        <v>618.56186426392878</v>
      </c>
      <c r="FJ47" s="59">
        <f ca="1">AVERAGE(OFFSET($FI$3,0,0,'Données projet'!$E$16+1,1))-AVERAGE(OFFSET($H$3,0,0,'Données projet'!$E$16+1,1))</f>
        <v>640.05156427113661</v>
      </c>
      <c r="FK47" s="59">
        <f t="shared" si="48"/>
        <v>308.77220155372902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14.689999999999998</v>
      </c>
      <c r="N48" s="13">
        <f>IF('Données projet'!$A$36&gt;35,N47+M48-V47,IF(A48&lt;'Données projet'!$A$36,$K$205^A48,IF(A48='Données projet'!$A$36,'Données projet'!$B$36,N47+M48-V47)))</f>
        <v>305.18000000000006</v>
      </c>
      <c r="O48" s="13">
        <f>N48*VLOOKUP('Données projet'!$B$9,Paramètres!$A$1:$I$89,3,0)*VLOOKUP('Données projet'!$B$9,Paramètres!$A$1:$I$89,5,0)</f>
        <v>182.49764000000005</v>
      </c>
      <c r="P48" s="13">
        <f t="shared" si="33"/>
        <v>45.877418600848756</v>
      </c>
      <c r="Q48" s="20">
        <f t="shared" si="53"/>
        <v>397.753227063145</v>
      </c>
      <c r="R48" s="59">
        <f t="shared" si="0"/>
        <v>649.3799846139791</v>
      </c>
      <c r="S48" s="59">
        <f ca="1">AVERAGE(OFFSET($R$3,0,0,'Données projet'!$E$9+1,1))-AVERAGE(OFFSET($H$3,0,0,'Données projet'!$E$9+1,1))</f>
        <v>318.50474972254085</v>
      </c>
      <c r="T48" s="59">
        <f t="shared" si="34"/>
        <v>326.45858332753562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42.087287212771308</v>
      </c>
      <c r="AA48" s="21">
        <f>EXP(-LN(2)/25)*AA47+(1-EXP(-LN(2)/25))/(LN(2)/25)*Calculateur!V48*Calculateur!X48*VLOOKUP('Données projet'!$B$9,Paramètres!$A$1:$I$89,3,0)*0.475*44/12</f>
        <v>19.700965437272981</v>
      </c>
      <c r="AB48" s="21">
        <f>EXP(-LN(2)/2)*AB47+(1-EXP(-LN(2)/2))/(LN(2)/2)*V48*Y48*VLOOKUP('Données projet'!$B$9,Paramètres!$A$1:$I$89,3,0)*0.475*44/12</f>
        <v>7.986842415302629</v>
      </c>
      <c r="AC48" s="22">
        <f t="shared" si="3"/>
        <v>69.775095065346918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7.7715686274509812</v>
      </c>
      <c r="AI48" s="13">
        <f>IF('Données projet'!$A$62&gt;35,AI47+AH48-AQ47,IF(A48&lt;'Données projet'!$A$62,$AF$205^A48,IF(A48='Données projet'!$A$62,'Données projet'!$B$62,AI47+AH48-AQ47)))</f>
        <v>349.72058823529397</v>
      </c>
      <c r="AJ48" s="13">
        <f>AI48*VLOOKUP('Données projet'!$B$10,Paramètres!$A$1:$I$89,3,0)*VLOOKUP('Données projet'!$B$10,Paramètres!$A$1:$I$89,5,0)</f>
        <v>163.66923529411758</v>
      </c>
      <c r="AK48" s="13">
        <f t="shared" si="35"/>
        <v>41.669026390086572</v>
      </c>
      <c r="AL48" s="20">
        <f t="shared" si="4"/>
        <v>357.63080576665556</v>
      </c>
      <c r="AM48" s="59">
        <f t="shared" si="5"/>
        <v>609.25756331748971</v>
      </c>
      <c r="AN48" s="59">
        <f ca="1">AVERAGE(OFFSET($AM$3,0,0,'Données projet'!$E$10+1,1))-AVERAGE(OFFSET($H$3,0,0,'Données projet'!$E$10+1,1))</f>
        <v>374.38106339726073</v>
      </c>
      <c r="AO48" s="59">
        <f t="shared" si="36"/>
        <v>296.53283288925957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10.110000000000001</v>
      </c>
      <c r="BD48" s="12">
        <f>IF('Données projet'!$A$88&gt;35,BD47+BC48-BL47,IF(A48&lt;'Données projet'!$A$88,$BA$205^A48,IF(A48='Données projet'!$A$88,'Données projet'!$B$88,BD47+BC48-BL47)))</f>
        <v>157.78000000000014</v>
      </c>
      <c r="BE48" s="13">
        <f>BD48*VLOOKUP('Données projet'!$B$11,Paramètres!$A$1:$I$89,3,0)*VLOOKUP('Données projet'!$B$11,Paramètres!$A$1:$I$89,5,0)</f>
        <v>142.75934400000011</v>
      </c>
      <c r="BF48" s="13">
        <f t="shared" si="37"/>
        <v>36.928412609012774</v>
      </c>
      <c r="BG48" s="20">
        <f t="shared" si="7"/>
        <v>312.95617609403075</v>
      </c>
      <c r="BH48" s="59">
        <f t="shared" si="8"/>
        <v>564.58293364486485</v>
      </c>
      <c r="BI48" s="59">
        <f ca="1">AVERAGE(OFFSET($BH$3,0,0,'Données projet'!$E$11+1,1))-AVERAGE(OFFSET($H$3,0,0,'Données projet'!$E$11+1,1))</f>
        <v>681.47578137804555</v>
      </c>
      <c r="BJ48" s="59">
        <f t="shared" si="38"/>
        <v>300.88511065995885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14.037144853116336</v>
      </c>
      <c r="BR48" s="21">
        <f>EXP(-LN(2)/2)*BR47+(1-EXP(-LN(2)/2))/(LN(2)/2)*BL48*BO48*VLOOKUP('Données projet'!$B$11,Paramètres!$A$1:$I$89,3,0)*0.475*44/12</f>
        <v>2.6868874914950243</v>
      </c>
      <c r="BS48" s="22">
        <f t="shared" si="9"/>
        <v>16.724032344611359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115.38461538461539</v>
      </c>
      <c r="BW48" s="12">
        <f>VLOOKUP(A48,'Données projet'!$A$113:$I$133,9,0)</f>
        <v>4.487179487179489</v>
      </c>
      <c r="BX48" s="12">
        <f t="array" ref="BX48">INDEX(BW:BW,MIN(IF(ISNUMBER(BW48:BW244),ROW(BW48:BW244),"")))</f>
        <v>4.487179487179489</v>
      </c>
      <c r="BY48" s="12">
        <f>IF('Données projet'!$A$114&gt;35,BY47+BX48-CG47,IF(A48&lt;'Données projet'!$A$114,$BV$205^A48,IF(A48='Données projet'!$A$114,'Données projet'!$B$114,BY47+BX48-CG47)))</f>
        <v>115.38461538461542</v>
      </c>
      <c r="BZ48" s="13">
        <f>BY48*VLOOKUP('Données projet'!$B$12,Paramètres!$A$1:$I$89,3,0)*VLOOKUP('Données projet'!$B$12,Paramètres!$A$1:$I$89,5,0)</f>
        <v>120.60000000000005</v>
      </c>
      <c r="CA48" s="13">
        <f t="shared" si="39"/>
        <v>31.814898793993059</v>
      </c>
      <c r="CB48" s="20">
        <f t="shared" si="10"/>
        <v>265.45594873287132</v>
      </c>
      <c r="CC48" s="59">
        <f t="shared" si="11"/>
        <v>517.08270628370542</v>
      </c>
      <c r="CD48" s="59">
        <f ca="1">AVERAGE(OFFSET($CC$3,0,0,'Données projet'!$E$12+1,1))-AVERAGE(OFFSET($H$3,0,0,'Données projet'!$E$12+1,1))</f>
        <v>290.69667785754848</v>
      </c>
      <c r="CE48" s="59">
        <f t="shared" si="40"/>
        <v>256.28124185489082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14.102564102564102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0.215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17.408961438882034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17.408961438882034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242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242.00000000000006</v>
      </c>
      <c r="CU48" s="17">
        <f>CT48*VLOOKUP('Données projet'!$B$13,Paramètres!$A$1:$I$89,3,0)*VLOOKUP('Données projet'!$B$13,Paramètres!$A$1:$I$89,5,0)</f>
        <v>211.41120000000006</v>
      </c>
      <c r="CV48" s="13">
        <f t="shared" si="41"/>
        <v>52.243848094411156</v>
      </c>
      <c r="CW48" s="20">
        <f t="shared" si="13"/>
        <v>459.19920876443285</v>
      </c>
      <c r="CX48" s="59">
        <f t="shared" si="14"/>
        <v>710.82596631526701</v>
      </c>
      <c r="CY48" s="59">
        <f ca="1">AVERAGE(OFFSET($CX$3,0,0,'Données projet'!$E$13+1,1))-AVERAGE(OFFSET($H$3,0,0,'Données projet'!$E$13+1,1))</f>
        <v>408.246209980743</v>
      </c>
      <c r="CZ48" s="59">
        <f t="shared" si="42"/>
        <v>394.10236303013903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24</v>
      </c>
      <c r="DC48" s="16">
        <f>IF(ISNA(VLOOKUP(A48,'Données projet'!$A$139:$I$159,5,0)),0%,VLOOKUP(A48,'Données projet'!$A$139:$I$159,5,0)*VLOOKUP('Données projet'!$B$13,Paramètres!$A$1:$I$89,7,0))</f>
        <v>0.13250000000000001</v>
      </c>
      <c r="DD48" s="16">
        <f>IF(ISNA(VLOOKUP(A48,'Données projet'!$A$139:$I$159,6,0)),0%,VLOOKUP(A48,'Données projet'!$A$139:$I$159,6,0)*VLOOKUP('Données projet'!$B$13,Paramètres!$A$1:$I$89,7,0))</f>
        <v>0.13250000000000001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14.128999920599348</v>
      </c>
      <c r="DG48" s="21">
        <f>EXP(-LN(2)/25)*DG47+(1-EXP(-LN(2)/25))/(LN(2)/25)*Calculateur!DB48*Calculateur!DD48*VLOOKUP('Données projet'!$B$13,Paramètres!$A$1:$I$89,3,0)*0.475*44/12</f>
        <v>19.834375744211872</v>
      </c>
      <c r="DH48" s="21">
        <f>EXP(-LN(2)/2)*DH47+(1-EXP(-LN(2)/2))/(LN(2)/2)*DB48*DE48*VLOOKUP('Données projet'!$B$13,Paramètres!$A$1:$I$89,3,0)*0.475*44/12</f>
        <v>6.494278135076808</v>
      </c>
      <c r="DI48" s="22">
        <f t="shared" si="15"/>
        <v>40.457653799888035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21.970000000000002</v>
      </c>
      <c r="DO48" s="12">
        <f>IF('Données projet'!$A$166&gt;35,DO47+DN48-DW47,IF(A48&lt;'Données projet'!$A$166,$DL$205^A48,IF(A48='Données projet'!$A$166,'Données projet'!$B$166,DO47+DN48-DW47)))</f>
        <v>416.36000000000013</v>
      </c>
      <c r="DP48" s="17">
        <f>DO48*VLOOKUP('Données projet'!$B$14,Paramètres!$A$1:$I$89,3,0)*VLOOKUP('Données projet'!$B$14,Paramètres!$A$1:$I$89,5,0)</f>
        <v>232.74524000000008</v>
      </c>
      <c r="DQ48" s="13">
        <f t="shared" si="43"/>
        <v>56.875856080072602</v>
      </c>
      <c r="DR48" s="20">
        <f t="shared" si="16"/>
        <v>504.42340900612658</v>
      </c>
      <c r="DS48" s="59">
        <f t="shared" si="17"/>
        <v>756.05016655696068</v>
      </c>
      <c r="DT48" s="59">
        <f ca="1">AVERAGE(OFFSET($DS$3,0,0,'Données projet'!$E$14+1,1))-AVERAGE(OFFSET($H$3,0,0,'Données projet'!$E$14+1,1))</f>
        <v>407.05634973057056</v>
      </c>
      <c r="DU48" s="59">
        <f t="shared" si="44"/>
        <v>375.32891954889965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49.493734230207423</v>
      </c>
      <c r="EB48" s="21">
        <f>EXP(-LN(2)/25)*EB47+(1-EXP(-LN(2)/25))/(LN(2)/25)*Calculateur!DW48*Calculateur!DY48*VLOOKUP('Données projet'!$B$14,Paramètres!$A$1:$I$89,3,0)*0.475*44/12</f>
        <v>24.155500684372136</v>
      </c>
      <c r="EC48" s="21">
        <f>EXP(-LN(2)/2)*EC47+(1-EXP(-LN(2)/2))/(LN(2)/2)*DW48*DZ48*VLOOKUP('Données projet'!$B$14,Paramètres!$A$1:$I$89,3,0)*0.475*44/12</f>
        <v>4.8688852375310177</v>
      </c>
      <c r="ED48" s="22">
        <f t="shared" si="18"/>
        <v>78.518120152110569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498</v>
      </c>
      <c r="EH48" s="12">
        <f>VLOOKUP(A48,'Données projet'!$A$191:$I$211,9,0)</f>
        <v>24.2</v>
      </c>
      <c r="EI48" s="12">
        <f t="array" ref="EI48">INDEX(EH:EH,MIN(IF(ISNUMBER(EH48:EH244),ROW(EH48:EH244),"")))</f>
        <v>24.2</v>
      </c>
      <c r="EJ48" s="12">
        <f>IF('Données projet'!$A$192&gt;35,EJ47+EI48-ER47,IF(A48&lt;'Données projet'!$A$192,$EG$205^A48,IF(A48='Données projet'!$A$192,'Données projet'!$B$192,EJ47+EI48-ER47)))</f>
        <v>497.99999999999989</v>
      </c>
      <c r="EK48" s="17">
        <f>EJ48*VLOOKUP('Données projet'!$B$15,Paramètres!$A$1:$I$89,3,0)*VLOOKUP('Données projet'!$B$15,Paramètres!$A$1:$I$89,5,0)</f>
        <v>220.11599999999996</v>
      </c>
      <c r="EL48" s="13">
        <f t="shared" si="45"/>
        <v>54.140096973925921</v>
      </c>
      <c r="EM48" s="20">
        <f t="shared" si="19"/>
        <v>477.66270222958752</v>
      </c>
      <c r="EN48" s="59">
        <f t="shared" si="20"/>
        <v>729.28945978042168</v>
      </c>
      <c r="EO48" s="59">
        <f ca="1">AVERAGE(OFFSET($EN$3,0,0,'Données projet'!$E$15+1,1))-AVERAGE(OFFSET($H$3,0,0,'Données projet'!$E$15+1,1))</f>
        <v>418.28022549686278</v>
      </c>
      <c r="EP48" s="59">
        <f t="shared" si="46"/>
        <v>354.55070454517158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63</v>
      </c>
      <c r="ES48" s="16">
        <f>IF(ISNA(VLOOKUP(A48,'Données projet'!$A$191:$I$211,5,0)),0%,VLOOKUP(A48,'Données projet'!$A$191:$I$211,5,0)*VLOOKUP('Données projet'!$B$15,Paramètres!$A$1:$I$89,7,0))</f>
        <v>0.33</v>
      </c>
      <c r="ET48" s="16">
        <f>IF(ISNA(VLOOKUP(A48,'Données projet'!$A$191:$I$211,6,0)),0%,VLOOKUP(A48,'Données projet'!$A$191:$I$211,6,0)*VLOOKUP('Données projet'!$B$15,Paramètres!$A$1:$I$89,7,0))</f>
        <v>0.11000000000000001</v>
      </c>
      <c r="EU48" s="16">
        <f>IF(ISNA(VLOOKUP(A48,'Données projet'!$A$191:$I$211,7,0)),0%,VLOOKUP(A48,'Données projet'!$A$191:$I$211,7,0))</f>
        <v>0.2</v>
      </c>
      <c r="EV48" s="21">
        <f>EXP(-LN(2)/35)*EV47+(1-EXP(-LN(2)/35))/(LN(2)/35)*ER48*ES48*VLOOKUP('Données projet'!$B$15,Paramètres!$A$1:$I$89,3,0)*0.475*44/12</f>
        <v>28.394562984207496</v>
      </c>
      <c r="EW48" s="21">
        <f>EXP(-LN(2)/25)*EW47+(1-EXP(-LN(2)/25))/(LN(2)/25)*Calculateur!ER48*Calculateur!ET48*VLOOKUP('Données projet'!$B$15,Paramètres!$A$1:$I$89,3,0)*0.475*44/12</f>
        <v>25.777798995989379</v>
      </c>
      <c r="EX48" s="21">
        <f>EXP(-LN(2)/2)*EX47+(1-EXP(-LN(2)/2))/(LN(2)/2)*ER48*EU48*VLOOKUP('Données projet'!$B$15,Paramètres!$A$1:$I$89,3,0)*0.475*44/12</f>
        <v>8.8759808193019012</v>
      </c>
      <c r="EY48" s="22">
        <f t="shared" si="21"/>
        <v>63.048342799498776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3.3603333333333336</v>
      </c>
      <c r="FE48" s="12">
        <f>IF('Données projet'!$A$218&gt;35,FE47+FD48-FM47,IF(A48&lt;'Données projet'!$A$218,$FB$205^A48,IF(A48='Données projet'!$A$218,'Données projet'!$B$218,FE47+FD48-FM47)))</f>
        <v>151.21499999999995</v>
      </c>
      <c r="FF48" s="17">
        <f>FE48*VLOOKUP('Données projet'!$B$16,Paramètres!$A$1:$I$89,3,0)*VLOOKUP('Données projet'!$B$16,Paramètres!$A$1:$I$89,5,0)</f>
        <v>172.20364199999995</v>
      </c>
      <c r="FG48" s="13">
        <f t="shared" si="47"/>
        <v>43.583195531641088</v>
      </c>
      <c r="FH48" s="20">
        <f t="shared" si="22"/>
        <v>375.82874203427474</v>
      </c>
      <c r="FI48" s="59">
        <f t="shared" si="23"/>
        <v>627.4554995851089</v>
      </c>
      <c r="FJ48" s="59">
        <f ca="1">AVERAGE(OFFSET($FI$3,0,0,'Données projet'!$E$16+1,1))-AVERAGE(OFFSET($H$3,0,0,'Données projet'!$E$16+1,1))</f>
        <v>640.05156427113661</v>
      </c>
      <c r="FK48" s="59">
        <f t="shared" si="48"/>
        <v>308.77220155372902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14.689999999999998</v>
      </c>
      <c r="N49" s="13">
        <f>IF('Données projet'!$A$36&gt;35,N48+M49-V48,IF(A49&lt;'Données projet'!$A$36,$K$205^A49,IF(A49='Données projet'!$A$36,'Données projet'!$B$36,N48+M49-V48)))</f>
        <v>319.87000000000006</v>
      </c>
      <c r="O49" s="13">
        <f>N49*VLOOKUP('Données projet'!$B$9,Paramètres!$A$1:$I$89,3,0)*VLOOKUP('Données projet'!$B$9,Paramètres!$A$1:$I$89,5,0)</f>
        <v>191.28226000000004</v>
      </c>
      <c r="P49" s="13">
        <f t="shared" si="33"/>
        <v>47.823331262073218</v>
      </c>
      <c r="Q49" s="20">
        <f t="shared" si="53"/>
        <v>416.44223811477758</v>
      </c>
      <c r="R49" s="59">
        <f t="shared" si="0"/>
        <v>668.7925115135032</v>
      </c>
      <c r="S49" s="59">
        <f ca="1">AVERAGE(OFFSET($R$3,0,0,'Données projet'!$E$9+1,1))-AVERAGE(OFFSET($H$3,0,0,'Données projet'!$E$9+1,1))</f>
        <v>318.50474972254085</v>
      </c>
      <c r="T49" s="59">
        <f t="shared" si="34"/>
        <v>326.45858332753562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41.261981181239292</v>
      </c>
      <c r="AA49" s="21">
        <f>EXP(-LN(2)/25)*AA48+(1-EXP(-LN(2)/25))/(LN(2)/25)*Calculateur!V49*Calculateur!X49*VLOOKUP('Données projet'!$B$9,Paramètres!$A$1:$I$89,3,0)*0.475*44/12</f>
        <v>19.162241501362004</v>
      </c>
      <c r="AB49" s="21">
        <f>EXP(-LN(2)/2)*AB48+(1-EXP(-LN(2)/2))/(LN(2)/2)*V49*Y49*VLOOKUP('Données projet'!$B$9,Paramètres!$A$1:$I$89,3,0)*0.475*44/12</f>
        <v>5.647550432128833</v>
      </c>
      <c r="AC49" s="22">
        <f t="shared" si="3"/>
        <v>66.071773114730135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7.7715686274509812</v>
      </c>
      <c r="AI49" s="13">
        <f>IF('Données projet'!$A$62&gt;35,AI48+AH49-AQ48,IF(A49&lt;'Données projet'!$A$62,$AF$205^A49,IF(A49='Données projet'!$A$62,'Données projet'!$B$62,AI48+AH49-AQ48)))</f>
        <v>357.49215686274493</v>
      </c>
      <c r="AJ49" s="13">
        <f>AI49*VLOOKUP('Données projet'!$B$10,Paramètres!$A$1:$I$89,3,0)*VLOOKUP('Données projet'!$B$10,Paramètres!$A$1:$I$89,5,0)</f>
        <v>167.30632941176464</v>
      </c>
      <c r="AK49" s="13">
        <f t="shared" si="35"/>
        <v>42.486171323937178</v>
      </c>
      <c r="AL49" s="20">
        <f t="shared" si="4"/>
        <v>365.388605448014</v>
      </c>
      <c r="AM49" s="59">
        <f t="shared" si="5"/>
        <v>617.73887884673968</v>
      </c>
      <c r="AN49" s="59">
        <f ca="1">AVERAGE(OFFSET($AM$3,0,0,'Données projet'!$E$10+1,1))-AVERAGE(OFFSET($H$3,0,0,'Données projet'!$E$10+1,1))</f>
        <v>374.38106339726073</v>
      </c>
      <c r="AO49" s="59">
        <f t="shared" si="36"/>
        <v>296.53283288925957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10.110000000000001</v>
      </c>
      <c r="BD49" s="12">
        <f>IF('Données projet'!$A$88&gt;35,BD48+BC49-BL48,IF(A49&lt;'Données projet'!$A$88,$BA$205^A49,IF(A49='Données projet'!$A$88,'Données projet'!$B$88,BD48+BC49-BL48)))</f>
        <v>167.89000000000016</v>
      </c>
      <c r="BE49" s="13">
        <f>BD49*VLOOKUP('Données projet'!$B$11,Paramètres!$A$1:$I$89,3,0)*VLOOKUP('Données projet'!$B$11,Paramètres!$A$1:$I$89,5,0)</f>
        <v>151.90687200000013</v>
      </c>
      <c r="BF49" s="13">
        <f t="shared" si="37"/>
        <v>39.011610015763097</v>
      </c>
      <c r="BG49" s="20">
        <f t="shared" si="7"/>
        <v>332.51635617745427</v>
      </c>
      <c r="BH49" s="59">
        <f t="shared" si="8"/>
        <v>584.86662957617989</v>
      </c>
      <c r="BI49" s="59">
        <f ca="1">AVERAGE(OFFSET($BH$3,0,0,'Données projet'!$E$11+1,1))-AVERAGE(OFFSET($H$3,0,0,'Données projet'!$E$11+1,1))</f>
        <v>681.47578137804555</v>
      </c>
      <c r="BJ49" s="59">
        <f t="shared" si="38"/>
        <v>300.88511065995885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13.653298388926505</v>
      </c>
      <c r="BR49" s="21">
        <f>EXP(-LN(2)/2)*BR48+(1-EXP(-LN(2)/2))/(LN(2)/2)*BL49*BO49*VLOOKUP('Données projet'!$B$11,Paramètres!$A$1:$I$89,3,0)*0.475*44/12</f>
        <v>1.8999163655214437</v>
      </c>
      <c r="BS49" s="22">
        <f t="shared" si="9"/>
        <v>15.553214754447948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4.2307692307692291</v>
      </c>
      <c r="BY49" s="12">
        <f>IF('Données projet'!$A$114&gt;35,BY48+BX49-CG48,IF(A49&lt;'Données projet'!$A$114,$BV$205^A49,IF(A49='Données projet'!$A$114,'Données projet'!$B$114,BY48+BX49-CG48)))</f>
        <v>105.51282051282054</v>
      </c>
      <c r="BZ49" s="13">
        <f>BY49*VLOOKUP('Données projet'!$B$12,Paramètres!$A$1:$I$89,3,0)*VLOOKUP('Données projet'!$B$12,Paramètres!$A$1:$I$89,5,0)</f>
        <v>110.28200000000004</v>
      </c>
      <c r="CA49" s="13">
        <f t="shared" si="39"/>
        <v>29.397416068224018</v>
      </c>
      <c r="CB49" s="20">
        <f t="shared" si="10"/>
        <v>243.2749829854902</v>
      </c>
      <c r="CC49" s="59">
        <f t="shared" si="11"/>
        <v>495.62525638421585</v>
      </c>
      <c r="CD49" s="59">
        <f ca="1">AVERAGE(OFFSET($CC$3,0,0,'Données projet'!$E$12+1,1))-AVERAGE(OFFSET($H$3,0,0,'Données projet'!$E$12+1,1))</f>
        <v>290.69667785754848</v>
      </c>
      <c r="CE49" s="59">
        <f t="shared" si="40"/>
        <v>256.28124185489082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16.932912472838311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16.932912472838311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8.6</v>
      </c>
      <c r="CT49" s="12">
        <f>IF('Données projet'!$A$140&gt;35,CT48+CS49-DB48,IF(A49&lt;'Données projet'!$A$140,$CQ$205^A49,IF(A49='Données projet'!$A$140,'Données projet'!$B$140,CT48+CS49-DB48)))</f>
        <v>226.60000000000005</v>
      </c>
      <c r="CU49" s="17">
        <f>CT49*VLOOKUP('Données projet'!$B$13,Paramètres!$A$1:$I$89,3,0)*VLOOKUP('Données projet'!$B$13,Paramètres!$A$1:$I$89,5,0)</f>
        <v>197.95776000000006</v>
      </c>
      <c r="CV49" s="13">
        <f t="shared" si="41"/>
        <v>49.295077435194649</v>
      </c>
      <c r="CW49" s="20">
        <f t="shared" si="13"/>
        <v>430.63202519963079</v>
      </c>
      <c r="CX49" s="59">
        <f t="shared" si="14"/>
        <v>682.98229859835646</v>
      </c>
      <c r="CY49" s="59">
        <f ca="1">AVERAGE(OFFSET($CX$3,0,0,'Données projet'!$E$13+1,1))-AVERAGE(OFFSET($H$3,0,0,'Données projet'!$E$13+1,1))</f>
        <v>408.246209980743</v>
      </c>
      <c r="CZ49" s="59">
        <f t="shared" si="42"/>
        <v>394.10236303013903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13.851938849995406</v>
      </c>
      <c r="DG49" s="21">
        <f>EXP(-LN(2)/25)*DG48+(1-EXP(-LN(2)/25))/(LN(2)/25)*Calculateur!DB49*Calculateur!DD49*VLOOKUP('Données projet'!$B$13,Paramètres!$A$1:$I$89,3,0)*0.475*44/12</f>
        <v>19.29200369644191</v>
      </c>
      <c r="DH49" s="21">
        <f>EXP(-LN(2)/2)*DH48+(1-EXP(-LN(2)/2))/(LN(2)/2)*DB49*DE49*VLOOKUP('Données projet'!$B$13,Paramètres!$A$1:$I$89,3,0)*0.475*44/12</f>
        <v>4.5921481082243369</v>
      </c>
      <c r="DI49" s="22">
        <f t="shared" si="15"/>
        <v>37.736090654661652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21.970000000000002</v>
      </c>
      <c r="DO49" s="12">
        <f>IF('Données projet'!$A$166&gt;35,DO48+DN49-DW48,IF(A49&lt;'Données projet'!$A$166,$DL$205^A49,IF(A49='Données projet'!$A$166,'Données projet'!$B$166,DO48+DN49-DW48)))</f>
        <v>438.33000000000015</v>
      </c>
      <c r="DP49" s="17">
        <f>DO49*VLOOKUP('Données projet'!$B$14,Paramètres!$A$1:$I$89,3,0)*VLOOKUP('Données projet'!$B$14,Paramètres!$A$1:$I$89,5,0)</f>
        <v>245.02647000000007</v>
      </c>
      <c r="DQ49" s="13">
        <f t="shared" si="43"/>
        <v>59.519691926533838</v>
      </c>
      <c r="DR49" s="20">
        <f t="shared" si="16"/>
        <v>530.41789868871319</v>
      </c>
      <c r="DS49" s="59">
        <f t="shared" si="17"/>
        <v>782.76817208743887</v>
      </c>
      <c r="DT49" s="59">
        <f ca="1">AVERAGE(OFFSET($DS$3,0,0,'Données projet'!$E$14+1,1))-AVERAGE(OFFSET($H$3,0,0,'Données projet'!$E$14+1,1))</f>
        <v>407.05634973057056</v>
      </c>
      <c r="DU49" s="59">
        <f t="shared" si="44"/>
        <v>375.32891954889965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48.523192290150099</v>
      </c>
      <c r="EB49" s="21">
        <f>EXP(-LN(2)/25)*EB48+(1-EXP(-LN(2)/25))/(LN(2)/25)*Calculateur!DW49*Calculateur!DY49*VLOOKUP('Données projet'!$B$14,Paramètres!$A$1:$I$89,3,0)*0.475*44/12</f>
        <v>23.494967247875408</v>
      </c>
      <c r="EC49" s="21">
        <f>EXP(-LN(2)/2)*EC48+(1-EXP(-LN(2)/2))/(LN(2)/2)*DW49*DZ49*VLOOKUP('Données projet'!$B$14,Paramètres!$A$1:$I$89,3,0)*0.475*44/12</f>
        <v>3.4428217682772568</v>
      </c>
      <c r="ED49" s="22">
        <f t="shared" si="18"/>
        <v>75.46098130630277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22.8</v>
      </c>
      <c r="EJ49" s="12">
        <f>IF('Données projet'!$A$192&gt;35,EJ48+EI49-ER48,IF(A49&lt;'Données projet'!$A$192,$EG$205^A49,IF(A49='Données projet'!$A$192,'Données projet'!$B$192,EJ48+EI49-ER48)))</f>
        <v>457.79999999999984</v>
      </c>
      <c r="EK49" s="17">
        <f>EJ49*VLOOKUP('Données projet'!$B$15,Paramètres!$A$1:$I$89,3,0)*VLOOKUP('Données projet'!$B$15,Paramètres!$A$1:$I$89,5,0)</f>
        <v>202.34759999999994</v>
      </c>
      <c r="EL49" s="13">
        <f t="shared" si="45"/>
        <v>50.259748221306481</v>
      </c>
      <c r="EM49" s="20">
        <f t="shared" si="19"/>
        <v>439.95779815210875</v>
      </c>
      <c r="EN49" s="59">
        <f t="shared" si="20"/>
        <v>692.30807155083437</v>
      </c>
      <c r="EO49" s="59">
        <f ca="1">AVERAGE(OFFSET($EN$3,0,0,'Données projet'!$E$15+1,1))-AVERAGE(OFFSET($H$3,0,0,'Données projet'!$E$15+1,1))</f>
        <v>418.28022549686278</v>
      </c>
      <c r="EP49" s="59">
        <f t="shared" si="46"/>
        <v>354.55070454517158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27.837762923060502</v>
      </c>
      <c r="EW49" s="21">
        <f>EXP(-LN(2)/25)*EW48+(1-EXP(-LN(2)/25))/(LN(2)/25)*Calculateur!ER49*Calculateur!ET49*VLOOKUP('Données projet'!$B$15,Paramètres!$A$1:$I$89,3,0)*0.475*44/12</f>
        <v>25.072903726848516</v>
      </c>
      <c r="EX49" s="21">
        <f>EXP(-LN(2)/2)*EX48+(1-EXP(-LN(2)/2))/(LN(2)/2)*ER49*EU49*VLOOKUP('Données projet'!$B$15,Paramètres!$A$1:$I$89,3,0)*0.475*44/12</f>
        <v>6.2762662270101028</v>
      </c>
      <c r="EY49" s="22">
        <f t="shared" si="21"/>
        <v>59.186932876919123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3.3603333333333336</v>
      </c>
      <c r="FE49" s="12">
        <f>IF('Données projet'!$A$218&gt;35,FE48+FD49-FM48,IF(A49&lt;'Données projet'!$A$218,$FB$205^A49,IF(A49='Données projet'!$A$218,'Données projet'!$B$218,FE48+FD49-FM48)))</f>
        <v>154.57533333333328</v>
      </c>
      <c r="FF49" s="17">
        <f>FE49*VLOOKUP('Données projet'!$B$16,Paramètres!$A$1:$I$89,3,0)*VLOOKUP('Données projet'!$B$16,Paramètres!$A$1:$I$89,5,0)</f>
        <v>176.03038959999992</v>
      </c>
      <c r="FG49" s="13">
        <f t="shared" si="47"/>
        <v>44.437878026410679</v>
      </c>
      <c r="FH49" s="20">
        <f t="shared" si="22"/>
        <v>383.98223278266511</v>
      </c>
      <c r="FI49" s="59">
        <f t="shared" si="23"/>
        <v>636.33250618139073</v>
      </c>
      <c r="FJ49" s="59">
        <f ca="1">AVERAGE(OFFSET($FI$3,0,0,'Données projet'!$E$16+1,1))-AVERAGE(OFFSET($H$3,0,0,'Données projet'!$E$16+1,1))</f>
        <v>640.05156427113661</v>
      </c>
      <c r="FK49" s="59">
        <f t="shared" si="48"/>
        <v>308.77220155372902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14.689999999999998</v>
      </c>
      <c r="N50" s="13">
        <f>IF('Données projet'!$A$36&gt;35,N49+M50-V49,IF(A50&lt;'Données projet'!$A$36,$K$205^A50,IF(A50='Données projet'!$A$36,'Données projet'!$B$36,N49+M50-V49)))</f>
        <v>334.56000000000006</v>
      </c>
      <c r="O50" s="13">
        <f>N50*VLOOKUP('Données projet'!$B$9,Paramètres!$A$1:$I$89,3,0)*VLOOKUP('Données projet'!$B$9,Paramètres!$A$1:$I$89,5,0)</f>
        <v>200.06688000000005</v>
      </c>
      <c r="P50" s="13">
        <f t="shared" si="33"/>
        <v>49.758865639104997</v>
      </c>
      <c r="Q50" s="20">
        <f t="shared" si="53"/>
        <v>435.11317365477458</v>
      </c>
      <c r="R50" s="59">
        <f t="shared" si="0"/>
        <v>688.17441151896992</v>
      </c>
      <c r="S50" s="59">
        <f ca="1">AVERAGE(OFFSET($R$3,0,0,'Données projet'!$E$9+1,1))-AVERAGE(OFFSET($H$3,0,0,'Données projet'!$E$9+1,1))</f>
        <v>318.50474972254085</v>
      </c>
      <c r="T50" s="59">
        <f t="shared" si="34"/>
        <v>326.45858332753562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40.452858897598645</v>
      </c>
      <c r="AA50" s="21">
        <f>EXP(-LN(2)/25)*AA49+(1-EXP(-LN(2)/25))/(LN(2)/25)*Calculateur!V50*Calculateur!X50*VLOOKUP('Données projet'!$B$9,Paramètres!$A$1:$I$89,3,0)*0.475*44/12</f>
        <v>18.638248999808777</v>
      </c>
      <c r="AB50" s="21">
        <f>EXP(-LN(2)/2)*AB49+(1-EXP(-LN(2)/2))/(LN(2)/2)*V50*Y50*VLOOKUP('Données projet'!$B$9,Paramètres!$A$1:$I$89,3,0)*0.475*44/12</f>
        <v>3.9934212076513149</v>
      </c>
      <c r="AC50" s="22">
        <f t="shared" si="3"/>
        <v>63.084529105058742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7.7715686274509812</v>
      </c>
      <c r="AI50" s="13">
        <f>IF('Données projet'!$A$62&gt;35,AI49+AH50-AQ49,IF(A50&lt;'Données projet'!$A$62,$AF$205^A50,IF(A50='Données projet'!$A$62,'Données projet'!$B$62,AI49+AH50-AQ49)))</f>
        <v>365.2637254901959</v>
      </c>
      <c r="AJ50" s="13">
        <f>AI50*VLOOKUP('Données projet'!$B$10,Paramètres!$A$1:$I$89,3,0)*VLOOKUP('Données projet'!$B$10,Paramètres!$A$1:$I$89,5,0)</f>
        <v>170.94342352941169</v>
      </c>
      <c r="AK50" s="13">
        <f t="shared" si="35"/>
        <v>43.301250967807881</v>
      </c>
      <c r="AL50" s="20">
        <f t="shared" si="4"/>
        <v>373.14280808265738</v>
      </c>
      <c r="AM50" s="59">
        <f t="shared" si="5"/>
        <v>626.20404594685283</v>
      </c>
      <c r="AN50" s="59">
        <f ca="1">AVERAGE(OFFSET($AM$3,0,0,'Données projet'!$E$10+1,1))-AVERAGE(OFFSET($H$3,0,0,'Données projet'!$E$10+1,1))</f>
        <v>374.38106339726073</v>
      </c>
      <c r="AO50" s="59">
        <f t="shared" si="36"/>
        <v>296.53283288925957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10.110000000000001</v>
      </c>
      <c r="BD50" s="12">
        <f>IF('Données projet'!$A$88&gt;35,BD49+BC50-BL49,IF(A50&lt;'Données projet'!$A$88,$BA$205^A50,IF(A50='Données projet'!$A$88,'Données projet'!$B$88,BD49+BC50-BL49)))</f>
        <v>178.00000000000017</v>
      </c>
      <c r="BE50" s="13">
        <f>BD50*VLOOKUP('Données projet'!$B$11,Paramètres!$A$1:$I$89,3,0)*VLOOKUP('Données projet'!$B$11,Paramètres!$A$1:$I$89,5,0)</f>
        <v>161.05440000000016</v>
      </c>
      <c r="BF50" s="13">
        <f t="shared" si="37"/>
        <v>41.080247278685491</v>
      </c>
      <c r="BG50" s="20">
        <f t="shared" si="7"/>
        <v>352.05117734371078</v>
      </c>
      <c r="BH50" s="59">
        <f t="shared" si="8"/>
        <v>605.11241520790622</v>
      </c>
      <c r="BI50" s="59">
        <f ca="1">AVERAGE(OFFSET($BH$3,0,0,'Données projet'!$E$11+1,1))-AVERAGE(OFFSET($H$3,0,0,'Données projet'!$E$11+1,1))</f>
        <v>681.47578137804555</v>
      </c>
      <c r="BJ50" s="59">
        <f t="shared" si="38"/>
        <v>300.88511065995885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13.279948226485553</v>
      </c>
      <c r="BR50" s="21">
        <f>EXP(-LN(2)/2)*BR49+(1-EXP(-LN(2)/2))/(LN(2)/2)*BL50*BO50*VLOOKUP('Données projet'!$B$11,Paramètres!$A$1:$I$89,3,0)*0.475*44/12</f>
        <v>1.3434437457475121</v>
      </c>
      <c r="BS50" s="22">
        <f t="shared" si="9"/>
        <v>14.623391972233065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4.2307692307692291</v>
      </c>
      <c r="BY50" s="12">
        <f>IF('Données projet'!$A$114&gt;35,BY49+BX50-CG49,IF(A50&lt;'Données projet'!$A$114,$BV$205^A50,IF(A50='Données projet'!$A$114,'Données projet'!$B$114,BY49+BX50-CG49)))</f>
        <v>109.74358974358977</v>
      </c>
      <c r="BZ50" s="13">
        <f>BY50*VLOOKUP('Données projet'!$B$12,Paramètres!$A$1:$I$89,3,0)*VLOOKUP('Données projet'!$B$12,Paramètres!$A$1:$I$89,5,0)</f>
        <v>114.70400000000002</v>
      </c>
      <c r="CA50" s="13">
        <f t="shared" si="39"/>
        <v>30.436568208065971</v>
      </c>
      <c r="CB50" s="20">
        <f t="shared" si="10"/>
        <v>252.78648962904825</v>
      </c>
      <c r="CC50" s="59">
        <f t="shared" si="11"/>
        <v>505.84772749324361</v>
      </c>
      <c r="CD50" s="59">
        <f ca="1">AVERAGE(OFFSET($CC$3,0,0,'Données projet'!$E$12+1,1))-AVERAGE(OFFSET($H$3,0,0,'Données projet'!$E$12+1,1))</f>
        <v>290.69667785754848</v>
      </c>
      <c r="CE50" s="59">
        <f t="shared" si="40"/>
        <v>256.28124185489082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16.46988109080538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16.46988109080538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8.6</v>
      </c>
      <c r="CT50" s="12">
        <f>IF('Données projet'!$A$140&gt;35,CT49+CS50-DB49,IF(A50&lt;'Données projet'!$A$140,$CQ$205^A50,IF(A50='Données projet'!$A$140,'Données projet'!$B$140,CT49+CS50-DB49)))</f>
        <v>235.20000000000005</v>
      </c>
      <c r="CU50" s="17">
        <f>CT50*VLOOKUP('Données projet'!$B$13,Paramètres!$A$1:$I$89,3,0)*VLOOKUP('Données projet'!$B$13,Paramètres!$A$1:$I$89,5,0)</f>
        <v>205.47072000000009</v>
      </c>
      <c r="CV50" s="13">
        <f t="shared" si="41"/>
        <v>50.944571570352757</v>
      </c>
      <c r="CW50" s="20">
        <f t="shared" si="13"/>
        <v>446.58996615169781</v>
      </c>
      <c r="CX50" s="59">
        <f t="shared" si="14"/>
        <v>699.6512040158932</v>
      </c>
      <c r="CY50" s="59">
        <f ca="1">AVERAGE(OFFSET($CX$3,0,0,'Données projet'!$E$13+1,1))-AVERAGE(OFFSET($H$3,0,0,'Données projet'!$E$13+1,1))</f>
        <v>408.246209980743</v>
      </c>
      <c r="CZ50" s="59">
        <f t="shared" si="42"/>
        <v>394.10236303013903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13.58031077799544</v>
      </c>
      <c r="DG50" s="21">
        <f>EXP(-LN(2)/25)*DG49+(1-EXP(-LN(2)/25))/(LN(2)/25)*Calculateur!DB50*Calculateur!DD50*VLOOKUP('Données projet'!$B$13,Paramètres!$A$1:$I$89,3,0)*0.475*44/12</f>
        <v>18.764462840840324</v>
      </c>
      <c r="DH50" s="21">
        <f>EXP(-LN(2)/2)*DH49+(1-EXP(-LN(2)/2))/(LN(2)/2)*DB50*DE50*VLOOKUP('Données projet'!$B$13,Paramètres!$A$1:$I$89,3,0)*0.475*44/12</f>
        <v>3.2471390675384044</v>
      </c>
      <c r="DI50" s="22">
        <f t="shared" si="15"/>
        <v>35.591912686374165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21.970000000000002</v>
      </c>
      <c r="DO50" s="12">
        <f>IF('Données projet'!$A$166&gt;35,DO49+DN50-DW49,IF(A50&lt;'Données projet'!$A$166,$DL$205^A50,IF(A50='Données projet'!$A$166,'Données projet'!$B$166,DO49+DN50-DW49)))</f>
        <v>460.30000000000018</v>
      </c>
      <c r="DP50" s="17">
        <f>DO50*VLOOKUP('Données projet'!$B$14,Paramètres!$A$1:$I$89,3,0)*VLOOKUP('Données projet'!$B$14,Paramètres!$A$1:$I$89,5,0)</f>
        <v>257.30770000000012</v>
      </c>
      <c r="DQ50" s="13">
        <f t="shared" si="43"/>
        <v>62.148141193508692</v>
      </c>
      <c r="DR50" s="20">
        <f t="shared" si="16"/>
        <v>556.38559007869458</v>
      </c>
      <c r="DS50" s="59">
        <f t="shared" si="17"/>
        <v>809.44682794288997</v>
      </c>
      <c r="DT50" s="59">
        <f ca="1">AVERAGE(OFFSET($DS$3,0,0,'Données projet'!$E$14+1,1))-AVERAGE(OFFSET($H$3,0,0,'Données projet'!$E$14+1,1))</f>
        <v>407.05634973057056</v>
      </c>
      <c r="DU50" s="59">
        <f t="shared" si="44"/>
        <v>375.32891954889965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47.571682085565172</v>
      </c>
      <c r="EB50" s="21">
        <f>EXP(-LN(2)/25)*EB49+(1-EXP(-LN(2)/25))/(LN(2)/25)*Calculateur!DW50*Calculateur!DY50*VLOOKUP('Données projet'!$B$14,Paramètres!$A$1:$I$89,3,0)*0.475*44/12</f>
        <v>22.852496132935627</v>
      </c>
      <c r="EC50" s="21">
        <f>EXP(-LN(2)/2)*EC49+(1-EXP(-LN(2)/2))/(LN(2)/2)*DW50*DZ50*VLOOKUP('Données projet'!$B$14,Paramètres!$A$1:$I$89,3,0)*0.475*44/12</f>
        <v>2.4344426187655088</v>
      </c>
      <c r="ED50" s="22">
        <f t="shared" si="18"/>
        <v>72.858620837266301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22.8</v>
      </c>
      <c r="EJ50" s="12">
        <f>IF('Données projet'!$A$192&gt;35,EJ49+EI50-ER49,IF(A50&lt;'Données projet'!$A$192,$EG$205^A50,IF(A50='Données projet'!$A$192,'Données projet'!$B$192,EJ49+EI50-ER49)))</f>
        <v>480.59999999999985</v>
      </c>
      <c r="EK50" s="17">
        <f>EJ50*VLOOKUP('Données projet'!$B$15,Paramètres!$A$1:$I$89,3,0)*VLOOKUP('Données projet'!$B$15,Paramètres!$A$1:$I$89,5,0)</f>
        <v>212.42519999999996</v>
      </c>
      <c r="EL50" s="13">
        <f t="shared" si="45"/>
        <v>52.465198231787184</v>
      </c>
      <c r="EM50" s="20">
        <f t="shared" si="19"/>
        <v>461.35077692036253</v>
      </c>
      <c r="EN50" s="59">
        <f t="shared" si="20"/>
        <v>714.41201478455787</v>
      </c>
      <c r="EO50" s="59">
        <f ca="1">AVERAGE(OFFSET($EN$3,0,0,'Données projet'!$E$15+1,1))-AVERAGE(OFFSET($H$3,0,0,'Données projet'!$E$15+1,1))</f>
        <v>418.28022549686278</v>
      </c>
      <c r="EP50" s="59">
        <f t="shared" si="46"/>
        <v>354.55070454517158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27.291881371498096</v>
      </c>
      <c r="EW50" s="21">
        <f>EXP(-LN(2)/25)*EW49+(1-EXP(-LN(2)/25))/(LN(2)/25)*Calculateur!ER50*Calculateur!ET50*VLOOKUP('Données projet'!$B$15,Paramètres!$A$1:$I$89,3,0)*0.475*44/12</f>
        <v>24.387283855911139</v>
      </c>
      <c r="EX50" s="21">
        <f>EXP(-LN(2)/2)*EX49+(1-EXP(-LN(2)/2))/(LN(2)/2)*ER50*EU50*VLOOKUP('Données projet'!$B$15,Paramètres!$A$1:$I$89,3,0)*0.475*44/12</f>
        <v>4.4379904096509515</v>
      </c>
      <c r="EY50" s="22">
        <f t="shared" si="21"/>
        <v>56.117155637060186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3.3603333333333336</v>
      </c>
      <c r="FE50" s="12">
        <f>IF('Données projet'!$A$218&gt;35,FE49+FD50-FM49,IF(A50&lt;'Données projet'!$A$218,$FB$205^A50,IF(A50='Données projet'!$A$218,'Données projet'!$B$218,FE49+FD50-FM49)))</f>
        <v>157.93566666666661</v>
      </c>
      <c r="FF50" s="17">
        <f>FE50*VLOOKUP('Données projet'!$B$16,Paramètres!$A$1:$I$89,3,0)*VLOOKUP('Données projet'!$B$16,Paramètres!$A$1:$I$89,5,0)</f>
        <v>179.85713719999993</v>
      </c>
      <c r="FG50" s="13">
        <f t="shared" si="47"/>
        <v>45.290400357029107</v>
      </c>
      <c r="FH50" s="20">
        <f t="shared" si="22"/>
        <v>392.13196124515889</v>
      </c>
      <c r="FI50" s="59">
        <f t="shared" si="23"/>
        <v>645.19319910935428</v>
      </c>
      <c r="FJ50" s="59">
        <f ca="1">AVERAGE(OFFSET($FI$3,0,0,'Données projet'!$E$16+1,1))-AVERAGE(OFFSET($H$3,0,0,'Données projet'!$E$16+1,1))</f>
        <v>640.05156427113661</v>
      </c>
      <c r="FK50" s="59">
        <f t="shared" si="48"/>
        <v>308.77220155372902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14.689999999999998</v>
      </c>
      <c r="N51" s="13">
        <f>IF('Données projet'!$A$36&gt;35,N50+M51-V50,IF(A51&lt;'Données projet'!$A$36,$K$205^A51,IF(A51='Données projet'!$A$36,'Données projet'!$B$36,N50+M51-V50)))</f>
        <v>349.25000000000006</v>
      </c>
      <c r="O51" s="13">
        <f>N51*VLOOKUP('Données projet'!$B$9,Paramètres!$A$1:$I$89,3,0)*VLOOKUP('Données projet'!$B$9,Paramètres!$A$1:$I$89,5,0)</f>
        <v>208.85150000000004</v>
      </c>
      <c r="P51" s="13">
        <f t="shared" si="33"/>
        <v>51.684529504057373</v>
      </c>
      <c r="Q51" s="20">
        <f t="shared" si="53"/>
        <v>453.76691805289994</v>
      </c>
      <c r="R51" s="59">
        <f t="shared" si="0"/>
        <v>707.52678673856758</v>
      </c>
      <c r="S51" s="59">
        <f ca="1">AVERAGE(OFFSET($R$3,0,0,'Données projet'!$E$9+1,1))-AVERAGE(OFFSET($H$3,0,0,'Données projet'!$E$9+1,1))</f>
        <v>318.50474972254085</v>
      </c>
      <c r="T51" s="59">
        <f t="shared" si="34"/>
        <v>326.45858332753562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39.659603008424327</v>
      </c>
      <c r="AA51" s="21">
        <f>EXP(-LN(2)/25)*AA50+(1-EXP(-LN(2)/25))/(LN(2)/25)*Calculateur!V51*Calculateur!X51*VLOOKUP('Données projet'!$B$9,Paramètres!$A$1:$I$89,3,0)*0.475*44/12</f>
        <v>18.128585100766088</v>
      </c>
      <c r="AB51" s="21">
        <f>EXP(-LN(2)/2)*AB50+(1-EXP(-LN(2)/2))/(LN(2)/2)*V51*Y51*VLOOKUP('Données projet'!$B$9,Paramètres!$A$1:$I$89,3,0)*0.475*44/12</f>
        <v>2.8237752160644169</v>
      </c>
      <c r="AC51" s="22">
        <f t="shared" si="3"/>
        <v>60.611963325254834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7.7715686274509812</v>
      </c>
      <c r="AI51" s="13">
        <f>IF('Données projet'!$A$62&gt;35,AI50+AH51-AQ50,IF(A51&lt;'Données projet'!$A$62,$AF$205^A51,IF(A51='Données projet'!$A$62,'Données projet'!$B$62,AI50+AH51-AQ50)))</f>
        <v>373.03529411764686</v>
      </c>
      <c r="AJ51" s="13">
        <f>AI51*VLOOKUP('Données projet'!$B$10,Paramètres!$A$1:$I$89,3,0)*VLOOKUP('Données projet'!$B$10,Paramètres!$A$1:$I$89,5,0)</f>
        <v>174.58051764705874</v>
      </c>
      <c r="AK51" s="13">
        <f t="shared" si="35"/>
        <v>44.114314325696256</v>
      </c>
      <c r="AL51" s="20">
        <f t="shared" si="4"/>
        <v>380.89349901921491</v>
      </c>
      <c r="AM51" s="59">
        <f t="shared" si="5"/>
        <v>634.65336770488261</v>
      </c>
      <c r="AN51" s="59">
        <f ca="1">AVERAGE(OFFSET($AM$3,0,0,'Données projet'!$E$10+1,1))-AVERAGE(OFFSET($H$3,0,0,'Données projet'!$E$10+1,1))</f>
        <v>374.38106339726073</v>
      </c>
      <c r="AO51" s="59">
        <f t="shared" si="36"/>
        <v>296.53283288925957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10.110000000000001</v>
      </c>
      <c r="BD51" s="12">
        <f>IF('Données projet'!$A$88&gt;35,BD50+BC51-BL50,IF(A51&lt;'Données projet'!$A$88,$BA$205^A51,IF(A51='Données projet'!$A$88,'Données projet'!$B$88,BD50+BC51-BL50)))</f>
        <v>188.11000000000018</v>
      </c>
      <c r="BE51" s="13">
        <f>BD51*VLOOKUP('Données projet'!$B$11,Paramètres!$A$1:$I$89,3,0)*VLOOKUP('Données projet'!$B$11,Paramètres!$A$1:$I$89,5,0)</f>
        <v>170.20192800000018</v>
      </c>
      <c r="BF51" s="13">
        <f t="shared" si="37"/>
        <v>43.135245614983553</v>
      </c>
      <c r="BG51" s="20">
        <f t="shared" si="7"/>
        <v>371.56224404609662</v>
      </c>
      <c r="BH51" s="59">
        <f t="shared" si="8"/>
        <v>625.32211273176426</v>
      </c>
      <c r="BI51" s="59">
        <f ca="1">AVERAGE(OFFSET($BH$3,0,0,'Données projet'!$E$11+1,1))-AVERAGE(OFFSET($H$3,0,0,'Données projet'!$E$11+1,1))</f>
        <v>681.47578137804555</v>
      </c>
      <c r="BJ51" s="59">
        <f t="shared" si="38"/>
        <v>300.88511065995885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12.916807343870181</v>
      </c>
      <c r="BR51" s="21">
        <f>EXP(-LN(2)/2)*BR50+(1-EXP(-LN(2)/2))/(LN(2)/2)*BL51*BO51*VLOOKUP('Données projet'!$B$11,Paramètres!$A$1:$I$89,3,0)*0.475*44/12</f>
        <v>0.94995818276072186</v>
      </c>
      <c r="BS51" s="22">
        <f t="shared" si="9"/>
        <v>13.866765526630903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4.2307692307692291</v>
      </c>
      <c r="BY51" s="12">
        <f>IF('Données projet'!$A$114&gt;35,BY50+BX51-CG50,IF(A51&lt;'Données projet'!$A$114,$BV$205^A51,IF(A51='Données projet'!$A$114,'Données projet'!$B$114,BY50+BX51-CG50)))</f>
        <v>113.97435897435899</v>
      </c>
      <c r="BZ51" s="13">
        <f>BY51*VLOOKUP('Données projet'!$B$12,Paramètres!$A$1:$I$89,3,0)*VLOOKUP('Données projet'!$B$12,Paramètres!$A$1:$I$89,5,0)</f>
        <v>119.12600000000003</v>
      </c>
      <c r="CA51" s="13">
        <f t="shared" si="39"/>
        <v>31.471066503383746</v>
      </c>
      <c r="CB51" s="20">
        <f t="shared" si="10"/>
        <v>262.28989082672678</v>
      </c>
      <c r="CC51" s="59">
        <f t="shared" si="11"/>
        <v>516.04975951239453</v>
      </c>
      <c r="CD51" s="59">
        <f ca="1">AVERAGE(OFFSET($CC$3,0,0,'Données projet'!$E$12+1,1))-AVERAGE(OFFSET($H$3,0,0,'Données projet'!$E$12+1,1))</f>
        <v>290.69667785754848</v>
      </c>
      <c r="CE51" s="59">
        <f t="shared" si="40"/>
        <v>256.28124185489082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16.019511326263903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16.019511326263903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8.6</v>
      </c>
      <c r="CT51" s="12">
        <f>IF('Données projet'!$A$140&gt;35,CT50+CS51-DB50,IF(A51&lt;'Données projet'!$A$140,$CQ$205^A51,IF(A51='Données projet'!$A$140,'Données projet'!$B$140,CT50+CS51-DB50)))</f>
        <v>243.80000000000004</v>
      </c>
      <c r="CU51" s="17">
        <f>CT51*VLOOKUP('Données projet'!$B$13,Paramètres!$A$1:$I$89,3,0)*VLOOKUP('Données projet'!$B$13,Paramètres!$A$1:$I$89,5,0)</f>
        <v>212.98368000000008</v>
      </c>
      <c r="CV51" s="13">
        <f t="shared" si="41"/>
        <v>52.587058525970363</v>
      </c>
      <c r="CW51" s="20">
        <f t="shared" si="13"/>
        <v>462.53570293273191</v>
      </c>
      <c r="CX51" s="59">
        <f t="shared" si="14"/>
        <v>716.29557161839966</v>
      </c>
      <c r="CY51" s="59">
        <f ca="1">AVERAGE(OFFSET($CX$3,0,0,'Données projet'!$E$13+1,1))-AVERAGE(OFFSET($H$3,0,0,'Données projet'!$E$13+1,1))</f>
        <v>408.246209980743</v>
      </c>
      <c r="CZ51" s="59">
        <f t="shared" si="42"/>
        <v>394.10236303013903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13.314009166810628</v>
      </c>
      <c r="DG51" s="21">
        <f>EXP(-LN(2)/25)*DG50+(1-EXP(-LN(2)/25))/(LN(2)/25)*Calculateur!DB51*Calculateur!DD51*VLOOKUP('Données projet'!$B$13,Paramètres!$A$1:$I$89,3,0)*0.475*44/12</f>
        <v>18.251347617677332</v>
      </c>
      <c r="DH51" s="21">
        <f>EXP(-LN(2)/2)*DH50+(1-EXP(-LN(2)/2))/(LN(2)/2)*DB51*DE51*VLOOKUP('Données projet'!$B$13,Paramètres!$A$1:$I$89,3,0)*0.475*44/12</f>
        <v>2.2960740541121685</v>
      </c>
      <c r="DI51" s="22">
        <f t="shared" si="15"/>
        <v>33.861430838600128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21.970000000000002</v>
      </c>
      <c r="DO51" s="12">
        <f>IF('Données projet'!$A$166&gt;35,DO50+DN51-DW50,IF(A51&lt;'Données projet'!$A$166,$DL$205^A51,IF(A51='Données projet'!$A$166,'Données projet'!$B$166,DO50+DN51-DW50)))</f>
        <v>482.27000000000021</v>
      </c>
      <c r="DP51" s="17">
        <f>DO51*VLOOKUP('Données projet'!$B$14,Paramètres!$A$1:$I$89,3,0)*VLOOKUP('Données projet'!$B$14,Paramètres!$A$1:$I$89,5,0)</f>
        <v>269.58893000000012</v>
      </c>
      <c r="DQ51" s="13">
        <f t="shared" si="43"/>
        <v>64.762022124596854</v>
      </c>
      <c r="DR51" s="20">
        <f t="shared" si="16"/>
        <v>582.32790828367308</v>
      </c>
      <c r="DS51" s="59">
        <f t="shared" si="17"/>
        <v>836.08777696934078</v>
      </c>
      <c r="DT51" s="59">
        <f ca="1">AVERAGE(OFFSET($DS$3,0,0,'Données projet'!$E$14+1,1))-AVERAGE(OFFSET($H$3,0,0,'Données projet'!$E$14+1,1))</f>
        <v>407.05634973057056</v>
      </c>
      <c r="DU51" s="59">
        <f t="shared" si="44"/>
        <v>375.32891954889965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46.638830415728229</v>
      </c>
      <c r="EB51" s="21">
        <f>EXP(-LN(2)/25)*EB50+(1-EXP(-LN(2)/25))/(LN(2)/25)*Calculateur!DW51*Calculateur!DY51*VLOOKUP('Données projet'!$B$14,Paramètres!$A$1:$I$89,3,0)*0.475*44/12</f>
        <v>22.227593424419961</v>
      </c>
      <c r="EC51" s="21">
        <f>EXP(-LN(2)/2)*EC50+(1-EXP(-LN(2)/2))/(LN(2)/2)*DW51*DZ51*VLOOKUP('Données projet'!$B$14,Paramètres!$A$1:$I$89,3,0)*0.475*44/12</f>
        <v>1.7214108841386284</v>
      </c>
      <c r="ED51" s="22">
        <f t="shared" si="18"/>
        <v>70.587834724286822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22.8</v>
      </c>
      <c r="EJ51" s="12">
        <f>IF('Données projet'!$A$192&gt;35,EJ50+EI51-ER50,IF(A51&lt;'Données projet'!$A$192,$EG$205^A51,IF(A51='Données projet'!$A$192,'Données projet'!$B$192,EJ50+EI51-ER50)))</f>
        <v>503.39999999999986</v>
      </c>
      <c r="EK51" s="17">
        <f>EJ51*VLOOKUP('Données projet'!$B$15,Paramètres!$A$1:$I$89,3,0)*VLOOKUP('Données projet'!$B$15,Paramètres!$A$1:$I$89,5,0)</f>
        <v>222.50279999999998</v>
      </c>
      <c r="EL51" s="13">
        <f t="shared" si="45"/>
        <v>54.65849828468945</v>
      </c>
      <c r="EM51" s="20">
        <f t="shared" si="19"/>
        <v>482.72259451250079</v>
      </c>
      <c r="EN51" s="59">
        <f t="shared" si="20"/>
        <v>736.48246319816849</v>
      </c>
      <c r="EO51" s="59">
        <f ca="1">AVERAGE(OFFSET($EN$3,0,0,'Données projet'!$E$15+1,1))-AVERAGE(OFFSET($H$3,0,0,'Données projet'!$E$15+1,1))</f>
        <v>418.28022549686278</v>
      </c>
      <c r="EP51" s="59">
        <f t="shared" si="46"/>
        <v>354.55070454517158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26.75670422420696</v>
      </c>
      <c r="EW51" s="21">
        <f>EXP(-LN(2)/25)*EW50+(1-EXP(-LN(2)/25))/(LN(2)/25)*Calculateur!ER51*Calculateur!ET51*VLOOKUP('Données projet'!$B$15,Paramètres!$A$1:$I$89,3,0)*0.475*44/12</f>
        <v>23.720412296399729</v>
      </c>
      <c r="EX51" s="21">
        <f>EXP(-LN(2)/2)*EX50+(1-EXP(-LN(2)/2))/(LN(2)/2)*ER51*EU51*VLOOKUP('Données projet'!$B$15,Paramètres!$A$1:$I$89,3,0)*0.475*44/12</f>
        <v>3.1381331135050519</v>
      </c>
      <c r="EY51" s="22">
        <f t="shared" si="21"/>
        <v>53.615249634111734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3.3603333333333336</v>
      </c>
      <c r="FE51" s="12">
        <f>IF('Données projet'!$A$218&gt;35,FE50+FD51-FM50,IF(A51&lt;'Données projet'!$A$218,$FB$205^A51,IF(A51='Données projet'!$A$218,'Données projet'!$B$218,FE50+FD51-FM50)))</f>
        <v>161.29599999999994</v>
      </c>
      <c r="FF51" s="17">
        <f>FE51*VLOOKUP('Données projet'!$B$16,Paramètres!$A$1:$I$89,3,0)*VLOOKUP('Données projet'!$B$16,Paramètres!$A$1:$I$89,5,0)</f>
        <v>183.68388479999993</v>
      </c>
      <c r="FG51" s="13">
        <f t="shared" si="47"/>
        <v>46.140813778613008</v>
      </c>
      <c r="FH51" s="20">
        <f t="shared" si="22"/>
        <v>400.27801669108413</v>
      </c>
      <c r="FI51" s="59">
        <f t="shared" si="23"/>
        <v>654.03788537675177</v>
      </c>
      <c r="FJ51" s="59">
        <f ca="1">AVERAGE(OFFSET($FI$3,0,0,'Données projet'!$E$16+1,1))-AVERAGE(OFFSET($H$3,0,0,'Données projet'!$E$16+1,1))</f>
        <v>640.05156427113661</v>
      </c>
      <c r="FK51" s="59">
        <f t="shared" si="48"/>
        <v>308.77220155372902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14.689999999999998</v>
      </c>
      <c r="N52" s="13">
        <f>IF('Données projet'!$A$36&gt;35,N51+M52-V51,IF(A52&lt;'Données projet'!$A$36,$K$205^A52,IF(A52='Données projet'!$A$36,'Données projet'!$B$36,N51+M52-V51)))</f>
        <v>363.94000000000005</v>
      </c>
      <c r="O52" s="13">
        <f>N52*VLOOKUP('Données projet'!$B$9,Paramètres!$A$1:$I$89,3,0)*VLOOKUP('Données projet'!$B$9,Paramètres!$A$1:$I$89,5,0)</f>
        <v>217.63612000000003</v>
      </c>
      <c r="P52" s="13">
        <f t="shared" si="33"/>
        <v>53.600785497261654</v>
      </c>
      <c r="Q52" s="20">
        <f t="shared" si="53"/>
        <v>472.40427707439738</v>
      </c>
      <c r="R52" s="59">
        <f t="shared" si="0"/>
        <v>726.85065689868929</v>
      </c>
      <c r="S52" s="59">
        <f ca="1">AVERAGE(OFFSET($R$3,0,0,'Données projet'!$E$9+1,1))-AVERAGE(OFFSET($H$3,0,0,'Données projet'!$E$9+1,1))</f>
        <v>318.50474972254085</v>
      </c>
      <c r="T52" s="59">
        <f t="shared" si="34"/>
        <v>326.45858332753562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38.881902383398398</v>
      </c>
      <c r="AA52" s="21">
        <f>EXP(-LN(2)/25)*AA51+(1-EXP(-LN(2)/25))/(LN(2)/25)*Calculateur!V52*Calculateur!X52*VLOOKUP('Données projet'!$B$9,Paramètres!$A$1:$I$89,3,0)*0.475*44/12</f>
        <v>17.632857987844783</v>
      </c>
      <c r="AB52" s="21">
        <f>EXP(-LN(2)/2)*AB51+(1-EXP(-LN(2)/2))/(LN(2)/2)*V52*Y52*VLOOKUP('Données projet'!$B$9,Paramètres!$A$1:$I$89,3,0)*0.475*44/12</f>
        <v>1.9967106038256577</v>
      </c>
      <c r="AC52" s="22">
        <f t="shared" si="3"/>
        <v>58.511470975068839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7.7715686274509812</v>
      </c>
      <c r="AI52" s="13">
        <f>IF('Données projet'!$A$62&gt;35,AI51+AH52-AQ51,IF(A52&lt;'Données projet'!$A$62,$AF$205^A52,IF(A52='Données projet'!$A$62,'Données projet'!$B$62,AI51+AH52-AQ51)))</f>
        <v>380.80686274509782</v>
      </c>
      <c r="AJ52" s="13">
        <f>AI52*VLOOKUP('Données projet'!$B$10,Paramètres!$A$1:$I$89,3,0)*VLOOKUP('Données projet'!$B$10,Paramètres!$A$1:$I$89,5,0)</f>
        <v>178.21761176470577</v>
      </c>
      <c r="AK52" s="13">
        <f t="shared" si="35"/>
        <v>44.925408243080945</v>
      </c>
      <c r="AL52" s="20">
        <f t="shared" si="4"/>
        <v>388.64075984689515</v>
      </c>
      <c r="AM52" s="59">
        <f t="shared" si="5"/>
        <v>643.08713967118706</v>
      </c>
      <c r="AN52" s="59">
        <f ca="1">AVERAGE(OFFSET($AM$3,0,0,'Données projet'!$E$10+1,1))-AVERAGE(OFFSET($H$3,0,0,'Données projet'!$E$10+1,1))</f>
        <v>374.38106339726073</v>
      </c>
      <c r="AO52" s="59">
        <f t="shared" si="36"/>
        <v>296.53283288925957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10.110000000000001</v>
      </c>
      <c r="BD52" s="12">
        <f>IF('Données projet'!$A$88&gt;35,BD51+BC52-BL51,IF(A52&lt;'Données projet'!$A$88,$BA$205^A52,IF(A52='Données projet'!$A$88,'Données projet'!$B$88,BD51+BC52-BL51)))</f>
        <v>198.2200000000002</v>
      </c>
      <c r="BE52" s="13">
        <f>BD52*VLOOKUP('Données projet'!$B$11,Paramètres!$A$1:$I$89,3,0)*VLOOKUP('Données projet'!$B$11,Paramètres!$A$1:$I$89,5,0)</f>
        <v>179.34945600000017</v>
      </c>
      <c r="BF52" s="13">
        <f t="shared" si="37"/>
        <v>45.177421627371096</v>
      </c>
      <c r="BG52" s="20">
        <f t="shared" si="7"/>
        <v>391.0509785343383</v>
      </c>
      <c r="BH52" s="59">
        <f t="shared" si="8"/>
        <v>645.49735835863021</v>
      </c>
      <c r="BI52" s="59">
        <f ca="1">AVERAGE(OFFSET($BH$3,0,0,'Données projet'!$E$11+1,1))-AVERAGE(OFFSET($H$3,0,0,'Données projet'!$E$11+1,1))</f>
        <v>681.47578137804555</v>
      </c>
      <c r="BJ52" s="59">
        <f t="shared" si="38"/>
        <v>300.88511065995885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12.563596567786675</v>
      </c>
      <c r="BR52" s="21">
        <f>EXP(-LN(2)/2)*BR51+(1-EXP(-LN(2)/2))/(LN(2)/2)*BL52*BO52*VLOOKUP('Données projet'!$B$11,Paramètres!$A$1:$I$89,3,0)*0.475*44/12</f>
        <v>0.67172187287375607</v>
      </c>
      <c r="BS52" s="22">
        <f t="shared" si="9"/>
        <v>13.23531844066043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4.2307692307692291</v>
      </c>
      <c r="BY52" s="12">
        <f>IF('Données projet'!$A$114&gt;35,BY51+BX52-CG51,IF(A52&lt;'Données projet'!$A$114,$BV$205^A52,IF(A52='Données projet'!$A$114,'Données projet'!$B$114,BY51+BX52-CG51)))</f>
        <v>118.20512820512822</v>
      </c>
      <c r="BZ52" s="13">
        <f>BY52*VLOOKUP('Données projet'!$B$12,Paramètres!$A$1:$I$89,3,0)*VLOOKUP('Données projet'!$B$12,Paramètres!$A$1:$I$89,5,0)</f>
        <v>123.54800000000002</v>
      </c>
      <c r="CA52" s="13">
        <f t="shared" si="39"/>
        <v>32.501103488858256</v>
      </c>
      <c r="CB52" s="20">
        <f t="shared" si="10"/>
        <v>271.78552190976148</v>
      </c>
      <c r="CC52" s="59">
        <f t="shared" si="11"/>
        <v>526.23190173405351</v>
      </c>
      <c r="CD52" s="59">
        <f ca="1">AVERAGE(OFFSET($CC$3,0,0,'Données projet'!$E$12+1,1))-AVERAGE(OFFSET($H$3,0,0,'Données projet'!$E$12+1,1))</f>
        <v>290.69667785754848</v>
      </c>
      <c r="CE52" s="59">
        <f t="shared" si="40"/>
        <v>256.28124185489082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15.581456946617729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15.581456946617729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8.6</v>
      </c>
      <c r="CT52" s="12">
        <f>IF('Données projet'!$A$140&gt;35,CT51+CS52-DB51,IF(A52&lt;'Données projet'!$A$140,$CQ$205^A52,IF(A52='Données projet'!$A$140,'Données projet'!$B$140,CT51+CS52-DB51)))</f>
        <v>252.40000000000003</v>
      </c>
      <c r="CU52" s="17">
        <f>CT52*VLOOKUP('Données projet'!$B$13,Paramètres!$A$1:$I$89,3,0)*VLOOKUP('Données projet'!$B$13,Paramètres!$A$1:$I$89,5,0)</f>
        <v>220.49664000000004</v>
      </c>
      <c r="CV52" s="13">
        <f t="shared" si="41"/>
        <v>54.222813800824916</v>
      </c>
      <c r="CW52" s="20">
        <f t="shared" si="13"/>
        <v>478.46971536977009</v>
      </c>
      <c r="CX52" s="59">
        <f t="shared" si="14"/>
        <v>732.91609519406211</v>
      </c>
      <c r="CY52" s="59">
        <f ca="1">AVERAGE(OFFSET($CX$3,0,0,'Données projet'!$E$13+1,1))-AVERAGE(OFFSET($H$3,0,0,'Données projet'!$E$13+1,1))</f>
        <v>408.246209980743</v>
      </c>
      <c r="CZ52" s="59">
        <f t="shared" si="42"/>
        <v>394.10236303013903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13.052929567793207</v>
      </c>
      <c r="DG52" s="21">
        <f>EXP(-LN(2)/25)*DG51+(1-EXP(-LN(2)/25))/(LN(2)/25)*Calculateur!DB52*Calculateur!DD52*VLOOKUP('Données projet'!$B$13,Paramètres!$A$1:$I$89,3,0)*0.475*44/12</f>
        <v>17.752263557275288</v>
      </c>
      <c r="DH52" s="21">
        <f>EXP(-LN(2)/2)*DH51+(1-EXP(-LN(2)/2))/(LN(2)/2)*DB52*DE52*VLOOKUP('Données projet'!$B$13,Paramètres!$A$1:$I$89,3,0)*0.475*44/12</f>
        <v>1.6235695337692022</v>
      </c>
      <c r="DI52" s="22">
        <f t="shared" si="15"/>
        <v>32.428762658837698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>
        <f>VLOOKUP(A52,'Données projet'!$A$165:$I$185,2,0)</f>
        <v>504.24</v>
      </c>
      <c r="DM52" s="12">
        <f>VLOOKUP(A52,'Données projet'!$A$165:$I$185,9,0)</f>
        <v>21.970000000000002</v>
      </c>
      <c r="DN52" s="12">
        <f t="array" ref="DN52">INDEX(DM:DM,MIN(IF(ISNUMBER(DM52:DM248),ROW(DM52:DM248),"")))</f>
        <v>21.970000000000002</v>
      </c>
      <c r="DO52" s="12">
        <f>IF('Données projet'!$A$166&gt;35,DO51+DN52-DW51,IF(A52&lt;'Données projet'!$A$166,$DL$205^A52,IF(A52='Données projet'!$A$166,'Données projet'!$B$166,DO51+DN52-DW51)))</f>
        <v>504.24000000000024</v>
      </c>
      <c r="DP52" s="17">
        <f>DO52*VLOOKUP('Données projet'!$B$14,Paramètres!$A$1:$I$89,3,0)*VLOOKUP('Données projet'!$B$14,Paramètres!$A$1:$I$89,5,0)</f>
        <v>281.87016000000011</v>
      </c>
      <c r="DQ52" s="13">
        <f t="shared" si="43"/>
        <v>67.362074198579379</v>
      </c>
      <c r="DR52" s="20">
        <f t="shared" si="16"/>
        <v>608.24614122919252</v>
      </c>
      <c r="DS52" s="59">
        <f t="shared" si="17"/>
        <v>862.69252105348448</v>
      </c>
      <c r="DT52" s="59">
        <f ca="1">AVERAGE(OFFSET($DS$3,0,0,'Données projet'!$E$14+1,1))-AVERAGE(OFFSET($H$3,0,0,'Données projet'!$E$14+1,1))</f>
        <v>407.05634973057056</v>
      </c>
      <c r="DU52" s="59">
        <f t="shared" si="44"/>
        <v>375.32891954889965</v>
      </c>
      <c r="DV52" s="15">
        <f>IF(ISNA(VLOOKUP(A52,'Données projet'!$A$165:$I$185,3,0)),0,VLOOKUP(A52,'Données projet'!$A$165:$I$185,3,0))</f>
        <v>5</v>
      </c>
      <c r="DW52" s="15">
        <f>IF(ISNA(VLOOKUP(A52,'Données projet'!$A$165:$I$185,4,0)),0,VLOOKUP(A52,'Données projet'!$A$165:$I$185,4,0))</f>
        <v>112.69999999999999</v>
      </c>
      <c r="DX52" s="16">
        <f>IF(ISNA(VLOOKUP(A52,'Données projet'!$A$165:$I$185,5,0)),0%,VLOOKUP(A52,'Données projet'!$A$165:$I$185,5,0)*VLOOKUP('Données projet'!$B$14,Paramètres!$A$1:$I$89,7,0))</f>
        <v>0.33</v>
      </c>
      <c r="DY52" s="16">
        <f>IF(ISNA(VLOOKUP(A52,'Données projet'!$A$165:$I$185,6,0)),0%,VLOOKUP(A52,'Données projet'!$A$165:$I$185,6,0)*VLOOKUP('Données projet'!$B$14,Paramètres!$A$1:$I$89,7,0))</f>
        <v>0.11000000000000001</v>
      </c>
      <c r="DZ52" s="16">
        <f>IF(ISNA(VLOOKUP(A52,'Données projet'!$A$165:$I$185,7,0)),0%,VLOOKUP(A52,'Données projet'!$A$165:$I$185,7,0))</f>
        <v>0.2</v>
      </c>
      <c r="EA52" s="21">
        <f>EXP(-LN(2)/35)*EA51+(1-EXP(-LN(2)/35))/(LN(2)/35)*DW52*DX52*VLOOKUP('Données projet'!$B$14,Paramètres!$A$1:$I$89,3,0)*0.475*44/12</f>
        <v>73.303239990352296</v>
      </c>
      <c r="EB52" s="21">
        <f>EXP(-LN(2)/25)*EB51+(1-EXP(-LN(2)/25))/(LN(2)/25)*Calculateur!DW52*Calculateur!DY52*VLOOKUP('Données projet'!$B$14,Paramètres!$A$1:$I$89,3,0)*0.475*44/12</f>
        <v>30.776571941477684</v>
      </c>
      <c r="EC52" s="21">
        <f>EXP(-LN(2)/2)*EC51+(1-EXP(-LN(2)/2))/(LN(2)/2)*DW52*DZ52*VLOOKUP('Données projet'!$B$14,Paramètres!$A$1:$I$89,3,0)*0.475*44/12</f>
        <v>15.483189745694569</v>
      </c>
      <c r="ED52" s="22">
        <f t="shared" si="18"/>
        <v>119.56300167752455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22.8</v>
      </c>
      <c r="EJ52" s="12">
        <f>IF('Données projet'!$A$192&gt;35,EJ51+EI52-ER51,IF(A52&lt;'Données projet'!$A$192,$EG$205^A52,IF(A52='Données projet'!$A$192,'Données projet'!$B$192,EJ51+EI52-ER51)))</f>
        <v>526.19999999999982</v>
      </c>
      <c r="EK52" s="17">
        <f>EJ52*VLOOKUP('Données projet'!$B$15,Paramètres!$A$1:$I$89,3,0)*VLOOKUP('Données projet'!$B$15,Paramètres!$A$1:$I$89,5,0)</f>
        <v>232.58039999999994</v>
      </c>
      <c r="EL52" s="13">
        <f t="shared" si="45"/>
        <v>56.840261542288928</v>
      </c>
      <c r="EM52" s="20">
        <f t="shared" si="19"/>
        <v>504.07431885281977</v>
      </c>
      <c r="EN52" s="59">
        <f t="shared" si="20"/>
        <v>758.5206986771118</v>
      </c>
      <c r="EO52" s="59">
        <f ca="1">AVERAGE(OFFSET($EN$3,0,0,'Données projet'!$E$15+1,1))-AVERAGE(OFFSET($H$3,0,0,'Données projet'!$E$15+1,1))</f>
        <v>418.28022549686278</v>
      </c>
      <c r="EP52" s="59">
        <f t="shared" si="46"/>
        <v>354.55070454517158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26.232021574348373</v>
      </c>
      <c r="EW52" s="21">
        <f>EXP(-LN(2)/25)*EW51+(1-EXP(-LN(2)/25))/(LN(2)/25)*Calculateur!ER52*Calculateur!ET52*VLOOKUP('Données projet'!$B$15,Paramètres!$A$1:$I$89,3,0)*0.475*44/12</f>
        <v>23.07177637475241</v>
      </c>
      <c r="EX52" s="21">
        <f>EXP(-LN(2)/2)*EX51+(1-EXP(-LN(2)/2))/(LN(2)/2)*ER52*EU52*VLOOKUP('Données projet'!$B$15,Paramètres!$A$1:$I$89,3,0)*0.475*44/12</f>
        <v>2.2189952048254762</v>
      </c>
      <c r="EY52" s="22">
        <f t="shared" si="21"/>
        <v>51.522793153926258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3.3603333333333336</v>
      </c>
      <c r="FE52" s="12">
        <f>IF('Données projet'!$A$218&gt;35,FE51+FD52-FM51,IF(A52&lt;'Données projet'!$A$218,$FB$205^A52,IF(A52='Données projet'!$A$218,'Données projet'!$B$218,FE51+FD52-FM51)))</f>
        <v>164.65633333333327</v>
      </c>
      <c r="FF52" s="17">
        <f>FE52*VLOOKUP('Données projet'!$B$16,Paramètres!$A$1:$I$89,3,0)*VLOOKUP('Données projet'!$B$16,Paramètres!$A$1:$I$89,5,0)</f>
        <v>187.51063239999991</v>
      </c>
      <c r="FG52" s="13">
        <f t="shared" si="47"/>
        <v>46.989167288603106</v>
      </c>
      <c r="FH52" s="20">
        <f t="shared" si="22"/>
        <v>408.42048445765022</v>
      </c>
      <c r="FI52" s="59">
        <f t="shared" si="23"/>
        <v>662.86686428194218</v>
      </c>
      <c r="FJ52" s="59">
        <f ca="1">AVERAGE(OFFSET($FI$3,0,0,'Données projet'!$E$16+1,1))-AVERAGE(OFFSET($H$3,0,0,'Données projet'!$E$16+1,1))</f>
        <v>640.05156427113661</v>
      </c>
      <c r="FK52" s="59">
        <f t="shared" si="48"/>
        <v>308.77220155372902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14.689999999999998</v>
      </c>
      <c r="N53" s="13">
        <f>IF('Données projet'!$A$36&gt;35,N52+M53-V52,IF(A53&lt;'Données projet'!$A$36,$K$205^A53,IF(A53='Données projet'!$A$36,'Données projet'!$B$36,N52+M53-V52)))</f>
        <v>378.63000000000005</v>
      </c>
      <c r="O53" s="13">
        <f>N53*VLOOKUP('Données projet'!$B$9,Paramètres!$A$1:$I$89,3,0)*VLOOKUP('Données projet'!$B$9,Paramètres!$A$1:$I$89,5,0)</f>
        <v>226.42074000000005</v>
      </c>
      <c r="P53" s="13">
        <f t="shared" si="33"/>
        <v>55.508056797434847</v>
      </c>
      <c r="Q53" s="20">
        <f t="shared" si="53"/>
        <v>491.0259877555323</v>
      </c>
      <c r="R53" s="59">
        <f t="shared" si="0"/>
        <v>746.14696928500234</v>
      </c>
      <c r="S53" s="59">
        <f ca="1">AVERAGE(OFFSET($R$3,0,0,'Données projet'!$E$9+1,1))-AVERAGE(OFFSET($H$3,0,0,'Données projet'!$E$9+1,1))</f>
        <v>318.50474972254085</v>
      </c>
      <c r="T53" s="59">
        <f t="shared" si="34"/>
        <v>326.45858332753562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38.119451993278687</v>
      </c>
      <c r="AA53" s="21">
        <f>EXP(-LN(2)/25)*AA52+(1-EXP(-LN(2)/25))/(LN(2)/25)*Calculateur!V53*Calculateur!X53*VLOOKUP('Données projet'!$B$9,Paramètres!$A$1:$I$89,3,0)*0.475*44/12</f>
        <v>17.150686558895465</v>
      </c>
      <c r="AB53" s="21">
        <f>EXP(-LN(2)/2)*AB52+(1-EXP(-LN(2)/2))/(LN(2)/2)*V53*Y53*VLOOKUP('Données projet'!$B$9,Paramètres!$A$1:$I$89,3,0)*0.475*44/12</f>
        <v>1.4118876080322087</v>
      </c>
      <c r="AC53" s="22">
        <f t="shared" si="3"/>
        <v>56.682026160206362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7.7715686274509812</v>
      </c>
      <c r="AI53" s="13">
        <f>IF('Données projet'!$A$62&gt;35,AI52+AH53-AQ52,IF(A53&lt;'Données projet'!$A$62,$AF$205^A53,IF(A53='Données projet'!$A$62,'Données projet'!$B$62,AI52+AH53-AQ52)))</f>
        <v>388.57843137254878</v>
      </c>
      <c r="AJ53" s="13">
        <f>AI53*VLOOKUP('Données projet'!$B$10,Paramètres!$A$1:$I$89,3,0)*VLOOKUP('Données projet'!$B$10,Paramètres!$A$1:$I$89,5,0)</f>
        <v>181.85470588235282</v>
      </c>
      <c r="AK53" s="13">
        <f t="shared" si="35"/>
        <v>45.734577544078526</v>
      </c>
      <c r="AL53" s="20">
        <f t="shared" si="4"/>
        <v>396.38466863436787</v>
      </c>
      <c r="AM53" s="59">
        <f t="shared" si="5"/>
        <v>651.50565016383803</v>
      </c>
      <c r="AN53" s="59">
        <f ca="1">AVERAGE(OFFSET($AM$3,0,0,'Données projet'!$E$10+1,1))-AVERAGE(OFFSET($H$3,0,0,'Données projet'!$E$10+1,1))</f>
        <v>374.38106339726073</v>
      </c>
      <c r="AO53" s="59">
        <f t="shared" si="36"/>
        <v>296.53283288925957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10.110000000000001</v>
      </c>
      <c r="BC53" s="12">
        <f t="array" ref="BC53">INDEX(BB:BB,MIN(IF(ISNUMBER(BB53:BB249),ROW(BB53:BB249),"")))</f>
        <v>10.110000000000001</v>
      </c>
      <c r="BD53" s="12">
        <f>IF('Données projet'!$A$88&gt;35,BD52+BC53-BL52,IF(A53&lt;'Données projet'!$A$88,$BA$205^A53,IF(A53='Données projet'!$A$88,'Données projet'!$B$88,BD52+BC53-BL52)))</f>
        <v>208.33000000000021</v>
      </c>
      <c r="BE53" s="13">
        <f>BD53*VLOOKUP('Données projet'!$B$11,Paramètres!$A$1:$I$89,3,0)*VLOOKUP('Données projet'!$B$11,Paramètres!$A$1:$I$89,5,0)</f>
        <v>188.4969840000002</v>
      </c>
      <c r="BF53" s="13">
        <f t="shared" si="37"/>
        <v>47.207503913482938</v>
      </c>
      <c r="BG53" s="20">
        <f t="shared" si="7"/>
        <v>410.51864978264985</v>
      </c>
      <c r="BH53" s="59">
        <f t="shared" si="8"/>
        <v>665.63963131211995</v>
      </c>
      <c r="BI53" s="59">
        <f ca="1">AVERAGE(OFFSET($BH$3,0,0,'Données projet'!$E$11+1,1))-AVERAGE(OFFSET($H$3,0,0,'Données projet'!$E$11+1,1))</f>
        <v>681.47578137804555</v>
      </c>
      <c r="BJ53" s="59">
        <f t="shared" si="38"/>
        <v>300.88511065995885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37.54000000000002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0.34400000000000003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25.085911282565853</v>
      </c>
      <c r="BR53" s="21">
        <f>EXP(-LN(2)/2)*BR52+(1-EXP(-LN(2)/2))/(LN(2)/2)*BL53*BO53*VLOOKUP('Données projet'!$B$11,Paramètres!$A$1:$I$89,3,0)*0.475*44/12</f>
        <v>6.8845823591112083</v>
      </c>
      <c r="BS53" s="22">
        <f t="shared" si="9"/>
        <v>31.970493641677059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122.43589743589743</v>
      </c>
      <c r="BW53" s="12">
        <f>VLOOKUP(A53,'Données projet'!$A$113:$I$133,9,0)</f>
        <v>4.2307692307692291</v>
      </c>
      <c r="BX53" s="12">
        <f t="array" ref="BX53">INDEX(BW:BW,MIN(IF(ISNUMBER(BW53:BW249),ROW(BW53:BW249),"")))</f>
        <v>4.2307692307692291</v>
      </c>
      <c r="BY53" s="12">
        <f>IF('Données projet'!$A$114&gt;35,BY52+BX53-CG52,IF(A53&lt;'Données projet'!$A$114,$BV$205^A53,IF(A53='Données projet'!$A$114,'Données projet'!$B$114,BY52+BX53-CG52)))</f>
        <v>122.43589743589745</v>
      </c>
      <c r="BZ53" s="13">
        <f>BY53*VLOOKUP('Données projet'!$B$12,Paramètres!$A$1:$I$89,3,0)*VLOOKUP('Données projet'!$B$12,Paramètres!$A$1:$I$89,5,0)</f>
        <v>127.97000000000003</v>
      </c>
      <c r="CA53" s="13">
        <f t="shared" si="39"/>
        <v>33.526857135589701</v>
      </c>
      <c r="CB53" s="20">
        <f t="shared" si="10"/>
        <v>281.27369284448542</v>
      </c>
      <c r="CC53" s="59">
        <f t="shared" si="11"/>
        <v>536.39467437395547</v>
      </c>
      <c r="CD53" s="59">
        <f ca="1">AVERAGE(OFFSET($CC$3,0,0,'Données projet'!$E$12+1,1))-AVERAGE(OFFSET($H$3,0,0,'Données projet'!$E$12+1,1))</f>
        <v>290.69667785754848</v>
      </c>
      <c r="CE53" s="59">
        <f t="shared" si="40"/>
        <v>256.28124185489082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13.461538461538462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0.215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18.486317350235591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18.486317350235591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261</v>
      </c>
      <c r="CR53" s="12">
        <f>VLOOKUP(A53,'Données projet'!$A$139:$I$159,9,0)</f>
        <v>8.6</v>
      </c>
      <c r="CS53" s="12">
        <f t="array" ref="CS53">INDEX(CR:CR,MIN(IF(ISNUMBER(CR53:CR249),ROW(CR53:CR249),"")))</f>
        <v>8.6</v>
      </c>
      <c r="CT53" s="12">
        <f>IF('Données projet'!$A$140&gt;35,CT52+CS53-DB52,IF(A53&lt;'Données projet'!$A$140,$CQ$205^A53,IF(A53='Données projet'!$A$140,'Données projet'!$B$140,CT52+CS53-DB52)))</f>
        <v>261.00000000000006</v>
      </c>
      <c r="CU53" s="17">
        <f>CT53*VLOOKUP('Données projet'!$B$13,Paramètres!$A$1:$I$89,3,0)*VLOOKUP('Données projet'!$B$13,Paramètres!$A$1:$I$89,5,0)</f>
        <v>228.00960000000009</v>
      </c>
      <c r="CV53" s="13">
        <f t="shared" si="41"/>
        <v>55.852093054619878</v>
      </c>
      <c r="CW53" s="20">
        <f t="shared" si="13"/>
        <v>494.3924487367965</v>
      </c>
      <c r="CX53" s="59">
        <f t="shared" si="14"/>
        <v>749.5134302662666</v>
      </c>
      <c r="CY53" s="59">
        <f ca="1">AVERAGE(OFFSET($CX$3,0,0,'Données projet'!$E$13+1,1))-AVERAGE(OFFSET($H$3,0,0,'Données projet'!$E$13+1,1))</f>
        <v>408.246209980743</v>
      </c>
      <c r="CZ53" s="59">
        <f t="shared" si="42"/>
        <v>394.10236303013903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19</v>
      </c>
      <c r="DC53" s="16">
        <f>IF(ISNA(VLOOKUP(A53,'Données projet'!$A$139:$I$159,5,0)),0%,VLOOKUP(A53,'Données projet'!$A$139:$I$159,5,0)*VLOOKUP('Données projet'!$B$13,Paramètres!$A$1:$I$89,7,0))</f>
        <v>0.13250000000000001</v>
      </c>
      <c r="DD53" s="16">
        <f>IF(ISNA(VLOOKUP(A53,'Données projet'!$A$139:$I$159,6,0)),0%,VLOOKUP(A53,'Données projet'!$A$139:$I$159,6,0)*VLOOKUP('Données projet'!$B$13,Paramètres!$A$1:$I$89,7,0))</f>
        <v>0.13250000000000001</v>
      </c>
      <c r="DE53" s="16">
        <f>IF(ISNA(VLOOKUP(A53,'Données projet'!$A$139:$I$159,7,0)),0%,VLOOKUP(A53,'Données projet'!$A$139:$I$159,7,0))</f>
        <v>0.25</v>
      </c>
      <c r="DF53" s="21">
        <f>EXP(-LN(2)/35)*DF52+(1-EXP(-LN(2)/35))/(LN(2)/35)*DB53*DC53*VLOOKUP('Données projet'!$B$13,Paramètres!$A$1:$I$89,3,0)*0.475*44/12</f>
        <v>15.228217320531948</v>
      </c>
      <c r="DG53" s="21">
        <f>EXP(-LN(2)/25)*DG52+(1-EXP(-LN(2)/25))/(LN(2)/25)*Calculateur!DB53*Calculateur!DD53*VLOOKUP('Données projet'!$B$13,Paramètres!$A$1:$I$89,3,0)*0.475*44/12</f>
        <v>19.68850196808225</v>
      </c>
      <c r="DH53" s="21">
        <f>EXP(-LN(2)/2)*DH52+(1-EXP(-LN(2)/2))/(LN(2)/2)*DB53*DE53*VLOOKUP('Données projet'!$B$13,Paramètres!$A$1:$I$89,3,0)*0.475*44/12</f>
        <v>5.0632963119026035</v>
      </c>
      <c r="DI53" s="22">
        <f t="shared" si="15"/>
        <v>39.980015600516801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20.355714285714278</v>
      </c>
      <c r="DO53" s="12">
        <f>IF('Données projet'!$A$166&gt;35,DO52+DN53-DW52,IF(A53&lt;'Données projet'!$A$166,$DL$205^A53,IF(A53='Données projet'!$A$166,'Données projet'!$B$166,DO52+DN53-DW52)))</f>
        <v>411.89571428571452</v>
      </c>
      <c r="DP53" s="17">
        <f>DO53*VLOOKUP('Données projet'!$B$14,Paramètres!$A$1:$I$89,3,0)*VLOOKUP('Données projet'!$B$14,Paramètres!$A$1:$I$89,5,0)</f>
        <v>230.24970428571442</v>
      </c>
      <c r="DQ53" s="13">
        <f t="shared" si="43"/>
        <v>56.336670025642462</v>
      </c>
      <c r="DR53" s="20">
        <f t="shared" si="16"/>
        <v>499.13793525894647</v>
      </c>
      <c r="DS53" s="59">
        <f t="shared" si="17"/>
        <v>754.25891678841663</v>
      </c>
      <c r="DT53" s="59">
        <f ca="1">AVERAGE(OFFSET($DS$3,0,0,'Données projet'!$E$14+1,1))-AVERAGE(OFFSET($H$3,0,0,'Données projet'!$E$14+1,1))</f>
        <v>407.05634973057056</v>
      </c>
      <c r="DU53" s="59">
        <f t="shared" si="44"/>
        <v>375.32891954889965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71.865808164703083</v>
      </c>
      <c r="EB53" s="21">
        <f>EXP(-LN(2)/25)*EB52+(1-EXP(-LN(2)/25))/(LN(2)/25)*Calculateur!DW53*Calculateur!DY53*VLOOKUP('Données projet'!$B$14,Paramètres!$A$1:$I$89,3,0)*0.475*44/12</f>
        <v>29.934984963268398</v>
      </c>
      <c r="EC53" s="21">
        <f>EXP(-LN(2)/2)*EC52+(1-EXP(-LN(2)/2))/(LN(2)/2)*DW53*DZ53*VLOOKUP('Données projet'!$B$14,Paramètres!$A$1:$I$89,3,0)*0.475*44/12</f>
        <v>10.948268463578646</v>
      </c>
      <c r="ED53" s="22">
        <f t="shared" si="18"/>
        <v>112.74906159155012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549</v>
      </c>
      <c r="EH53" s="12">
        <f>VLOOKUP(A53,'Données projet'!$A$191:$I$211,9,0)</f>
        <v>22.8</v>
      </c>
      <c r="EI53" s="12">
        <f t="array" ref="EI53">INDEX(EH:EH,MIN(IF(ISNUMBER(EH53:EH249),ROW(EH53:EH249),"")))</f>
        <v>22.8</v>
      </c>
      <c r="EJ53" s="12">
        <f>IF('Données projet'!$A$192&gt;35,EJ52+EI53-ER52,IF(A53&lt;'Données projet'!$A$192,$EG$205^A53,IF(A53='Données projet'!$A$192,'Données projet'!$B$192,EJ52+EI53-ER52)))</f>
        <v>548.99999999999977</v>
      </c>
      <c r="EK53" s="17">
        <f>EJ53*VLOOKUP('Données projet'!$B$15,Paramètres!$A$1:$I$89,3,0)*VLOOKUP('Données projet'!$B$15,Paramètres!$A$1:$I$89,5,0)</f>
        <v>242.65799999999993</v>
      </c>
      <c r="EL53" s="13">
        <f t="shared" si="45"/>
        <v>59.011045025839607</v>
      </c>
      <c r="EM53" s="20">
        <f t="shared" si="19"/>
        <v>525.40692008667054</v>
      </c>
      <c r="EN53" s="59">
        <f t="shared" si="20"/>
        <v>780.52790161614064</v>
      </c>
      <c r="EO53" s="59">
        <f ca="1">AVERAGE(OFFSET($EN$3,0,0,'Données projet'!$E$15+1,1))-AVERAGE(OFFSET($H$3,0,0,'Données projet'!$E$15+1,1))</f>
        <v>418.28022549686278</v>
      </c>
      <c r="EP53" s="59">
        <f t="shared" si="46"/>
        <v>354.55070454517158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63</v>
      </c>
      <c r="ES53" s="16">
        <f>IF(ISNA(VLOOKUP(A53,'Données projet'!$A$191:$I$211,5,0)),0%,VLOOKUP(A53,'Données projet'!$A$191:$I$211,5,0)*VLOOKUP('Données projet'!$B$15,Paramètres!$A$1:$I$89,7,0))</f>
        <v>0.33</v>
      </c>
      <c r="ET53" s="16">
        <f>IF(ISNA(VLOOKUP(A53,'Données projet'!$A$191:$I$211,6,0)),0%,VLOOKUP(A53,'Données projet'!$A$191:$I$211,6,0)*VLOOKUP('Données projet'!$B$15,Paramètres!$A$1:$I$89,7,0))</f>
        <v>0.11000000000000001</v>
      </c>
      <c r="EU53" s="16">
        <f>IF(ISNA(VLOOKUP(A53,'Données projet'!$A$191:$I$211,7,0)),0%,VLOOKUP(A53,'Données projet'!$A$191:$I$211,7,0))</f>
        <v>0.2</v>
      </c>
      <c r="EV53" s="21">
        <f>EXP(-LN(2)/35)*EV52+(1-EXP(-LN(2)/35))/(LN(2)/35)*ER53*ES53*VLOOKUP('Données projet'!$B$15,Paramètres!$A$1:$I$89,3,0)*0.475*44/12</f>
        <v>37.907667193864611</v>
      </c>
      <c r="EW53" s="21">
        <f>EXP(-LN(2)/25)*EW52+(1-EXP(-LN(2)/25))/(LN(2)/25)*Calculateur!ER53*Calculateur!ET53*VLOOKUP('Données projet'!$B$15,Paramètres!$A$1:$I$89,3,0)*0.475*44/12</f>
        <v>26.488225013862348</v>
      </c>
      <c r="EX53" s="21">
        <f>EXP(-LN(2)/2)*EX52+(1-EXP(-LN(2)/2))/(LN(2)/2)*ER53*EU53*VLOOKUP('Données projet'!$B$15,Paramètres!$A$1:$I$89,3,0)*0.475*44/12</f>
        <v>7.8746946681369208</v>
      </c>
      <c r="EY53" s="22">
        <f t="shared" si="21"/>
        <v>72.270586875863884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3.3603333333333336</v>
      </c>
      <c r="FE53" s="12">
        <f>IF('Données projet'!$A$218&gt;35,FE52+FD53-FM52,IF(A53&lt;'Données projet'!$A$218,$FB$205^A53,IF(A53='Données projet'!$A$218,'Données projet'!$B$218,FE52+FD53-FM52)))</f>
        <v>168.01666666666659</v>
      </c>
      <c r="FF53" s="17">
        <f>FE53*VLOOKUP('Données projet'!$B$16,Paramètres!$A$1:$I$89,3,0)*VLOOKUP('Données projet'!$B$16,Paramètres!$A$1:$I$89,5,0)</f>
        <v>191.33737999999994</v>
      </c>
      <c r="FG53" s="13">
        <f t="shared" si="47"/>
        <v>47.835507770222058</v>
      </c>
      <c r="FH53" s="20">
        <f t="shared" si="22"/>
        <v>416.55944619980323</v>
      </c>
      <c r="FI53" s="59">
        <f t="shared" si="23"/>
        <v>671.68042772927333</v>
      </c>
      <c r="FJ53" s="59">
        <f ca="1">AVERAGE(OFFSET($FI$3,0,0,'Données projet'!$E$16+1,1))-AVERAGE(OFFSET($H$3,0,0,'Données projet'!$E$16+1,1))</f>
        <v>640.05156427113661</v>
      </c>
      <c r="FK53" s="59">
        <f t="shared" si="48"/>
        <v>308.77220155372902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14.689999999999998</v>
      </c>
      <c r="N54" s="13">
        <f>IF('Données projet'!$A$36&gt;35,N53+M54-V53,IF(A54&lt;'Données projet'!$A$36,$K$205^A54,IF(A54='Données projet'!$A$36,'Données projet'!$B$36,N53+M54-V53)))</f>
        <v>393.32000000000005</v>
      </c>
      <c r="O54" s="13">
        <f>N54*VLOOKUP('Données projet'!$B$9,Paramètres!$A$1:$I$89,3,0)*VLOOKUP('Données projet'!$B$9,Paramètres!$A$1:$I$89,5,0)</f>
        <v>235.20536000000004</v>
      </c>
      <c r="P54" s="13">
        <f t="shared" si="33"/>
        <v>57.406731887132807</v>
      </c>
      <c r="Q54" s="20">
        <f t="shared" si="53"/>
        <v>509.63272670342303</v>
      </c>
      <c r="R54" s="59">
        <f t="shared" si="0"/>
        <v>765.41660710666986</v>
      </c>
      <c r="S54" s="59">
        <f ca="1">AVERAGE(OFFSET($R$3,0,0,'Données projet'!$E$9+1,1))-AVERAGE(OFFSET($H$3,0,0,'Données projet'!$E$9+1,1))</f>
        <v>318.50474972254085</v>
      </c>
      <c r="T54" s="59">
        <f t="shared" si="34"/>
        <v>326.45858332753562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37.371952790260409</v>
      </c>
      <c r="AA54" s="21">
        <f>EXP(-LN(2)/25)*AA53+(1-EXP(-LN(2)/25))/(LN(2)/25)*Calculateur!V54*Calculateur!X54*VLOOKUP('Données projet'!$B$9,Paramètres!$A$1:$I$89,3,0)*0.475*44/12</f>
        <v>16.681700133027061</v>
      </c>
      <c r="AB54" s="21">
        <f>EXP(-LN(2)/2)*AB53+(1-EXP(-LN(2)/2))/(LN(2)/2)*V54*Y54*VLOOKUP('Données projet'!$B$9,Paramètres!$A$1:$I$89,3,0)*0.475*44/12</f>
        <v>0.99835530191282906</v>
      </c>
      <c r="AC54" s="22">
        <f t="shared" si="3"/>
        <v>55.052008225200304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396.35</v>
      </c>
      <c r="AG54" s="12">
        <f>VLOOKUP(A54,'Données projet'!$A$61:$I$81,9,0)</f>
        <v>7.7715686274509812</v>
      </c>
      <c r="AH54" s="12">
        <f t="array" ref="AH54">INDEX(AG:AG,MIN(IF(ISNUMBER(AG54:AG250),ROW(AG54:AG250),"")))</f>
        <v>7.7715686274509812</v>
      </c>
      <c r="AI54" s="13">
        <f>IF('Données projet'!$A$62&gt;35,AI53+AH54-AQ53,IF(A54&lt;'Données projet'!$A$62,$AF$205^A54,IF(A54='Données projet'!$A$62,'Données projet'!$B$62,AI53+AH54-AQ53)))</f>
        <v>396.34999999999974</v>
      </c>
      <c r="AJ54" s="13">
        <f>AI54*VLOOKUP('Données projet'!$B$10,Paramètres!$A$1:$I$89,3,0)*VLOOKUP('Données projet'!$B$10,Paramètres!$A$1:$I$89,5,0)</f>
        <v>185.49179999999987</v>
      </c>
      <c r="AK54" s="13">
        <f t="shared" si="35"/>
        <v>46.541865157318107</v>
      </c>
      <c r="AL54" s="20">
        <f t="shared" si="4"/>
        <v>404.12530014899545</v>
      </c>
      <c r="AM54" s="59">
        <f t="shared" si="5"/>
        <v>659.90918055224233</v>
      </c>
      <c r="AN54" s="59">
        <f ca="1">AVERAGE(OFFSET($AM$3,0,0,'Données projet'!$E$10+1,1))-AVERAGE(OFFSET($H$3,0,0,'Données projet'!$E$10+1,1))</f>
        <v>374.38106339726073</v>
      </c>
      <c r="AO54" s="59">
        <f t="shared" si="36"/>
        <v>296.53283288925957</v>
      </c>
      <c r="AP54" s="15">
        <f>IF(ISNA(VLOOKUP(A54,'Données projet'!$A$61:$I$81,3,0)),0,VLOOKUP(A54,'Données projet'!$A$61:$I$81,3,0))</f>
        <v>1</v>
      </c>
      <c r="AQ54" s="15">
        <f>IF(ISNA(VLOOKUP(A54,'Données projet'!$A$61:$I$81,4,0)),0,VLOOKUP(A54,'Données projet'!$A$61:$I$81,4,0))</f>
        <v>173.97000000000003</v>
      </c>
      <c r="AR54" s="16">
        <f>IF(ISNA(VLOOKUP(A54,'Données projet'!$A$61:$I$81,5,0)),0%,VLOOKUP(A54,'Données projet'!$A$61:$I$81,5,0)*VLOOKUP('Données projet'!$B$10,Paramètres!$A$1:$I$89,7,0))</f>
        <v>0.13750000000000001</v>
      </c>
      <c r="AS54" s="16">
        <f>IF(ISNA(VLOOKUP(A54,'Données projet'!$A$61:$I$81,6,0)),0%,VLOOKUP(A54,'Données projet'!$A$61:$I$81,6,0)*VLOOKUP('Données projet'!$B$10,Paramètres!$A$1:$I$89,7,0))</f>
        <v>0.20350000000000001</v>
      </c>
      <c r="AT54" s="16">
        <f>IF(ISNA(VLOOKUP(A54,'Données projet'!$A$61:$I$81,7,0)),0%,VLOOKUP(A54,'Données projet'!$A$61:$I$81,7,0))</f>
        <v>0.38</v>
      </c>
      <c r="AU54" s="21">
        <f>EXP(-LN(2)/35)*AU53+(1-EXP(-LN(2)/35))/(LN(2)/35)*AQ54*AR54*VLOOKUP('Données projet'!$B$10,Paramètres!$A$1:$I$89,3,0)*0.475*44/12</f>
        <v>14.850848618429765</v>
      </c>
      <c r="AV54" s="21">
        <f>EXP(-LN(2)/25)*AV53+(1-EXP(-LN(2)/25))/(LN(2)/25)*Calculateur!AQ54*Calculateur!AS54*VLOOKUP('Données projet'!$B$10,Paramètres!$A$1:$I$89,3,0)*0.475*44/12</f>
        <v>21.892715249827038</v>
      </c>
      <c r="AW54" s="21">
        <f>EXP(-LN(2)/2)*AW53+(1-EXP(-LN(2)/2))/(LN(2)/2)*AQ54*AT54*VLOOKUP('Données projet'!$B$10,Paramètres!$A$1:$I$89,3,0)*0.475*44/12</f>
        <v>35.029936686072809</v>
      </c>
      <c r="AX54" s="21">
        <f t="shared" si="6"/>
        <v>71.773500554329615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10.36375</v>
      </c>
      <c r="BD54" s="12">
        <f>IF('Données projet'!$A$88&gt;35,BD53+BC54-BL53,IF(A54&lt;'Données projet'!$A$88,$BA$205^A54,IF(A54='Données projet'!$A$88,'Données projet'!$B$88,BD53+BC54-BL53)))</f>
        <v>181.1537500000002</v>
      </c>
      <c r="BE54" s="13">
        <f>BD54*VLOOKUP('Données projet'!$B$11,Paramètres!$A$1:$I$89,3,0)*VLOOKUP('Données projet'!$B$11,Paramètres!$A$1:$I$89,5,0)</f>
        <v>163.90791300000018</v>
      </c>
      <c r="BF54" s="13">
        <f t="shared" si="37"/>
        <v>41.72271436472046</v>
      </c>
      <c r="BG54" s="20">
        <f t="shared" si="7"/>
        <v>358.14000932688845</v>
      </c>
      <c r="BH54" s="59">
        <f t="shared" si="8"/>
        <v>613.92388973013522</v>
      </c>
      <c r="BI54" s="59">
        <f ca="1">AVERAGE(OFFSET($BH$3,0,0,'Données projet'!$E$11+1,1))-AVERAGE(OFFSET($H$3,0,0,'Données projet'!$E$11+1,1))</f>
        <v>681.47578137804555</v>
      </c>
      <c r="BJ54" s="59">
        <f t="shared" si="38"/>
        <v>300.88511065995885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24.399935719333349</v>
      </c>
      <c r="BR54" s="21">
        <f>EXP(-LN(2)/2)*BR53+(1-EXP(-LN(2)/2))/(LN(2)/2)*BL54*BO54*VLOOKUP('Données projet'!$B$11,Paramètres!$A$1:$I$89,3,0)*0.475*44/12</f>
        <v>4.8681348717648145</v>
      </c>
      <c r="BS54" s="22">
        <f t="shared" si="9"/>
        <v>29.268070591098166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3.9743589743589753</v>
      </c>
      <c r="BY54" s="12">
        <f>IF('Données projet'!$A$114&gt;35,BY53+BX54-CG53,IF(A54&lt;'Données projet'!$A$114,$BV$205^A54,IF(A54='Données projet'!$A$114,'Données projet'!$B$114,BY53+BX54-CG53)))</f>
        <v>112.94871794871796</v>
      </c>
      <c r="BZ54" s="13">
        <f>BY54*VLOOKUP('Données projet'!$B$12,Paramètres!$A$1:$I$89,3,0)*VLOOKUP('Données projet'!$B$12,Paramètres!$A$1:$I$89,5,0)</f>
        <v>118.05400000000003</v>
      </c>
      <c r="CA54" s="13">
        <f t="shared" si="39"/>
        <v>31.220695774110773</v>
      </c>
      <c r="CB54" s="20">
        <f t="shared" si="10"/>
        <v>259.98676180657628</v>
      </c>
      <c r="CC54" s="59">
        <f t="shared" si="11"/>
        <v>515.77064220982311</v>
      </c>
      <c r="CD54" s="59">
        <f ca="1">AVERAGE(OFFSET($CC$3,0,0,'Données projet'!$E$12+1,1))-AVERAGE(OFFSET($H$3,0,0,'Données projet'!$E$12+1,1))</f>
        <v>290.69667785754848</v>
      </c>
      <c r="CE54" s="59">
        <f t="shared" si="40"/>
        <v>256.28124185489082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17.980808030140221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17.980808030140221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7.4</v>
      </c>
      <c r="CT54" s="12">
        <f>IF('Données projet'!$A$140&gt;35,CT53+CS54-DB53,IF(A54&lt;'Données projet'!$A$140,$CQ$205^A54,IF(A54='Données projet'!$A$140,'Données projet'!$B$140,CT53+CS54-DB53)))</f>
        <v>249.40000000000003</v>
      </c>
      <c r="CU54" s="17">
        <f>CT54*VLOOKUP('Données projet'!$B$13,Paramètres!$A$1:$I$89,3,0)*VLOOKUP('Données projet'!$B$13,Paramètres!$A$1:$I$89,5,0)</f>
        <v>217.87584000000007</v>
      </c>
      <c r="CV54" s="13">
        <f t="shared" si="41"/>
        <v>53.652949670124926</v>
      </c>
      <c r="CW54" s="20">
        <f t="shared" si="13"/>
        <v>472.91264200880101</v>
      </c>
      <c r="CX54" s="59">
        <f t="shared" si="14"/>
        <v>728.6965224120479</v>
      </c>
      <c r="CY54" s="59">
        <f ca="1">AVERAGE(OFFSET($CX$3,0,0,'Données projet'!$E$13+1,1))-AVERAGE(OFFSET($H$3,0,0,'Données projet'!$E$13+1,1))</f>
        <v>408.246209980743</v>
      </c>
      <c r="CZ54" s="59">
        <f t="shared" si="42"/>
        <v>394.10236303013903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14.929601267171739</v>
      </c>
      <c r="DG54" s="21">
        <f>EXP(-LN(2)/25)*DG53+(1-EXP(-LN(2)/25))/(LN(2)/25)*Calculateur!DB54*Calculateur!DD54*VLOOKUP('Données projet'!$B$13,Paramètres!$A$1:$I$89,3,0)*0.475*44/12</f>
        <v>19.15011884639172</v>
      </c>
      <c r="DH54" s="21">
        <f>EXP(-LN(2)/2)*DH53+(1-EXP(-LN(2)/2))/(LN(2)/2)*DB54*DE54*VLOOKUP('Données projet'!$B$13,Paramètres!$A$1:$I$89,3,0)*0.475*44/12</f>
        <v>3.5802911573031677</v>
      </c>
      <c r="DI54" s="22">
        <f t="shared" si="15"/>
        <v>37.660011270866626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20.355714285714278</v>
      </c>
      <c r="DO54" s="12">
        <f>IF('Données projet'!$A$166&gt;35,DO53+DN54-DW53,IF(A54&lt;'Données projet'!$A$166,$DL$205^A54,IF(A54='Données projet'!$A$166,'Données projet'!$B$166,DO53+DN54-DW53)))</f>
        <v>432.25142857142879</v>
      </c>
      <c r="DP54" s="17">
        <f>DO54*VLOOKUP('Données projet'!$B$14,Paramètres!$A$1:$I$89,3,0)*VLOOKUP('Données projet'!$B$14,Paramètres!$A$1:$I$89,5,0)</f>
        <v>241.62854857142869</v>
      </c>
      <c r="DQ54" s="13">
        <f t="shared" si="43"/>
        <v>58.789782611687855</v>
      </c>
      <c r="DR54" s="20">
        <f t="shared" si="16"/>
        <v>523.22859347726126</v>
      </c>
      <c r="DS54" s="59">
        <f t="shared" si="17"/>
        <v>779.01247388050808</v>
      </c>
      <c r="DT54" s="59">
        <f ca="1">AVERAGE(OFFSET($DS$3,0,0,'Données projet'!$E$14+1,1))-AVERAGE(OFFSET($H$3,0,0,'Données projet'!$E$14+1,1))</f>
        <v>407.05634973057056</v>
      </c>
      <c r="DU54" s="59">
        <f t="shared" si="44"/>
        <v>375.32891954889965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70.456563500408009</v>
      </c>
      <c r="EB54" s="21">
        <f>EXP(-LN(2)/25)*EB53+(1-EXP(-LN(2)/25))/(LN(2)/25)*Calculateur!DW54*Calculateur!DY54*VLOOKUP('Données projet'!$B$14,Paramètres!$A$1:$I$89,3,0)*0.475*44/12</f>
        <v>29.116411225235382</v>
      </c>
      <c r="EC54" s="21">
        <f>EXP(-LN(2)/2)*EC53+(1-EXP(-LN(2)/2))/(LN(2)/2)*DW54*DZ54*VLOOKUP('Données projet'!$B$14,Paramètres!$A$1:$I$89,3,0)*0.475*44/12</f>
        <v>7.7415948728472852</v>
      </c>
      <c r="ED54" s="22">
        <f t="shared" si="18"/>
        <v>107.31456959849068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21.6</v>
      </c>
      <c r="EJ54" s="12">
        <f>IF('Données projet'!$A$192&gt;35,EJ53+EI54-ER53,IF(A54&lt;'Données projet'!$A$192,$EG$205^A54,IF(A54='Données projet'!$A$192,'Données projet'!$B$192,EJ53+EI54-ER53)))</f>
        <v>507.5999999999998</v>
      </c>
      <c r="EK54" s="17">
        <f>EJ54*VLOOKUP('Données projet'!$B$15,Paramètres!$A$1:$I$89,3,0)*VLOOKUP('Données projet'!$B$15,Paramètres!$A$1:$I$89,5,0)</f>
        <v>224.35919999999993</v>
      </c>
      <c r="EL54" s="13">
        <f t="shared" si="45"/>
        <v>55.061251669487255</v>
      </c>
      <c r="EM54" s="20">
        <f t="shared" si="19"/>
        <v>486.65728665769012</v>
      </c>
      <c r="EN54" s="59">
        <f t="shared" si="20"/>
        <v>742.441167060937</v>
      </c>
      <c r="EO54" s="59">
        <f ca="1">AVERAGE(OFFSET($EN$3,0,0,'Données projet'!$E$15+1,1))-AVERAGE(OFFSET($H$3,0,0,'Données projet'!$E$15+1,1))</f>
        <v>418.28022549686278</v>
      </c>
      <c r="EP54" s="59">
        <f t="shared" si="46"/>
        <v>354.55070454517158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37.164320961586867</v>
      </c>
      <c r="EW54" s="21">
        <f>EXP(-LN(2)/25)*EW53+(1-EXP(-LN(2)/25))/(LN(2)/25)*Calculateur!ER54*Calculateur!ET54*VLOOKUP('Données projet'!$B$15,Paramètres!$A$1:$I$89,3,0)*0.475*44/12</f>
        <v>25.763903107903069</v>
      </c>
      <c r="EX54" s="21">
        <f>EXP(-LN(2)/2)*EX53+(1-EXP(-LN(2)/2))/(LN(2)/2)*ER54*EU54*VLOOKUP('Données projet'!$B$15,Paramètres!$A$1:$I$89,3,0)*0.475*44/12</f>
        <v>5.5682499996131662</v>
      </c>
      <c r="EY54" s="22">
        <f t="shared" si="21"/>
        <v>68.496474069103101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3.3603333333333336</v>
      </c>
      <c r="FE54" s="12">
        <f>IF('Données projet'!$A$218&gt;35,FE53+FD54-FM53,IF(A54&lt;'Données projet'!$A$218,$FB$205^A54,IF(A54='Données projet'!$A$218,'Données projet'!$B$218,FE53+FD54-FM53)))</f>
        <v>171.37699999999992</v>
      </c>
      <c r="FF54" s="17">
        <f>FE54*VLOOKUP('Données projet'!$B$16,Paramètres!$A$1:$I$89,3,0)*VLOOKUP('Données projet'!$B$16,Paramètres!$A$1:$I$89,5,0)</f>
        <v>195.16412759999992</v>
      </c>
      <c r="FG54" s="13">
        <f t="shared" si="47"/>
        <v>48.679880124131074</v>
      </c>
      <c r="FH54" s="20">
        <f t="shared" si="22"/>
        <v>424.69498011952811</v>
      </c>
      <c r="FI54" s="59">
        <f t="shared" si="23"/>
        <v>680.47886052277499</v>
      </c>
      <c r="FJ54" s="59">
        <f ca="1">AVERAGE(OFFSET($FI$3,0,0,'Données projet'!$E$16+1,1))-AVERAGE(OFFSET($H$3,0,0,'Données projet'!$E$16+1,1))</f>
        <v>640.05156427113661</v>
      </c>
      <c r="FK54" s="59">
        <f t="shared" si="48"/>
        <v>308.77220155372902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408.01</v>
      </c>
      <c r="L55" s="12">
        <f>VLOOKUP(A55,'Données projet'!$A$35:$I$55,9,0)</f>
        <v>14.689999999999998</v>
      </c>
      <c r="M55" s="12">
        <f t="array" ref="M55">INDEX(L:L,MIN(IF(ISNUMBER(L55:L251),ROW(L55:L251),"")))</f>
        <v>14.689999999999998</v>
      </c>
      <c r="N55" s="13">
        <f>IF('Données projet'!$A$36&gt;35,N54+M55-V54,IF(A55&lt;'Données projet'!$A$36,$K$205^A55,IF(A55='Données projet'!$A$36,'Données projet'!$B$36,N54+M55-V54)))</f>
        <v>408.01000000000005</v>
      </c>
      <c r="O55" s="13">
        <f>N55*VLOOKUP('Données projet'!$B$9,Paramètres!$A$1:$I$89,3,0)*VLOOKUP('Données projet'!$B$9,Paramètres!$A$1:$I$89,5,0)</f>
        <v>243.98998000000003</v>
      </c>
      <c r="P55" s="13">
        <f t="shared" si="33"/>
        <v>59.297168586253541</v>
      </c>
      <c r="Q55" s="20">
        <f t="shared" si="53"/>
        <v>528.22511712105825</v>
      </c>
      <c r="R55" s="59">
        <f t="shared" si="0"/>
        <v>784.6603965846416</v>
      </c>
      <c r="S55" s="59">
        <f ca="1">AVERAGE(OFFSET($R$3,0,0,'Données projet'!$E$9+1,1))-AVERAGE(OFFSET($H$3,0,0,'Données projet'!$E$9+1,1))</f>
        <v>318.50474972254085</v>
      </c>
      <c r="T55" s="59">
        <f t="shared" si="34"/>
        <v>326.45858332753562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75.70999999999998</v>
      </c>
      <c r="W55" s="16">
        <f>IF(ISNA(VLOOKUP(A55,'Données projet'!$A$35:$I$55,5,0)),0%,VLOOKUP(A55,'Données projet'!$A$35:$I$55,5,0)*VLOOKUP('Données projet'!$B$9,Paramètres!$A$1:$I$89,7,0))</f>
        <v>0.27</v>
      </c>
      <c r="X55" s="16">
        <f>IF(ISNA(VLOOKUP(A55,'Données projet'!$A$35:$I$55,6,0)),0%,VLOOKUP(A55,'Données projet'!$A$35:$I$55,6,0)*VLOOKUP('Données projet'!$B$9,Paramètres!$A$1:$I$89,7,0))</f>
        <v>9.0000000000000011E-2</v>
      </c>
      <c r="Y55" s="16">
        <f>IF(ISNA(VLOOKUP(A55,'Données projet'!$A$35:$I$55,7,0)),0%,VLOOKUP(A55,'Données projet'!$A$35:$I$55,7,0))</f>
        <v>0.2</v>
      </c>
      <c r="Z55" s="21">
        <f>EXP(-LN(2)/35)*Z54+(1-EXP(-LN(2)/35))/(LN(2)/35)*V55*W55*VLOOKUP('Données projet'!$B$9,Paramètres!$A$1:$I$89,3,0)*0.475*44/12</f>
        <v>52.855216702681361</v>
      </c>
      <c r="AA55" s="21">
        <f>EXP(-LN(2)/25)*AA54+(1-EXP(-LN(2)/25))/(LN(2)/25)*Calculateur!V55*Calculateur!X55*VLOOKUP('Données projet'!$B$9,Paramètres!$A$1:$I$89,3,0)*0.475*44/12</f>
        <v>21.609623541420671</v>
      </c>
      <c r="AB55" s="21">
        <f>EXP(-LN(2)/2)*AB54+(1-EXP(-LN(2)/2))/(LN(2)/2)*V55*Y55*VLOOKUP('Données projet'!$B$9,Paramètres!$A$1:$I$89,3,0)*0.475*44/12</f>
        <v>10.958212150605259</v>
      </c>
      <c r="AC55" s="22">
        <f t="shared" si="3"/>
        <v>85.423052394707298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12.999000000000001</v>
      </c>
      <c r="AI55" s="13">
        <f>IF('Données projet'!$A$62&gt;35,AI54+AH55-AQ54,IF(A55&lt;'Données projet'!$A$62,$AF$205^A55,IF(A55='Données projet'!$A$62,'Données projet'!$B$62,AI54+AH55-AQ54)))</f>
        <v>235.37899999999973</v>
      </c>
      <c r="AJ55" s="13">
        <f>AI55*VLOOKUP('Données projet'!$B$10,Paramètres!$A$1:$I$89,3,0)*VLOOKUP('Données projet'!$B$10,Paramètres!$A$1:$I$89,5,0)</f>
        <v>110.15737199999988</v>
      </c>
      <c r="AK55" s="13">
        <f t="shared" si="35"/>
        <v>29.36805955758571</v>
      </c>
      <c r="AL55" s="20">
        <f t="shared" si="4"/>
        <v>243.00679329612822</v>
      </c>
      <c r="AM55" s="59">
        <f t="shared" si="5"/>
        <v>499.44207275971155</v>
      </c>
      <c r="AN55" s="59">
        <f ca="1">AVERAGE(OFFSET($AM$3,0,0,'Données projet'!$E$10+1,1))-AVERAGE(OFFSET($H$3,0,0,'Données projet'!$E$10+1,1))</f>
        <v>374.38106339726073</v>
      </c>
      <c r="AO55" s="59">
        <f t="shared" si="36"/>
        <v>296.53283288925957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14.5596325351456</v>
      </c>
      <c r="AV55" s="21">
        <f>EXP(-LN(2)/25)*AV54+(1-EXP(-LN(2)/25))/(LN(2)/25)*Calculateur!AQ55*Calculateur!AS55*VLOOKUP('Données projet'!$B$10,Paramètres!$A$1:$I$89,3,0)*0.475*44/12</f>
        <v>21.294057800032657</v>
      </c>
      <c r="AW55" s="21">
        <f>EXP(-LN(2)/2)*AW54+(1-EXP(-LN(2)/2))/(LN(2)/2)*AQ55*AT55*VLOOKUP('Données projet'!$B$10,Paramètres!$A$1:$I$89,3,0)*0.475*44/12</f>
        <v>24.769905775257502</v>
      </c>
      <c r="AX55" s="21">
        <f t="shared" si="6"/>
        <v>60.623596110435756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10.36375</v>
      </c>
      <c r="BD55" s="12">
        <f>IF('Données projet'!$A$88&gt;35,BD54+BC55-BL54,IF(A55&lt;'Données projet'!$A$88,$BA$205^A55,IF(A55='Données projet'!$A$88,'Données projet'!$B$88,BD54+BC55-BL54)))</f>
        <v>191.51750000000021</v>
      </c>
      <c r="BE55" s="13">
        <f>BD55*VLOOKUP('Données projet'!$B$11,Paramètres!$A$1:$I$89,3,0)*VLOOKUP('Données projet'!$B$11,Paramètres!$A$1:$I$89,5,0)</f>
        <v>173.28503400000019</v>
      </c>
      <c r="BF55" s="13">
        <f t="shared" si="37"/>
        <v>43.82494037101592</v>
      </c>
      <c r="BG55" s="20">
        <f t="shared" si="7"/>
        <v>378.133205362853</v>
      </c>
      <c r="BH55" s="59">
        <f t="shared" si="8"/>
        <v>634.56848482643636</v>
      </c>
      <c r="BI55" s="59">
        <f ca="1">AVERAGE(OFFSET($BH$3,0,0,'Données projet'!$E$11+1,1))-AVERAGE(OFFSET($H$3,0,0,'Données projet'!$E$11+1,1))</f>
        <v>681.47578137804555</v>
      </c>
      <c r="BJ55" s="59">
        <f t="shared" si="38"/>
        <v>300.88511065995885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23.732718193951328</v>
      </c>
      <c r="BR55" s="21">
        <f>EXP(-LN(2)/2)*BR54+(1-EXP(-LN(2)/2))/(LN(2)/2)*BL55*BO55*VLOOKUP('Données projet'!$B$11,Paramètres!$A$1:$I$89,3,0)*0.475*44/12</f>
        <v>3.4422911795556046</v>
      </c>
      <c r="BS55" s="22">
        <f t="shared" si="9"/>
        <v>27.175009373506931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3.9743589743589753</v>
      </c>
      <c r="BY55" s="12">
        <f>IF('Données projet'!$A$114&gt;35,BY54+BX55-CG54,IF(A55&lt;'Données projet'!$A$114,$BV$205^A55,IF(A55='Données projet'!$A$114,'Données projet'!$B$114,BY54+BX55-CG54)))</f>
        <v>116.92307692307693</v>
      </c>
      <c r="BZ55" s="13">
        <f>BY55*VLOOKUP('Données projet'!$B$12,Paramètres!$A$1:$I$89,3,0)*VLOOKUP('Données projet'!$B$12,Paramètres!$A$1:$I$89,5,0)</f>
        <v>122.20800000000001</v>
      </c>
      <c r="CA55" s="13">
        <f t="shared" si="39"/>
        <v>32.189431292929825</v>
      </c>
      <c r="CB55" s="20">
        <f t="shared" si="10"/>
        <v>268.90885950185276</v>
      </c>
      <c r="CC55" s="59">
        <f t="shared" si="11"/>
        <v>525.34413896543606</v>
      </c>
      <c r="CD55" s="59">
        <f ca="1">AVERAGE(OFFSET($CC$3,0,0,'Données projet'!$E$12+1,1))-AVERAGE(OFFSET($H$3,0,0,'Données projet'!$E$12+1,1))</f>
        <v>290.69667785754848</v>
      </c>
      <c r="CE55" s="59">
        <f t="shared" si="40"/>
        <v>256.28124185489082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17.489121888986439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17.489121888986439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7.4</v>
      </c>
      <c r="CT55" s="12">
        <f>IF('Données projet'!$A$140&gt;35,CT54+CS55-DB54,IF(A55&lt;'Données projet'!$A$140,$CQ$205^A55,IF(A55='Données projet'!$A$140,'Données projet'!$B$140,CT54+CS55-DB54)))</f>
        <v>256.8</v>
      </c>
      <c r="CU55" s="17">
        <f>CT55*VLOOKUP('Données projet'!$B$13,Paramètres!$A$1:$I$89,3,0)*VLOOKUP('Données projet'!$B$13,Paramètres!$A$1:$I$89,5,0)</f>
        <v>224.34048000000004</v>
      </c>
      <c r="CV55" s="13">
        <f t="shared" si="41"/>
        <v>55.057192232003722</v>
      </c>
      <c r="CW55" s="20">
        <f t="shared" si="13"/>
        <v>486.61761247073986</v>
      </c>
      <c r="CX55" s="59">
        <f t="shared" si="14"/>
        <v>743.05289193432327</v>
      </c>
      <c r="CY55" s="59">
        <f ca="1">AVERAGE(OFFSET($CX$3,0,0,'Données projet'!$E$13+1,1))-AVERAGE(OFFSET($H$3,0,0,'Données projet'!$E$13+1,1))</f>
        <v>408.246209980743</v>
      </c>
      <c r="CZ55" s="59">
        <f t="shared" si="42"/>
        <v>394.10236303013903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14.636840892480116</v>
      </c>
      <c r="DG55" s="21">
        <f>EXP(-LN(2)/25)*DG54+(1-EXP(-LN(2)/25))/(LN(2)/25)*Calculateur!DB55*Calculateur!DD55*VLOOKUP('Données projet'!$B$13,Paramètres!$A$1:$I$89,3,0)*0.475*44/12</f>
        <v>18.626457839476156</v>
      </c>
      <c r="DH55" s="21">
        <f>EXP(-LN(2)/2)*DH54+(1-EXP(-LN(2)/2))/(LN(2)/2)*DB55*DE55*VLOOKUP('Données projet'!$B$13,Paramètres!$A$1:$I$89,3,0)*0.475*44/12</f>
        <v>2.5316481559513022</v>
      </c>
      <c r="DI55" s="22">
        <f t="shared" si="15"/>
        <v>35.794946887907571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20.355714285714278</v>
      </c>
      <c r="DO55" s="12">
        <f>IF('Données projet'!$A$166&gt;35,DO54+DN55-DW54,IF(A55&lt;'Données projet'!$A$166,$DL$205^A55,IF(A55='Données projet'!$A$166,'Données projet'!$B$166,DO54+DN55-DW54)))</f>
        <v>452.60714285714306</v>
      </c>
      <c r="DP55" s="17">
        <f>DO55*VLOOKUP('Données projet'!$B$14,Paramètres!$A$1:$I$89,3,0)*VLOOKUP('Données projet'!$B$14,Paramètres!$A$1:$I$89,5,0)</f>
        <v>253.007392857143</v>
      </c>
      <c r="DQ55" s="13">
        <f t="shared" si="43"/>
        <v>61.229479905592257</v>
      </c>
      <c r="DR55" s="20">
        <f t="shared" si="16"/>
        <v>547.29588672843067</v>
      </c>
      <c r="DS55" s="59">
        <f t="shared" si="17"/>
        <v>803.73116619201403</v>
      </c>
      <c r="DT55" s="59">
        <f ca="1">AVERAGE(OFFSET($DS$3,0,0,'Données projet'!$E$14+1,1))-AVERAGE(OFFSET($H$3,0,0,'Données projet'!$E$14+1,1))</f>
        <v>407.05634973057056</v>
      </c>
      <c r="DU55" s="59">
        <f t="shared" si="44"/>
        <v>375.32891954889965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69.074953264425389</v>
      </c>
      <c r="EB55" s="21">
        <f>EXP(-LN(2)/25)*EB54+(1-EXP(-LN(2)/25))/(LN(2)/25)*Calculateur!DW55*Calculateur!DY55*VLOOKUP('Données projet'!$B$14,Paramètres!$A$1:$I$89,3,0)*0.475*44/12</f>
        <v>28.320221429115801</v>
      </c>
      <c r="EC55" s="21">
        <f>EXP(-LN(2)/2)*EC54+(1-EXP(-LN(2)/2))/(LN(2)/2)*DW55*DZ55*VLOOKUP('Données projet'!$B$14,Paramètres!$A$1:$I$89,3,0)*0.475*44/12</f>
        <v>5.474134231789324</v>
      </c>
      <c r="ED55" s="22">
        <f t="shared" si="18"/>
        <v>102.86930892533051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21.6</v>
      </c>
      <c r="EJ55" s="12">
        <f>IF('Données projet'!$A$192&gt;35,EJ54+EI55-ER54,IF(A55&lt;'Données projet'!$A$192,$EG$205^A55,IF(A55='Données projet'!$A$192,'Données projet'!$B$192,EJ54+EI55-ER54)))</f>
        <v>529.19999999999982</v>
      </c>
      <c r="EK55" s="17">
        <f>EJ55*VLOOKUP('Données projet'!$B$15,Paramètres!$A$1:$I$89,3,0)*VLOOKUP('Données projet'!$B$15,Paramètres!$A$1:$I$89,5,0)</f>
        <v>233.90639999999993</v>
      </c>
      <c r="EL55" s="13">
        <f t="shared" si="45"/>
        <v>57.126506840778347</v>
      </c>
      <c r="EM55" s="20">
        <f t="shared" si="19"/>
        <v>506.8823127476889</v>
      </c>
      <c r="EN55" s="59">
        <f t="shared" si="20"/>
        <v>763.31759221127231</v>
      </c>
      <c r="EO55" s="59">
        <f ca="1">AVERAGE(OFFSET($EN$3,0,0,'Données projet'!$E$15+1,1))-AVERAGE(OFFSET($H$3,0,0,'Données projet'!$E$15+1,1))</f>
        <v>418.28022549686278</v>
      </c>
      <c r="EP55" s="59">
        <f t="shared" si="46"/>
        <v>354.55070454517158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36.435551295527659</v>
      </c>
      <c r="EW55" s="21">
        <f>EXP(-LN(2)/25)*EW54+(1-EXP(-LN(2)/25))/(LN(2)/25)*Calculateur!ER55*Calculateur!ET55*VLOOKUP('Données projet'!$B$15,Paramètres!$A$1:$I$89,3,0)*0.475*44/12</f>
        <v>25.059387822552679</v>
      </c>
      <c r="EX55" s="21">
        <f>EXP(-LN(2)/2)*EX54+(1-EXP(-LN(2)/2))/(LN(2)/2)*ER55*EU55*VLOOKUP('Données projet'!$B$15,Paramètres!$A$1:$I$89,3,0)*0.475*44/12</f>
        <v>3.9373473340684608</v>
      </c>
      <c r="EY55" s="22">
        <f t="shared" si="21"/>
        <v>65.432286452148801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3.3603333333333336</v>
      </c>
      <c r="FE55" s="12">
        <f>IF('Données projet'!$A$218&gt;35,FE54+FD55-FM54,IF(A55&lt;'Données projet'!$A$218,$FB$205^A55,IF(A55='Données projet'!$A$218,'Données projet'!$B$218,FE54+FD55-FM54)))</f>
        <v>174.73733333333325</v>
      </c>
      <c r="FF55" s="17">
        <f>FE55*VLOOKUP('Données projet'!$B$16,Paramètres!$A$1:$I$89,3,0)*VLOOKUP('Données projet'!$B$16,Paramètres!$A$1:$I$89,5,0)</f>
        <v>198.99087519999992</v>
      </c>
      <c r="FG55" s="13">
        <f t="shared" si="47"/>
        <v>49.522327389469048</v>
      </c>
      <c r="FH55" s="20">
        <f t="shared" si="22"/>
        <v>432.82716117665836</v>
      </c>
      <c r="FI55" s="59">
        <f t="shared" si="23"/>
        <v>689.26244064024172</v>
      </c>
      <c r="FJ55" s="59">
        <f ca="1">AVERAGE(OFFSET($FI$3,0,0,'Données projet'!$E$16+1,1))-AVERAGE(OFFSET($H$3,0,0,'Données projet'!$E$16+1,1))</f>
        <v>640.05156427113661</v>
      </c>
      <c r="FK55" s="59">
        <f t="shared" si="48"/>
        <v>308.77220155372902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13.18</v>
      </c>
      <c r="N56" s="13">
        <f>IF('Données projet'!$A$36&gt;35,N55+M56-V55,IF(A56&lt;'Données projet'!$A$36,$K$205^A56,IF(A56='Données projet'!$A$36,'Données projet'!$B$36,N55+M56-V55)))</f>
        <v>345.48000000000008</v>
      </c>
      <c r="O56" s="13">
        <f>N56*VLOOKUP('Données projet'!$B$9,Paramètres!$A$1:$I$89,3,0)*VLOOKUP('Données projet'!$B$9,Paramètres!$A$1:$I$89,5,0)</f>
        <v>206.59704000000005</v>
      </c>
      <c r="P56" s="13">
        <f t="shared" si="33"/>
        <v>51.191247731076885</v>
      </c>
      <c r="Q56" s="20">
        <f t="shared" si="53"/>
        <v>448.98126779829232</v>
      </c>
      <c r="R56" s="59">
        <f t="shared" si="0"/>
        <v>706.05664600482555</v>
      </c>
      <c r="S56" s="59">
        <f ca="1">AVERAGE(OFFSET($R$3,0,0,'Données projet'!$E$9+1,1))-AVERAGE(OFFSET($H$3,0,0,'Données projet'!$E$9+1,1))</f>
        <v>318.50474972254085</v>
      </c>
      <c r="T56" s="59">
        <f t="shared" si="34"/>
        <v>326.45858332753562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51.818758141640679</v>
      </c>
      <c r="AA56" s="21">
        <f>EXP(-LN(2)/25)*AA55+(1-EXP(-LN(2)/25))/(LN(2)/25)*Calculateur!V56*Calculateur!X56*VLOOKUP('Données projet'!$B$9,Paramètres!$A$1:$I$89,3,0)*0.475*44/12</f>
        <v>21.01870724927981</v>
      </c>
      <c r="AB56" s="21">
        <f>EXP(-LN(2)/2)*AB55+(1-EXP(-LN(2)/2))/(LN(2)/2)*V56*Y56*VLOOKUP('Données projet'!$B$9,Paramètres!$A$1:$I$89,3,0)*0.475*44/12</f>
        <v>7.7486261213737997</v>
      </c>
      <c r="AC56" s="22">
        <f t="shared" si="3"/>
        <v>80.586091512294288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12.999000000000001</v>
      </c>
      <c r="AI56" s="13">
        <f>IF('Données projet'!$A$62&gt;35,AI55+AH56-AQ55,IF(A56&lt;'Données projet'!$A$62,$AF$205^A56,IF(A56='Données projet'!$A$62,'Données projet'!$B$62,AI55+AH56-AQ55)))</f>
        <v>248.37799999999973</v>
      </c>
      <c r="AJ56" s="13">
        <f>AI56*VLOOKUP('Données projet'!$B$10,Paramètres!$A$1:$I$89,3,0)*VLOOKUP('Données projet'!$B$10,Paramètres!$A$1:$I$89,5,0)</f>
        <v>116.24090399999987</v>
      </c>
      <c r="AK56" s="13">
        <f t="shared" si="35"/>
        <v>30.796634482547404</v>
      </c>
      <c r="AL56" s="20">
        <f t="shared" si="4"/>
        <v>256.09037952376985</v>
      </c>
      <c r="AM56" s="59">
        <f t="shared" si="5"/>
        <v>513.16575773030308</v>
      </c>
      <c r="AN56" s="59">
        <f ca="1">AVERAGE(OFFSET($AM$3,0,0,'Données projet'!$E$10+1,1))-AVERAGE(OFFSET($H$3,0,0,'Données projet'!$E$10+1,1))</f>
        <v>374.38106339726073</v>
      </c>
      <c r="AO56" s="59">
        <f t="shared" si="36"/>
        <v>296.53283288925957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14.274127021630365</v>
      </c>
      <c r="AV56" s="21">
        <f>EXP(-LN(2)/25)*AV55+(1-EXP(-LN(2)/25))/(LN(2)/25)*Calculateur!AQ56*Calculateur!AS56*VLOOKUP('Données projet'!$B$10,Paramètres!$A$1:$I$89,3,0)*0.475*44/12</f>
        <v>20.711770669684935</v>
      </c>
      <c r="AW56" s="21">
        <f>EXP(-LN(2)/2)*AW55+(1-EXP(-LN(2)/2))/(LN(2)/2)*AQ56*AT56*VLOOKUP('Données projet'!$B$10,Paramètres!$A$1:$I$89,3,0)*0.475*44/12</f>
        <v>17.514968343036408</v>
      </c>
      <c r="AX56" s="21">
        <f t="shared" si="6"/>
        <v>52.500866034351709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10.36375</v>
      </c>
      <c r="BD56" s="12">
        <f>IF('Données projet'!$A$88&gt;35,BD55+BC56-BL55,IF(A56&lt;'Données projet'!$A$88,$BA$205^A56,IF(A56='Données projet'!$A$88,'Données projet'!$B$88,BD55+BC56-BL55)))</f>
        <v>201.88125000000022</v>
      </c>
      <c r="BE56" s="13">
        <f>BD56*VLOOKUP('Données projet'!$B$11,Paramètres!$A$1:$I$89,3,0)*VLOOKUP('Données projet'!$B$11,Paramètres!$A$1:$I$89,5,0)</f>
        <v>182.66215500000018</v>
      </c>
      <c r="BF56" s="13">
        <f t="shared" si="37"/>
        <v>45.913959577546748</v>
      </c>
      <c r="BG56" s="20">
        <f t="shared" si="7"/>
        <v>398.10339955589421</v>
      </c>
      <c r="BH56" s="59">
        <f t="shared" si="8"/>
        <v>655.17877776242744</v>
      </c>
      <c r="BI56" s="59">
        <f ca="1">AVERAGE(OFFSET($BH$3,0,0,'Données projet'!$E$11+1,1))-AVERAGE(OFFSET($H$3,0,0,'Données projet'!$E$11+1,1))</f>
        <v>681.47578137804555</v>
      </c>
      <c r="BJ56" s="59">
        <f t="shared" si="38"/>
        <v>300.88511065995885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23.08374576688832</v>
      </c>
      <c r="BR56" s="21">
        <f>EXP(-LN(2)/2)*BR55+(1-EXP(-LN(2)/2))/(LN(2)/2)*BL56*BO56*VLOOKUP('Données projet'!$B$11,Paramètres!$A$1:$I$89,3,0)*0.475*44/12</f>
        <v>2.4340674358824077</v>
      </c>
      <c r="BS56" s="22">
        <f t="shared" si="9"/>
        <v>25.517813202770729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3.9743589743589753</v>
      </c>
      <c r="BY56" s="12">
        <f>IF('Données projet'!$A$114&gt;35,BY55+BX56-CG55,IF(A56&lt;'Données projet'!$A$114,$BV$205^A56,IF(A56='Données projet'!$A$114,'Données projet'!$B$114,BY55+BX56-CG55)))</f>
        <v>120.89743589743591</v>
      </c>
      <c r="BZ56" s="13">
        <f>BY56*VLOOKUP('Données projet'!$B$12,Paramètres!$A$1:$I$89,3,0)*VLOOKUP('Données projet'!$B$12,Paramètres!$A$1:$I$89,5,0)</f>
        <v>126.36200000000002</v>
      </c>
      <c r="CA56" s="13">
        <f t="shared" si="39"/>
        <v>33.15434072740662</v>
      </c>
      <c r="CB56" s="20">
        <f t="shared" si="10"/>
        <v>277.8242934335666</v>
      </c>
      <c r="CC56" s="59">
        <f t="shared" si="11"/>
        <v>534.89967164009977</v>
      </c>
      <c r="CD56" s="59">
        <f ca="1">AVERAGE(OFFSET($CC$3,0,0,'Données projet'!$E$12+1,1))-AVERAGE(OFFSET($H$3,0,0,'Données projet'!$E$12+1,1))</f>
        <v>290.69667785754848</v>
      </c>
      <c r="CE56" s="59">
        <f t="shared" si="40"/>
        <v>256.28124185489082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17.010880931219155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17.010880931219155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7.4</v>
      </c>
      <c r="CT56" s="12">
        <f>IF('Données projet'!$A$140&gt;35,CT55+CS56-DB55,IF(A56&lt;'Données projet'!$A$140,$CQ$205^A56,IF(A56='Données projet'!$A$140,'Données projet'!$B$140,CT55+CS56-DB55)))</f>
        <v>264.2</v>
      </c>
      <c r="CU56" s="17">
        <f>CT56*VLOOKUP('Données projet'!$B$13,Paramètres!$A$1:$I$89,3,0)*VLOOKUP('Données projet'!$B$13,Paramètres!$A$1:$I$89,5,0)</f>
        <v>230.80512000000002</v>
      </c>
      <c r="CV56" s="13">
        <f t="shared" si="41"/>
        <v>56.456731878408327</v>
      </c>
      <c r="CW56" s="20">
        <f t="shared" si="13"/>
        <v>500.3143920215611</v>
      </c>
      <c r="CX56" s="59">
        <f t="shared" si="14"/>
        <v>757.38977022809433</v>
      </c>
      <c r="CY56" s="59">
        <f ca="1">AVERAGE(OFFSET($CX$3,0,0,'Données projet'!$E$13+1,1))-AVERAGE(OFFSET($H$3,0,0,'Données projet'!$E$13+1,1))</f>
        <v>408.246209980743</v>
      </c>
      <c r="CZ56" s="59">
        <f t="shared" si="42"/>
        <v>394.10236303013903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14.349821370169998</v>
      </c>
      <c r="DG56" s="21">
        <f>EXP(-LN(2)/25)*DG55+(1-EXP(-LN(2)/25))/(LN(2)/25)*Calculateur!DB56*Calculateur!DD56*VLOOKUP('Données projet'!$B$13,Paramètres!$A$1:$I$89,3,0)*0.475*44/12</f>
        <v>18.117116370332834</v>
      </c>
      <c r="DH56" s="21">
        <f>EXP(-LN(2)/2)*DH55+(1-EXP(-LN(2)/2))/(LN(2)/2)*DB56*DE56*VLOOKUP('Données projet'!$B$13,Paramètres!$A$1:$I$89,3,0)*0.475*44/12</f>
        <v>1.7901455786515841</v>
      </c>
      <c r="DI56" s="22">
        <f t="shared" si="15"/>
        <v>34.257083319154411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20.355714285714278</v>
      </c>
      <c r="DO56" s="12">
        <f>IF('Données projet'!$A$166&gt;35,DO55+DN56-DW55,IF(A56&lt;'Données projet'!$A$166,$DL$205^A56,IF(A56='Données projet'!$A$166,'Données projet'!$B$166,DO55+DN56-DW55)))</f>
        <v>472.96285714285733</v>
      </c>
      <c r="DP56" s="17">
        <f>DO56*VLOOKUP('Données projet'!$B$14,Paramètres!$A$1:$I$89,3,0)*VLOOKUP('Données projet'!$B$14,Paramètres!$A$1:$I$89,5,0)</f>
        <v>264.38623714285728</v>
      </c>
      <c r="DQ56" s="13">
        <f t="shared" si="43"/>
        <v>63.656434183712321</v>
      </c>
      <c r="DR56" s="20">
        <f t="shared" si="16"/>
        <v>571.34098589377538</v>
      </c>
      <c r="DS56" s="59">
        <f t="shared" si="17"/>
        <v>828.41636410030856</v>
      </c>
      <c r="DT56" s="59">
        <f ca="1">AVERAGE(OFFSET($DS$3,0,0,'Données projet'!$E$14+1,1))-AVERAGE(OFFSET($H$3,0,0,'Données projet'!$E$14+1,1))</f>
        <v>407.05634973057056</v>
      </c>
      <c r="DU56" s="59">
        <f t="shared" si="44"/>
        <v>375.32891954889965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67.720435562471351</v>
      </c>
      <c r="EB56" s="21">
        <f>EXP(-LN(2)/25)*EB55+(1-EXP(-LN(2)/25))/(LN(2)/25)*Calculateur!DW56*Calculateur!DY56*VLOOKUP('Données projet'!$B$14,Paramètres!$A$1:$I$89,3,0)*0.475*44/12</f>
        <v>27.54580348484091</v>
      </c>
      <c r="EC56" s="21">
        <f>EXP(-LN(2)/2)*EC55+(1-EXP(-LN(2)/2))/(LN(2)/2)*DW56*DZ56*VLOOKUP('Données projet'!$B$14,Paramètres!$A$1:$I$89,3,0)*0.475*44/12</f>
        <v>3.870797436423643</v>
      </c>
      <c r="ED56" s="22">
        <f t="shared" si="18"/>
        <v>99.137036483735912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21.6</v>
      </c>
      <c r="EJ56" s="12">
        <f>IF('Données projet'!$A$192&gt;35,EJ55+EI56-ER55,IF(A56&lt;'Données projet'!$A$192,$EG$205^A56,IF(A56='Données projet'!$A$192,'Données projet'!$B$192,EJ55+EI56-ER55)))</f>
        <v>550.79999999999984</v>
      </c>
      <c r="EK56" s="17">
        <f>EJ56*VLOOKUP('Données projet'!$B$15,Paramètres!$A$1:$I$89,3,0)*VLOOKUP('Données projet'!$B$15,Paramètres!$A$1:$I$89,5,0)</f>
        <v>243.45359999999997</v>
      </c>
      <c r="EL56" s="13">
        <f t="shared" si="45"/>
        <v>59.181970343065267</v>
      </c>
      <c r="EM56" s="20">
        <f t="shared" si="19"/>
        <v>527.09028501417185</v>
      </c>
      <c r="EN56" s="59">
        <f t="shared" si="20"/>
        <v>784.16566322070503</v>
      </c>
      <c r="EO56" s="59">
        <f ca="1">AVERAGE(OFFSET($EN$3,0,0,'Données projet'!$E$15+1,1))-AVERAGE(OFFSET($H$3,0,0,'Données projet'!$E$15+1,1))</f>
        <v>418.28022549686278</v>
      </c>
      <c r="EP56" s="59">
        <f t="shared" si="46"/>
        <v>354.55070454517158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35.721072358114263</v>
      </c>
      <c r="EW56" s="21">
        <f>EXP(-LN(2)/25)*EW55+(1-EXP(-LN(2)/25))/(LN(2)/25)*Calculateur!ER56*Calculateur!ET56*VLOOKUP('Données projet'!$B$15,Paramètres!$A$1:$I$89,3,0)*0.475*44/12</f>
        <v>24.374137544729045</v>
      </c>
      <c r="EX56" s="21">
        <f>EXP(-LN(2)/2)*EX55+(1-EXP(-LN(2)/2))/(LN(2)/2)*ER56*EU56*VLOOKUP('Données projet'!$B$15,Paramètres!$A$1:$I$89,3,0)*0.475*44/12</f>
        <v>2.7841249998065836</v>
      </c>
      <c r="EY56" s="22">
        <f t="shared" si="21"/>
        <v>62.879334902649894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3.3603333333333336</v>
      </c>
      <c r="FE56" s="12">
        <f>IF('Données projet'!$A$218&gt;35,FE55+FD56-FM55,IF(A56&lt;'Données projet'!$A$218,$FB$205^A56,IF(A56='Données projet'!$A$218,'Données projet'!$B$218,FE55+FD56-FM55)))</f>
        <v>178.09766666666658</v>
      </c>
      <c r="FF56" s="17">
        <f>FE56*VLOOKUP('Données projet'!$B$16,Paramètres!$A$1:$I$89,3,0)*VLOOKUP('Données projet'!$B$16,Paramètres!$A$1:$I$89,5,0)</f>
        <v>202.8176227999999</v>
      </c>
      <c r="FG56" s="13">
        <f t="shared" si="47"/>
        <v>50.362890855317765</v>
      </c>
      <c r="FH56" s="20">
        <f t="shared" si="22"/>
        <v>440.95606128301159</v>
      </c>
      <c r="FI56" s="59">
        <f t="shared" si="23"/>
        <v>698.03143948954482</v>
      </c>
      <c r="FJ56" s="59">
        <f ca="1">AVERAGE(OFFSET($FI$3,0,0,'Données projet'!$E$16+1,1))-AVERAGE(OFFSET($H$3,0,0,'Données projet'!$E$16+1,1))</f>
        <v>640.05156427113661</v>
      </c>
      <c r="FK56" s="59">
        <f t="shared" si="48"/>
        <v>308.77220155372902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13.18</v>
      </c>
      <c r="N57" s="13">
        <f>IF('Données projet'!$A$36&gt;35,N56+M57-V56,IF(A57&lt;'Données projet'!$A$36,$K$205^A57,IF(A57='Données projet'!$A$36,'Données projet'!$B$36,N56+M57-V56)))</f>
        <v>358.66000000000008</v>
      </c>
      <c r="O57" s="13">
        <f>N57*VLOOKUP('Données projet'!$B$9,Paramètres!$A$1:$I$89,3,0)*VLOOKUP('Données projet'!$B$9,Paramètres!$A$1:$I$89,5,0)</f>
        <v>214.47868000000008</v>
      </c>
      <c r="P57" s="13">
        <f t="shared" si="33"/>
        <v>52.913084692982125</v>
      </c>
      <c r="Q57" s="20">
        <f t="shared" si="53"/>
        <v>465.70732350694396</v>
      </c>
      <c r="R57" s="59">
        <f t="shared" si="0"/>
        <v>723.41169617428329</v>
      </c>
      <c r="S57" s="59">
        <f ca="1">AVERAGE(OFFSET($R$3,0,0,'Données projet'!$E$9+1,1))-AVERAGE(OFFSET($H$3,0,0,'Données projet'!$E$9+1,1))</f>
        <v>318.50474972254085</v>
      </c>
      <c r="T57" s="59">
        <f t="shared" si="34"/>
        <v>326.45858332753562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50.802623900804704</v>
      </c>
      <c r="AA57" s="21">
        <f>EXP(-LN(2)/25)*AA56+(1-EXP(-LN(2)/25))/(LN(2)/25)*Calculateur!V57*Calculateur!X57*VLOOKUP('Données projet'!$B$9,Paramètres!$A$1:$I$89,3,0)*0.475*44/12</f>
        <v>20.443949594222477</v>
      </c>
      <c r="AB57" s="21">
        <f>EXP(-LN(2)/2)*AB56+(1-EXP(-LN(2)/2))/(LN(2)/2)*V57*Y57*VLOOKUP('Données projet'!$B$9,Paramètres!$A$1:$I$89,3,0)*0.475*44/12</f>
        <v>5.4791060753026306</v>
      </c>
      <c r="AC57" s="22">
        <f t="shared" si="3"/>
        <v>76.725679570329802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12.999000000000001</v>
      </c>
      <c r="AI57" s="13">
        <f>IF('Données projet'!$A$62&gt;35,AI56+AH57-AQ56,IF(A57&lt;'Données projet'!$A$62,$AF$205^A57,IF(A57='Données projet'!$A$62,'Données projet'!$B$62,AI56+AH57-AQ56)))</f>
        <v>261.37699999999973</v>
      </c>
      <c r="AJ57" s="13">
        <f>AI57*VLOOKUP('Données projet'!$B$10,Paramètres!$A$1:$I$89,3,0)*VLOOKUP('Données projet'!$B$10,Paramètres!$A$1:$I$89,5,0)</f>
        <v>122.32443599999988</v>
      </c>
      <c r="AK57" s="13">
        <f t="shared" si="35"/>
        <v>32.216529002111294</v>
      </c>
      <c r="AL57" s="20">
        <f t="shared" si="4"/>
        <v>269.15884737867697</v>
      </c>
      <c r="AM57" s="59">
        <f t="shared" si="5"/>
        <v>526.86322004601629</v>
      </c>
      <c r="AN57" s="59">
        <f ca="1">AVERAGE(OFFSET($AM$3,0,0,'Données projet'!$E$10+1,1))-AVERAGE(OFFSET($H$3,0,0,'Données projet'!$E$10+1,1))</f>
        <v>374.38106339726073</v>
      </c>
      <c r="AO57" s="59">
        <f t="shared" si="36"/>
        <v>296.53283288925957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13.994220097093995</v>
      </c>
      <c r="AV57" s="21">
        <f>EXP(-LN(2)/25)*AV56+(1-EXP(-LN(2)/25))/(LN(2)/25)*Calculateur!AQ57*Calculateur!AS57*VLOOKUP('Données projet'!$B$10,Paramètres!$A$1:$I$89,3,0)*0.475*44/12</f>
        <v>20.145406211537718</v>
      </c>
      <c r="AW57" s="21">
        <f>EXP(-LN(2)/2)*AW56+(1-EXP(-LN(2)/2))/(LN(2)/2)*AQ57*AT57*VLOOKUP('Données projet'!$B$10,Paramètres!$A$1:$I$89,3,0)*0.475*44/12</f>
        <v>12.384952887628753</v>
      </c>
      <c r="AX57" s="21">
        <f t="shared" si="6"/>
        <v>46.524579196260461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10.36375</v>
      </c>
      <c r="BD57" s="12">
        <f>IF('Données projet'!$A$88&gt;35,BD56+BC57-BL56,IF(A57&lt;'Données projet'!$A$88,$BA$205^A57,IF(A57='Données projet'!$A$88,'Données projet'!$B$88,BD56+BC57-BL56)))</f>
        <v>212.24500000000023</v>
      </c>
      <c r="BE57" s="13">
        <f>BD57*VLOOKUP('Données projet'!$B$11,Paramètres!$A$1:$I$89,3,0)*VLOOKUP('Données projet'!$B$11,Paramètres!$A$1:$I$89,5,0)</f>
        <v>192.0392760000002</v>
      </c>
      <c r="BF57" s="13">
        <f t="shared" si="37"/>
        <v>47.990527307113453</v>
      </c>
      <c r="BG57" s="20">
        <f t="shared" si="7"/>
        <v>418.05190742655623</v>
      </c>
      <c r="BH57" s="59">
        <f t="shared" si="8"/>
        <v>675.75628009389561</v>
      </c>
      <c r="BI57" s="59">
        <f ca="1">AVERAGE(OFFSET($BH$3,0,0,'Données projet'!$E$11+1,1))-AVERAGE(OFFSET($H$3,0,0,'Données projet'!$E$11+1,1))</f>
        <v>681.47578137804555</v>
      </c>
      <c r="BJ57" s="59">
        <f t="shared" si="38"/>
        <v>300.88511065995885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22.452519524971329</v>
      </c>
      <c r="BR57" s="21">
        <f>EXP(-LN(2)/2)*BR56+(1-EXP(-LN(2)/2))/(LN(2)/2)*BL57*BO57*VLOOKUP('Données projet'!$B$11,Paramètres!$A$1:$I$89,3,0)*0.475*44/12</f>
        <v>1.7211455897778025</v>
      </c>
      <c r="BS57" s="22">
        <f t="shared" si="9"/>
        <v>24.173665114749131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3.9743589743589753</v>
      </c>
      <c r="BY57" s="12">
        <f>IF('Données projet'!$A$114&gt;35,BY56+BX57-CG56,IF(A57&lt;'Données projet'!$A$114,$BV$205^A57,IF(A57='Données projet'!$A$114,'Données projet'!$B$114,BY56+BX57-CG56)))</f>
        <v>124.87179487179489</v>
      </c>
      <c r="BZ57" s="13">
        <f>BY57*VLOOKUP('Données projet'!$B$12,Paramètres!$A$1:$I$89,3,0)*VLOOKUP('Données projet'!$B$12,Paramètres!$A$1:$I$89,5,0)</f>
        <v>130.51600000000002</v>
      </c>
      <c r="CA57" s="13">
        <f t="shared" si="39"/>
        <v>34.115564279019615</v>
      </c>
      <c r="CB57" s="20">
        <f t="shared" si="10"/>
        <v>286.7333077859592</v>
      </c>
      <c r="CC57" s="59">
        <f t="shared" si="11"/>
        <v>544.43768045329853</v>
      </c>
      <c r="CD57" s="59">
        <f ca="1">AVERAGE(OFFSET($CC$3,0,0,'Données projet'!$E$12+1,1))-AVERAGE(OFFSET($H$3,0,0,'Données projet'!$E$12+1,1))</f>
        <v>290.69667785754848</v>
      </c>
      <c r="CE57" s="59">
        <f t="shared" si="40"/>
        <v>256.28124185489082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16.545717497591617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16.545717497591617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7.4</v>
      </c>
      <c r="CT57" s="12">
        <f>IF('Données projet'!$A$140&gt;35,CT56+CS57-DB56,IF(A57&lt;'Données projet'!$A$140,$CQ$205^A57,IF(A57='Données projet'!$A$140,'Données projet'!$B$140,CT56+CS57-DB56)))</f>
        <v>271.59999999999997</v>
      </c>
      <c r="CU57" s="17">
        <f>CT57*VLOOKUP('Données projet'!$B$13,Paramètres!$A$1:$I$89,3,0)*VLOOKUP('Données projet'!$B$13,Paramètres!$A$1:$I$89,5,0)</f>
        <v>237.26976000000002</v>
      </c>
      <c r="CV57" s="13">
        <f t="shared" si="41"/>
        <v>57.851715465847946</v>
      </c>
      <c r="CW57" s="20">
        <f t="shared" si="13"/>
        <v>514.00323643635181</v>
      </c>
      <c r="CX57" s="59">
        <f t="shared" si="14"/>
        <v>771.70760910369108</v>
      </c>
      <c r="CY57" s="59">
        <f ca="1">AVERAGE(OFFSET($CX$3,0,0,'Données projet'!$E$13+1,1))-AVERAGE(OFFSET($H$3,0,0,'Données projet'!$E$13+1,1))</f>
        <v>408.246209980743</v>
      </c>
      <c r="CZ57" s="59">
        <f t="shared" si="42"/>
        <v>394.10236303013903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14.06843012562776</v>
      </c>
      <c r="DG57" s="21">
        <f>EXP(-LN(2)/25)*DG56+(1-EXP(-LN(2)/25))/(LN(2)/25)*Calculateur!DB57*Calculateur!DD57*VLOOKUP('Données projet'!$B$13,Paramètres!$A$1:$I$89,3,0)*0.475*44/12</f>
        <v>17.621702870448338</v>
      </c>
      <c r="DH57" s="21">
        <f>EXP(-LN(2)/2)*DH56+(1-EXP(-LN(2)/2))/(LN(2)/2)*DB57*DE57*VLOOKUP('Données projet'!$B$13,Paramètres!$A$1:$I$89,3,0)*0.475*44/12</f>
        <v>1.2658240779756513</v>
      </c>
      <c r="DI57" s="22">
        <f t="shared" si="15"/>
        <v>32.955957074051753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20.355714285714278</v>
      </c>
      <c r="DO57" s="12">
        <f>IF('Données projet'!$A$166&gt;35,DO56+DN57-DW56,IF(A57&lt;'Données projet'!$A$166,$DL$205^A57,IF(A57='Données projet'!$A$166,'Données projet'!$B$166,DO56+DN57-DW56)))</f>
        <v>493.3185714285716</v>
      </c>
      <c r="DP57" s="17">
        <f>DO57*VLOOKUP('Données projet'!$B$14,Paramètres!$A$1:$I$89,3,0)*VLOOKUP('Données projet'!$B$14,Paramètres!$A$1:$I$89,5,0)</f>
        <v>275.76508142857153</v>
      </c>
      <c r="DQ57" s="13">
        <f t="shared" si="43"/>
        <v>66.071256581811042</v>
      </c>
      <c r="DR57" s="20">
        <f t="shared" si="16"/>
        <v>595.36495536808297</v>
      </c>
      <c r="DS57" s="59">
        <f t="shared" si="17"/>
        <v>853.06932803542236</v>
      </c>
      <c r="DT57" s="59">
        <f ca="1">AVERAGE(OFFSET($DS$3,0,0,'Données projet'!$E$14+1,1))-AVERAGE(OFFSET($H$3,0,0,'Données projet'!$E$14+1,1))</f>
        <v>407.05634973057056</v>
      </c>
      <c r="DU57" s="59">
        <f t="shared" si="44"/>
        <v>375.32891954889965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66.392479126478406</v>
      </c>
      <c r="EB57" s="21">
        <f>EXP(-LN(2)/25)*EB56+(1-EXP(-LN(2)/25))/(LN(2)/25)*Calculateur!DW57*Calculateur!DY57*VLOOKUP('Données projet'!$B$14,Paramètres!$A$1:$I$89,3,0)*0.475*44/12</f>
        <v>26.792562039977085</v>
      </c>
      <c r="EC57" s="21">
        <f>EXP(-LN(2)/2)*EC56+(1-EXP(-LN(2)/2))/(LN(2)/2)*DW57*DZ57*VLOOKUP('Données projet'!$B$14,Paramètres!$A$1:$I$89,3,0)*0.475*44/12</f>
        <v>2.7370671158946625</v>
      </c>
      <c r="ED57" s="22">
        <f t="shared" si="18"/>
        <v>95.922108282350152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21.6</v>
      </c>
      <c r="EJ57" s="12">
        <f>IF('Données projet'!$A$192&gt;35,EJ56+EI57-ER56,IF(A57&lt;'Données projet'!$A$192,$EG$205^A57,IF(A57='Données projet'!$A$192,'Données projet'!$B$192,EJ56+EI57-ER56)))</f>
        <v>572.39999999999986</v>
      </c>
      <c r="EK57" s="17">
        <f>EJ57*VLOOKUP('Données projet'!$B$15,Paramètres!$A$1:$I$89,3,0)*VLOOKUP('Données projet'!$B$15,Paramètres!$A$1:$I$89,5,0)</f>
        <v>253.00079999999994</v>
      </c>
      <c r="EL57" s="13">
        <f t="shared" si="45"/>
        <v>61.228070105968683</v>
      </c>
      <c r="EM57" s="20">
        <f t="shared" si="19"/>
        <v>547.2819487678953</v>
      </c>
      <c r="EN57" s="59">
        <f t="shared" si="20"/>
        <v>804.98632143523469</v>
      </c>
      <c r="EO57" s="59">
        <f ca="1">AVERAGE(OFFSET($EN$3,0,0,'Données projet'!$E$15+1,1))-AVERAGE(OFFSET($H$3,0,0,'Données projet'!$E$15+1,1))</f>
        <v>418.28022549686278</v>
      </c>
      <c r="EP57" s="59">
        <f t="shared" si="46"/>
        <v>354.55070454517158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35.020603916874421</v>
      </c>
      <c r="EW57" s="21">
        <f>EXP(-LN(2)/25)*EW56+(1-EXP(-LN(2)/25))/(LN(2)/25)*Calculateur!ER57*Calculateur!ET57*VLOOKUP('Données projet'!$B$15,Paramètres!$A$1:$I$89,3,0)*0.475*44/12</f>
        <v>23.707625471788244</v>
      </c>
      <c r="EX57" s="21">
        <f>EXP(-LN(2)/2)*EX56+(1-EXP(-LN(2)/2))/(LN(2)/2)*ER57*EU57*VLOOKUP('Données projet'!$B$15,Paramètres!$A$1:$I$89,3,0)*0.475*44/12</f>
        <v>1.9686736670342306</v>
      </c>
      <c r="EY57" s="22">
        <f t="shared" si="21"/>
        <v>60.6969030556969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3.3603333333333336</v>
      </c>
      <c r="FE57" s="12">
        <f>IF('Données projet'!$A$218&gt;35,FE56+FD57-FM56,IF(A57&lt;'Données projet'!$A$218,$FB$205^A57,IF(A57='Données projet'!$A$218,'Données projet'!$B$218,FE56+FD57-FM56)))</f>
        <v>181.45799999999991</v>
      </c>
      <c r="FF57" s="17">
        <f>FE57*VLOOKUP('Données projet'!$B$16,Paramètres!$A$1:$I$89,3,0)*VLOOKUP('Données projet'!$B$16,Paramètres!$A$1:$I$89,5,0)</f>
        <v>206.6443703999999</v>
      </c>
      <c r="FG57" s="13">
        <f t="shared" si="47"/>
        <v>51.201610163516591</v>
      </c>
      <c r="FH57" s="20">
        <f t="shared" si="22"/>
        <v>449.08174948145785</v>
      </c>
      <c r="FI57" s="59">
        <f t="shared" si="23"/>
        <v>706.78612214879718</v>
      </c>
      <c r="FJ57" s="59">
        <f ca="1">AVERAGE(OFFSET($FI$3,0,0,'Données projet'!$E$16+1,1))-AVERAGE(OFFSET($H$3,0,0,'Données projet'!$E$16+1,1))</f>
        <v>640.05156427113661</v>
      </c>
      <c r="FK57" s="59">
        <f t="shared" si="48"/>
        <v>308.77220155372902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13.18</v>
      </c>
      <c r="N58" s="13">
        <f>IF('Données projet'!$A$36&gt;35,N57+M58-V57,IF(A58&lt;'Données projet'!$A$36,$K$205^A58,IF(A58='Données projet'!$A$36,'Données projet'!$B$36,N57+M58-V57)))</f>
        <v>371.84000000000009</v>
      </c>
      <c r="O58" s="13">
        <f>N58*VLOOKUP('Données projet'!$B$9,Paramètres!$A$1:$I$89,3,0)*VLOOKUP('Données projet'!$B$9,Paramètres!$A$1:$I$89,5,0)</f>
        <v>222.36032000000009</v>
      </c>
      <c r="P58" s="13">
        <f t="shared" si="33"/>
        <v>54.627570556659869</v>
      </c>
      <c r="Q58" s="20">
        <f t="shared" si="53"/>
        <v>482.42057605284941</v>
      </c>
      <c r="R58" s="59">
        <f t="shared" si="0"/>
        <v>740.74303153332085</v>
      </c>
      <c r="S58" s="59">
        <f ca="1">AVERAGE(OFFSET($R$3,0,0,'Données projet'!$E$9+1,1))-AVERAGE(OFFSET($H$3,0,0,'Données projet'!$E$9+1,1))</f>
        <v>318.50474972254085</v>
      </c>
      <c r="T58" s="59">
        <f t="shared" si="34"/>
        <v>326.45858332753562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49.806415432650837</v>
      </c>
      <c r="AA58" s="21">
        <f>EXP(-LN(2)/25)*AA57+(1-EXP(-LN(2)/25))/(LN(2)/25)*Calculateur!V58*Calculateur!X58*VLOOKUP('Données projet'!$B$9,Paramètres!$A$1:$I$89,3,0)*0.475*44/12</f>
        <v>19.88490871746788</v>
      </c>
      <c r="AB58" s="21">
        <f>EXP(-LN(2)/2)*AB57+(1-EXP(-LN(2)/2))/(LN(2)/2)*V58*Y58*VLOOKUP('Données projet'!$B$9,Paramètres!$A$1:$I$89,3,0)*0.475*44/12</f>
        <v>3.8743130606869007</v>
      </c>
      <c r="AC58" s="22">
        <f t="shared" si="3"/>
        <v>73.565637210805619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12.999000000000001</v>
      </c>
      <c r="AI58" s="13">
        <f>IF('Données projet'!$A$62&gt;35,AI57+AH58-AQ57,IF(A58&lt;'Données projet'!$A$62,$AF$205^A58,IF(A58='Données projet'!$A$62,'Données projet'!$B$62,AI57+AH58-AQ57)))</f>
        <v>274.37599999999975</v>
      </c>
      <c r="AJ58" s="13">
        <f>AI58*VLOOKUP('Données projet'!$B$10,Paramètres!$A$1:$I$89,3,0)*VLOOKUP('Données projet'!$B$10,Paramètres!$A$1:$I$89,5,0)</f>
        <v>128.4079679999999</v>
      </c>
      <c r="AK58" s="13">
        <f t="shared" si="35"/>
        <v>33.628224080487712</v>
      </c>
      <c r="AL58" s="20">
        <f t="shared" si="4"/>
        <v>282.21303454018255</v>
      </c>
      <c r="AM58" s="59">
        <f t="shared" si="5"/>
        <v>540.53549002065392</v>
      </c>
      <c r="AN58" s="59">
        <f ca="1">AVERAGE(OFFSET($AM$3,0,0,'Données projet'!$E$10+1,1))-AVERAGE(OFFSET($H$3,0,0,'Données projet'!$E$10+1,1))</f>
        <v>374.38106339726073</v>
      </c>
      <c r="AO58" s="59">
        <f t="shared" si="36"/>
        <v>296.53283288925957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13.719801976621417</v>
      </c>
      <c r="AV58" s="21">
        <f>EXP(-LN(2)/25)*AV57+(1-EXP(-LN(2)/25))/(LN(2)/25)*Calculateur!AQ58*Calculateur!AS58*VLOOKUP('Données projet'!$B$10,Paramètres!$A$1:$I$89,3,0)*0.475*44/12</f>
        <v>19.594529019282351</v>
      </c>
      <c r="AW58" s="21">
        <f>EXP(-LN(2)/2)*AW57+(1-EXP(-LN(2)/2))/(LN(2)/2)*AQ58*AT58*VLOOKUP('Données projet'!$B$10,Paramètres!$A$1:$I$89,3,0)*0.475*44/12</f>
        <v>8.7574841715182057</v>
      </c>
      <c r="AX58" s="21">
        <f t="shared" si="6"/>
        <v>42.071815167421974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10.36375</v>
      </c>
      <c r="BD58" s="12">
        <f>IF('Données projet'!$A$88&gt;35,BD57+BC58-BL57,IF(A58&lt;'Données projet'!$A$88,$BA$205^A58,IF(A58='Données projet'!$A$88,'Données projet'!$B$88,BD57+BC58-BL57)))</f>
        <v>222.60875000000024</v>
      </c>
      <c r="BE58" s="13">
        <f>BD58*VLOOKUP('Données projet'!$B$11,Paramètres!$A$1:$I$89,3,0)*VLOOKUP('Données projet'!$B$11,Paramètres!$A$1:$I$89,5,0)</f>
        <v>201.41639700000019</v>
      </c>
      <c r="BF58" s="13">
        <f t="shared" si="37"/>
        <v>50.055320951535919</v>
      </c>
      <c r="BG58" s="20">
        <f t="shared" si="7"/>
        <v>437.97990876559203</v>
      </c>
      <c r="BH58" s="59">
        <f t="shared" si="8"/>
        <v>696.30236424606346</v>
      </c>
      <c r="BI58" s="59">
        <f ca="1">AVERAGE(OFFSET($BH$3,0,0,'Données projet'!$E$11+1,1))-AVERAGE(OFFSET($H$3,0,0,'Données projet'!$E$11+1,1))</f>
        <v>681.47578137804555</v>
      </c>
      <c r="BJ58" s="59">
        <f t="shared" si="38"/>
        <v>300.88511065995885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21.838554197834302</v>
      </c>
      <c r="BR58" s="21">
        <f>EXP(-LN(2)/2)*BR57+(1-EXP(-LN(2)/2))/(LN(2)/2)*BL58*BO58*VLOOKUP('Données projet'!$B$11,Paramètres!$A$1:$I$89,3,0)*0.475*44/12</f>
        <v>1.2170337179412041</v>
      </c>
      <c r="BS58" s="22">
        <f t="shared" si="9"/>
        <v>23.055587915775504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128.84615384615384</v>
      </c>
      <c r="BW58" s="12">
        <f>VLOOKUP(A58,'Données projet'!$A$113:$I$133,9,0)</f>
        <v>3.9743589743589753</v>
      </c>
      <c r="BX58" s="12">
        <f t="array" ref="BX58">INDEX(BW:BW,MIN(IF(ISNUMBER(BW58:BW254),ROW(BW58:BW254),"")))</f>
        <v>3.9743589743589753</v>
      </c>
      <c r="BY58" s="12">
        <f>IF('Données projet'!$A$114&gt;35,BY57+BX58-CG57,IF(A58&lt;'Données projet'!$A$114,$BV$205^A58,IF(A58='Données projet'!$A$114,'Données projet'!$B$114,BY57+BX58-CG57)))</f>
        <v>128.84615384615387</v>
      </c>
      <c r="BZ58" s="13">
        <f>BY58*VLOOKUP('Données projet'!$B$12,Paramètres!$A$1:$I$89,3,0)*VLOOKUP('Données projet'!$B$12,Paramètres!$A$1:$I$89,5,0)</f>
        <v>134.67000000000004</v>
      </c>
      <c r="CA58" s="13">
        <f t="shared" si="39"/>
        <v>35.073232717947938</v>
      </c>
      <c r="CB58" s="20">
        <f t="shared" si="10"/>
        <v>295.63613031709275</v>
      </c>
      <c r="CC58" s="59">
        <f t="shared" si="11"/>
        <v>553.95858579756418</v>
      </c>
      <c r="CD58" s="59">
        <f ca="1">AVERAGE(OFFSET($CC$3,0,0,'Données projet'!$E$12+1,1))-AVERAGE(OFFSET($H$3,0,0,'Données projet'!$E$12+1,1))</f>
        <v>290.69667785754848</v>
      </c>
      <c r="CE58" s="59">
        <f t="shared" si="40"/>
        <v>256.28124185489082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12.820512820512819</v>
      </c>
      <c r="CH58" s="16">
        <f>IF(ISNA(VLOOKUP(A58,'Données projet'!$A$113:$I$133,5,0)),0%,VLOOKUP(A58,'Données projet'!$A$113:$I$133,5,0)*VLOOKUP('Données projet'!$B$12,Paramètres!$A$1:$I$89,7,0))</f>
        <v>4.3000000000000003E-2</v>
      </c>
      <c r="CI58" s="16">
        <f>IF(ISNA(VLOOKUP(A58,'Données projet'!$A$113:$I$133,6,0)),0%,VLOOKUP(A58,'Données projet'!$A$113:$I$133,6,0)*VLOOKUP('Données projet'!$B$12,Paramètres!$A$1:$I$89,7,0))</f>
        <v>0.215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0.63697203268688585</v>
      </c>
      <c r="CL58" s="21">
        <f>EXP(-LN(2)/25)*CL57+(1-EXP(-LN(2)/25))/(LN(2)/25)*Calculateur!CG58*Calculateur!CI58*VLOOKUP('Données projet'!$B$12,Paramètres!$A$1:$I$89,3,0)*0.475*44/12</f>
        <v>19.265594137962633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19.902566170649518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279</v>
      </c>
      <c r="CR58" s="12">
        <f>VLOOKUP(A58,'Données projet'!$A$139:$I$159,9,0)</f>
        <v>7.4</v>
      </c>
      <c r="CS58" s="12">
        <f t="array" ref="CS58">INDEX(CR:CR,MIN(IF(ISNUMBER(CR58:CR254),ROW(CR58:CR254),"")))</f>
        <v>7.4</v>
      </c>
      <c r="CT58" s="12">
        <f>IF('Données projet'!$A$140&gt;35,CT57+CS58-DB57,IF(A58&lt;'Données projet'!$A$140,$CQ$205^A58,IF(A58='Données projet'!$A$140,'Données projet'!$B$140,CT57+CS58-DB57)))</f>
        <v>278.99999999999994</v>
      </c>
      <c r="CU58" s="17">
        <f>CT58*VLOOKUP('Données projet'!$B$13,Paramètres!$A$1:$I$89,3,0)*VLOOKUP('Données projet'!$B$13,Paramètres!$A$1:$I$89,5,0)</f>
        <v>243.73439999999997</v>
      </c>
      <c r="CV58" s="13">
        <f t="shared" si="41"/>
        <v>59.242281392848817</v>
      </c>
      <c r="CW58" s="20">
        <f t="shared" si="13"/>
        <v>527.68438675921152</v>
      </c>
      <c r="CX58" s="59">
        <f t="shared" si="14"/>
        <v>786.0068422396829</v>
      </c>
      <c r="CY58" s="59">
        <f ca="1">AVERAGE(OFFSET($CX$3,0,0,'Données projet'!$E$13+1,1))-AVERAGE(OFFSET($H$3,0,0,'Données projet'!$E$13+1,1))</f>
        <v>408.246209980743</v>
      </c>
      <c r="CZ58" s="59">
        <f t="shared" si="42"/>
        <v>394.10236303013903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16</v>
      </c>
      <c r="DC58" s="16">
        <f>IF(ISNA(VLOOKUP(A58,'Données projet'!$A$139:$I$159,5,0)),0%,VLOOKUP(A58,'Données projet'!$A$139:$I$159,5,0)*VLOOKUP('Données projet'!$B$13,Paramètres!$A$1:$I$89,7,0))</f>
        <v>0.13250000000000001</v>
      </c>
      <c r="DD58" s="16">
        <f>IF(ISNA(VLOOKUP(A58,'Données projet'!$A$139:$I$159,6,0)),0%,VLOOKUP(A58,'Données projet'!$A$139:$I$159,6,0)*VLOOKUP('Données projet'!$B$13,Paramètres!$A$1:$I$89,7,0))</f>
        <v>0.13250000000000001</v>
      </c>
      <c r="DE58" s="16">
        <f>IF(ISNA(VLOOKUP(A58,'Données projet'!$A$139:$I$159,7,0)),0%,VLOOKUP(A58,'Données projet'!$A$139:$I$159,7,0))</f>
        <v>0.25</v>
      </c>
      <c r="DF58" s="21">
        <f>EXP(-LN(2)/35)*DF57+(1-EXP(-LN(2)/35))/(LN(2)/35)*DB58*DC58*VLOOKUP('Données projet'!$B$13,Paramètres!$A$1:$I$89,3,0)*0.475*44/12</f>
        <v>15.839923309706451</v>
      </c>
      <c r="DG58" s="21">
        <f>EXP(-LN(2)/25)*DG57+(1-EXP(-LN(2)/25))/(LN(2)/25)*Calculateur!DB58*Calculateur!DD58*VLOOKUP('Données projet'!$B$13,Paramètres!$A$1:$I$89,3,0)*0.475*44/12</f>
        <v>19.179141734629059</v>
      </c>
      <c r="DH58" s="21">
        <f>EXP(-LN(2)/2)*DH57+(1-EXP(-LN(2)/2))/(LN(2)/2)*DB58*DE58*VLOOKUP('Données projet'!$B$13,Paramètres!$A$1:$I$89,3,0)*0.475*44/12</f>
        <v>4.1921332397228612</v>
      </c>
      <c r="DI58" s="22">
        <f t="shared" si="15"/>
        <v>39.211198284058376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20.355714285714278</v>
      </c>
      <c r="DO58" s="12">
        <f>IF('Données projet'!$A$166&gt;35,DO57+DN58-DW57,IF(A58&lt;'Données projet'!$A$166,$DL$205^A58,IF(A58='Données projet'!$A$166,'Données projet'!$B$166,DO57+DN58-DW57)))</f>
        <v>513.67428571428593</v>
      </c>
      <c r="DP58" s="17">
        <f>DO58*VLOOKUP('Données projet'!$B$14,Paramètres!$A$1:$I$89,3,0)*VLOOKUP('Données projet'!$B$14,Paramètres!$A$1:$I$89,5,0)</f>
        <v>287.14392571428584</v>
      </c>
      <c r="DQ58" s="13">
        <f t="shared" si="43"/>
        <v>68.474504947595136</v>
      </c>
      <c r="DR58" s="20">
        <f t="shared" si="16"/>
        <v>619.36876673610948</v>
      </c>
      <c r="DS58" s="59">
        <f t="shared" si="17"/>
        <v>877.69122221658085</v>
      </c>
      <c r="DT58" s="59">
        <f ca="1">AVERAGE(OFFSET($DS$3,0,0,'Données projet'!$E$14+1,1))-AVERAGE(OFFSET($H$3,0,0,'Données projet'!$E$14+1,1))</f>
        <v>407.05634973057056</v>
      </c>
      <c r="DU58" s="59">
        <f t="shared" si="44"/>
        <v>375.32891954889965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65.090563106221836</v>
      </c>
      <c r="EB58" s="21">
        <f>EXP(-LN(2)/25)*EB57+(1-EXP(-LN(2)/25))/(LN(2)/25)*Calculateur!DW58*Calculateur!DY58*VLOOKUP('Données projet'!$B$14,Paramètres!$A$1:$I$89,3,0)*0.475*44/12</f>
        <v>26.05991802203431</v>
      </c>
      <c r="EC58" s="21">
        <f>EXP(-LN(2)/2)*EC57+(1-EXP(-LN(2)/2))/(LN(2)/2)*DW58*DZ58*VLOOKUP('Données projet'!$B$14,Paramètres!$A$1:$I$89,3,0)*0.475*44/12</f>
        <v>1.935398718211822</v>
      </c>
      <c r="ED58" s="22">
        <f t="shared" si="18"/>
        <v>93.085879846467975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594</v>
      </c>
      <c r="EH58" s="12">
        <f>VLOOKUP(A58,'Données projet'!$A$191:$I$211,9,0)</f>
        <v>21.6</v>
      </c>
      <c r="EI58" s="12">
        <f t="array" ref="EI58">INDEX(EH:EH,MIN(IF(ISNUMBER(EH58:EH254),ROW(EH58:EH254),"")))</f>
        <v>21.6</v>
      </c>
      <c r="EJ58" s="12">
        <f>IF('Données projet'!$A$192&gt;35,EJ57+EI58-ER57,IF(A58&lt;'Données projet'!$A$192,$EG$205^A58,IF(A58='Données projet'!$A$192,'Données projet'!$B$192,EJ57+EI58-ER57)))</f>
        <v>593.99999999999989</v>
      </c>
      <c r="EK58" s="17">
        <f>EJ58*VLOOKUP('Données projet'!$B$15,Paramètres!$A$1:$I$89,3,0)*VLOOKUP('Données projet'!$B$15,Paramètres!$A$1:$I$89,5,0)</f>
        <v>262.548</v>
      </c>
      <c r="EL58" s="13">
        <f t="shared" si="45"/>
        <v>63.265199933079444</v>
      </c>
      <c r="EM58" s="20">
        <f t="shared" si="19"/>
        <v>567.45798988344666</v>
      </c>
      <c r="EN58" s="59">
        <f t="shared" si="20"/>
        <v>825.78044536391803</v>
      </c>
      <c r="EO58" s="59">
        <f ca="1">AVERAGE(OFFSET($EN$3,0,0,'Données projet'!$E$15+1,1))-AVERAGE(OFFSET($H$3,0,0,'Données projet'!$E$15+1,1))</f>
        <v>418.28022549686278</v>
      </c>
      <c r="EP58" s="59">
        <f t="shared" si="46"/>
        <v>354.55070454517158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60</v>
      </c>
      <c r="ES58" s="16">
        <f>IF(ISNA(VLOOKUP(A58,'Données projet'!$A$191:$I$211,5,0)),0%,VLOOKUP(A58,'Données projet'!$A$191:$I$211,5,0)*VLOOKUP('Données projet'!$B$15,Paramètres!$A$1:$I$89,7,0))</f>
        <v>0.33</v>
      </c>
      <c r="ET58" s="16">
        <f>IF(ISNA(VLOOKUP(A58,'Données projet'!$A$191:$I$211,6,0)),0%,VLOOKUP(A58,'Données projet'!$A$191:$I$211,6,0)*VLOOKUP('Données projet'!$B$15,Paramètres!$A$1:$I$89,7,0))</f>
        <v>0.11000000000000001</v>
      </c>
      <c r="EU58" s="16">
        <f>IF(ISNA(VLOOKUP(A58,'Données projet'!$A$191:$I$211,7,0)),0%,VLOOKUP(A58,'Données projet'!$A$191:$I$211,7,0))</f>
        <v>0.2</v>
      </c>
      <c r="EV58" s="21">
        <f>EXP(-LN(2)/35)*EV57+(1-EXP(-LN(2)/35))/(LN(2)/35)*ER58*ES58*VLOOKUP('Données projet'!$B$15,Paramètres!$A$1:$I$89,3,0)*0.475*44/12</f>
        <v>45.943432722748419</v>
      </c>
      <c r="EW58" s="21">
        <f>EXP(-LN(2)/25)*EW57+(1-EXP(-LN(2)/25))/(LN(2)/25)*Calculateur!ER58*Calculateur!ET58*VLOOKUP('Données projet'!$B$15,Paramètres!$A$1:$I$89,3,0)*0.475*44/12</f>
        <v>26.913955946884293</v>
      </c>
      <c r="EX58" s="21">
        <f>EXP(-LN(2)/2)*EX57+(1-EXP(-LN(2)/2))/(LN(2)/2)*ER58*EU58*VLOOKUP('Données projet'!$B$15,Paramètres!$A$1:$I$89,3,0)*0.475*44/12</f>
        <v>7.3974226059836692</v>
      </c>
      <c r="EY58" s="22">
        <f t="shared" si="21"/>
        <v>80.254811275616376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3.3603333333333336</v>
      </c>
      <c r="FE58" s="12">
        <f>IF('Données projet'!$A$218&gt;35,FE57+FD58-FM57,IF(A58&lt;'Données projet'!$A$218,$FB$205^A58,IF(A58='Données projet'!$A$218,'Données projet'!$B$218,FE57+FD58-FM57)))</f>
        <v>184.81833333333324</v>
      </c>
      <c r="FF58" s="17">
        <f>FE58*VLOOKUP('Données projet'!$B$16,Paramètres!$A$1:$I$89,3,0)*VLOOKUP('Données projet'!$B$16,Paramètres!$A$1:$I$89,5,0)</f>
        <v>210.4711179999999</v>
      </c>
      <c r="FG58" s="13">
        <f t="shared" si="47"/>
        <v>52.038523403646074</v>
      </c>
      <c r="FH58" s="20">
        <f t="shared" si="22"/>
        <v>457.20429211135001</v>
      </c>
      <c r="FI58" s="59">
        <f t="shared" si="23"/>
        <v>715.52674759182139</v>
      </c>
      <c r="FJ58" s="59">
        <f ca="1">AVERAGE(OFFSET($FI$3,0,0,'Données projet'!$E$16+1,1))-AVERAGE(OFFSET($H$3,0,0,'Données projet'!$E$16+1,1))</f>
        <v>640.05156427113661</v>
      </c>
      <c r="FK58" s="59">
        <f t="shared" si="48"/>
        <v>308.77220155372902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13.18</v>
      </c>
      <c r="N59" s="13">
        <f>IF('Données projet'!$A$36&gt;35,N58+M59-V58,IF(A59&lt;'Données projet'!$A$36,$K$205^A59,IF(A59='Données projet'!$A$36,'Données projet'!$B$36,N58+M59-V58)))</f>
        <v>385.0200000000001</v>
      </c>
      <c r="O59" s="13">
        <f>N59*VLOOKUP('Données projet'!$B$9,Paramètres!$A$1:$I$89,3,0)*VLOOKUP('Données projet'!$B$9,Paramètres!$A$1:$I$89,5,0)</f>
        <v>230.24196000000006</v>
      </c>
      <c r="P59" s="13">
        <f t="shared" si="33"/>
        <v>56.334995738213507</v>
      </c>
      <c r="Q59" s="20">
        <f t="shared" si="53"/>
        <v>499.12153124405523</v>
      </c>
      <c r="R59" s="59">
        <f t="shared" si="0"/>
        <v>758.05134718267698</v>
      </c>
      <c r="S59" s="59">
        <f ca="1">AVERAGE(OFFSET($R$3,0,0,'Données projet'!$E$9+1,1))-AVERAGE(OFFSET($H$3,0,0,'Données projet'!$E$9+1,1))</f>
        <v>318.50474972254085</v>
      </c>
      <c r="T59" s="59">
        <f t="shared" si="34"/>
        <v>326.45858332753562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48.829742004930303</v>
      </c>
      <c r="AA59" s="21">
        <f>EXP(-LN(2)/25)*AA58+(1-EXP(-LN(2)/25))/(LN(2)/25)*Calculateur!V59*Calculateur!X59*VLOOKUP('Données projet'!$B$9,Paramètres!$A$1:$I$89,3,0)*0.475*44/12</f>
        <v>19.341154842886819</v>
      </c>
      <c r="AB59" s="21">
        <f>EXP(-LN(2)/2)*AB58+(1-EXP(-LN(2)/2))/(LN(2)/2)*V59*Y59*VLOOKUP('Données projet'!$B$9,Paramètres!$A$1:$I$89,3,0)*0.475*44/12</f>
        <v>2.7395530376513157</v>
      </c>
      <c r="AC59" s="22">
        <f t="shared" si="3"/>
        <v>70.910449885468438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12.999000000000001</v>
      </c>
      <c r="AI59" s="13">
        <f>IF('Données projet'!$A$62&gt;35,AI58+AH59-AQ58,IF(A59&lt;'Données projet'!$A$62,$AF$205^A59,IF(A59='Données projet'!$A$62,'Données projet'!$B$62,AI58+AH59-AQ58)))</f>
        <v>287.37499999999977</v>
      </c>
      <c r="AJ59" s="13">
        <f>AI59*VLOOKUP('Données projet'!$B$10,Paramètres!$A$1:$I$89,3,0)*VLOOKUP('Données projet'!$B$10,Paramètres!$A$1:$I$89,5,0)</f>
        <v>134.49149999999989</v>
      </c>
      <c r="AK59" s="13">
        <f t="shared" si="35"/>
        <v>35.032152533778529</v>
      </c>
      <c r="AL59" s="20">
        <f t="shared" si="4"/>
        <v>295.25369482966408</v>
      </c>
      <c r="AM59" s="59">
        <f t="shared" si="5"/>
        <v>554.18351076828583</v>
      </c>
      <c r="AN59" s="59">
        <f ca="1">AVERAGE(OFFSET($AM$3,0,0,'Données projet'!$E$10+1,1))-AVERAGE(OFFSET($H$3,0,0,'Données projet'!$E$10+1,1))</f>
        <v>374.38106339726073</v>
      </c>
      <c r="AO59" s="59">
        <f t="shared" si="36"/>
        <v>296.53283288925957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13.45076502811278</v>
      </c>
      <c r="AV59" s="21">
        <f>EXP(-LN(2)/25)*AV58+(1-EXP(-LN(2)/25))/(LN(2)/25)*Calculateur!AQ59*Calculateur!AS59*VLOOKUP('Données projet'!$B$10,Paramètres!$A$1:$I$89,3,0)*0.475*44/12</f>
        <v>19.058715592818579</v>
      </c>
      <c r="AW59" s="21">
        <f>EXP(-LN(2)/2)*AW58+(1-EXP(-LN(2)/2))/(LN(2)/2)*AQ59*AT59*VLOOKUP('Données projet'!$B$10,Paramètres!$A$1:$I$89,3,0)*0.475*44/12</f>
        <v>6.1924764438143773</v>
      </c>
      <c r="AX59" s="21">
        <f t="shared" si="6"/>
        <v>38.701957064745734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10.36375</v>
      </c>
      <c r="BD59" s="12">
        <f>IF('Données projet'!$A$88&gt;35,BD58+BC59-BL58,IF(A59&lt;'Données projet'!$A$88,$BA$205^A59,IF(A59='Données projet'!$A$88,'Données projet'!$B$88,BD58+BC59-BL58)))</f>
        <v>232.97250000000025</v>
      </c>
      <c r="BE59" s="13">
        <f>BD59*VLOOKUP('Données projet'!$B$11,Paramètres!$A$1:$I$89,3,0)*VLOOKUP('Données projet'!$B$11,Paramètres!$A$1:$I$89,5,0)</f>
        <v>210.7935180000002</v>
      </c>
      <c r="BF59" s="13">
        <f t="shared" si="37"/>
        <v>52.108951264882847</v>
      </c>
      <c r="BG59" s="20">
        <f t="shared" si="7"/>
        <v>457.88846730300457</v>
      </c>
      <c r="BH59" s="59">
        <f t="shared" si="8"/>
        <v>716.81828324162632</v>
      </c>
      <c r="BI59" s="59">
        <f ca="1">AVERAGE(OFFSET($BH$3,0,0,'Données projet'!$E$11+1,1))-AVERAGE(OFFSET($H$3,0,0,'Données projet'!$E$11+1,1))</f>
        <v>681.47578137804555</v>
      </c>
      <c r="BJ59" s="59">
        <f t="shared" si="38"/>
        <v>300.88511065995885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21.241377784854869</v>
      </c>
      <c r="BR59" s="21">
        <f>EXP(-LN(2)/2)*BR58+(1-EXP(-LN(2)/2))/(LN(2)/2)*BL59*BO59*VLOOKUP('Données projet'!$B$11,Paramètres!$A$1:$I$89,3,0)*0.475*44/12</f>
        <v>0.86057279488890148</v>
      </c>
      <c r="BS59" s="22">
        <f t="shared" si="9"/>
        <v>22.101950579743772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3.3333333333333313</v>
      </c>
      <c r="BY59" s="12">
        <f>IF('Données projet'!$A$114&gt;35,BY58+BX59-CG58,IF(A59&lt;'Données projet'!$A$114,$BV$205^A59,IF(A59='Données projet'!$A$114,'Données projet'!$B$114,BY58+BX59-CG58)))</f>
        <v>119.35897435897439</v>
      </c>
      <c r="BZ59" s="13">
        <f>BY59*VLOOKUP('Données projet'!$B$12,Paramètres!$A$1:$I$89,3,0)*VLOOKUP('Données projet'!$B$12,Paramètres!$A$1:$I$89,5,0)</f>
        <v>124.75400000000005</v>
      </c>
      <c r="CA59" s="13">
        <f t="shared" si="39"/>
        <v>32.781272112057287</v>
      </c>
      <c r="CB59" s="20">
        <f t="shared" si="10"/>
        <v>274.3739322618332</v>
      </c>
      <c r="CC59" s="59">
        <f t="shared" si="11"/>
        <v>533.30374820045495</v>
      </c>
      <c r="CD59" s="59">
        <f ca="1">AVERAGE(OFFSET($CC$3,0,0,'Données projet'!$E$12+1,1))-AVERAGE(OFFSET($H$3,0,0,'Données projet'!$E$12+1,1))</f>
        <v>290.69667785754848</v>
      </c>
      <c r="CE59" s="59">
        <f t="shared" si="40"/>
        <v>256.28124185489082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0.62448139964047333</v>
      </c>
      <c r="CL59" s="21">
        <f>EXP(-LN(2)/25)*CL58+(1-EXP(-LN(2)/25))/(LN(2)/25)*Calculateur!CG59*Calculateur!CI59*VLOOKUP('Données projet'!$B$12,Paramètres!$A$1:$I$89,3,0)*0.475*44/12</f>
        <v>18.738775453126483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19.363256852766956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6.2</v>
      </c>
      <c r="CT59" s="12">
        <f>IF('Données projet'!$A$140&gt;35,CT58+CS59-DB58,IF(A59&lt;'Données projet'!$A$140,$CQ$205^A59,IF(A59='Données projet'!$A$140,'Données projet'!$B$140,CT58+CS59-DB58)))</f>
        <v>269.19999999999993</v>
      </c>
      <c r="CU59" s="17">
        <f>CT59*VLOOKUP('Données projet'!$B$13,Paramètres!$A$1:$I$89,3,0)*VLOOKUP('Données projet'!$B$13,Paramètres!$A$1:$I$89,5,0)</f>
        <v>235.17311999999998</v>
      </c>
      <c r="CV59" s="13">
        <f t="shared" si="41"/>
        <v>57.399778925799218</v>
      </c>
      <c r="CW59" s="20">
        <f t="shared" si="13"/>
        <v>509.56446562910031</v>
      </c>
      <c r="CX59" s="59">
        <f t="shared" si="14"/>
        <v>768.49428156772206</v>
      </c>
      <c r="CY59" s="59">
        <f ca="1">AVERAGE(OFFSET($CX$3,0,0,'Données projet'!$E$13+1,1))-AVERAGE(OFFSET($H$3,0,0,'Données projet'!$E$13+1,1))</f>
        <v>408.246209980743</v>
      </c>
      <c r="CZ59" s="59">
        <f t="shared" si="42"/>
        <v>394.10236303013903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15.529312075002343</v>
      </c>
      <c r="DG59" s="21">
        <f>EXP(-LN(2)/25)*DG58+(1-EXP(-LN(2)/25))/(LN(2)/25)*Calculateur!DB59*Calculateur!DD59*VLOOKUP('Données projet'!$B$13,Paramètres!$A$1:$I$89,3,0)*0.475*44/12</f>
        <v>18.654687095308397</v>
      </c>
      <c r="DH59" s="21">
        <f>EXP(-LN(2)/2)*DH58+(1-EXP(-LN(2)/2))/(LN(2)/2)*DB59*DE59*VLOOKUP('Données projet'!$B$13,Paramètres!$A$1:$I$89,3,0)*0.475*44/12</f>
        <v>2.9642858414455659</v>
      </c>
      <c r="DI59" s="22">
        <f t="shared" si="15"/>
        <v>37.148285011756307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>
        <f>VLOOKUP(A59,'Données projet'!$A$165:$I$185,2,0)</f>
        <v>534.03</v>
      </c>
      <c r="DM59" s="12">
        <f>VLOOKUP(A59,'Données projet'!$A$165:$I$185,9,0)</f>
        <v>20.355714285714278</v>
      </c>
      <c r="DN59" s="12">
        <f t="array" ref="DN59">INDEX(DM:DM,MIN(IF(ISNUMBER(DM59:DM255),ROW(DM59:DM255),"")))</f>
        <v>20.355714285714278</v>
      </c>
      <c r="DO59" s="12">
        <f>IF('Données projet'!$A$166&gt;35,DO58+DN59-DW58,IF(A59&lt;'Données projet'!$A$166,$DL$205^A59,IF(A59='Données projet'!$A$166,'Données projet'!$B$166,DO58+DN59-DW58)))</f>
        <v>534.0300000000002</v>
      </c>
      <c r="DP59" s="17">
        <f>DO59*VLOOKUP('Données projet'!$B$14,Paramètres!$A$1:$I$89,3,0)*VLOOKUP('Données projet'!$B$14,Paramètres!$A$1:$I$89,5,0)</f>
        <v>298.52277000000015</v>
      </c>
      <c r="DQ59" s="13">
        <f t="shared" si="43"/>
        <v>70.866690413510668</v>
      </c>
      <c r="DR59" s="20">
        <f t="shared" si="16"/>
        <v>643.35331022019807</v>
      </c>
      <c r="DS59" s="59">
        <f t="shared" si="17"/>
        <v>902.28312615881987</v>
      </c>
      <c r="DT59" s="59">
        <f ca="1">AVERAGE(OFFSET($DS$3,0,0,'Données projet'!$E$14+1,1))-AVERAGE(OFFSET($H$3,0,0,'Données projet'!$E$14+1,1))</f>
        <v>407.05634973057056</v>
      </c>
      <c r="DU59" s="59">
        <f t="shared" si="44"/>
        <v>375.32891954889965</v>
      </c>
      <c r="DV59" s="15">
        <f>IF(ISNA(VLOOKUP(A59,'Données projet'!$A$165:$I$185,3,0)),0,VLOOKUP(A59,'Données projet'!$A$165:$I$185,3,0))</f>
        <v>6</v>
      </c>
      <c r="DW59" s="15">
        <f>IF(ISNA(VLOOKUP(A59,'Données projet'!$A$165:$I$185,4,0)),0,VLOOKUP(A59,'Données projet'!$A$165:$I$185,4,0))</f>
        <v>94.669999999999959</v>
      </c>
      <c r="DX59" s="16">
        <f>IF(ISNA(VLOOKUP(A59,'Données projet'!$A$165:$I$185,5,0)),0%,VLOOKUP(A59,'Données projet'!$A$165:$I$185,5,0)*VLOOKUP('Données projet'!$B$14,Paramètres!$A$1:$I$89,7,0))</f>
        <v>0.33</v>
      </c>
      <c r="DY59" s="16">
        <f>IF(ISNA(VLOOKUP(A59,'Données projet'!$A$165:$I$185,6,0)),0%,VLOOKUP(A59,'Données projet'!$A$165:$I$185,6,0)*VLOOKUP('Données projet'!$B$14,Paramètres!$A$1:$I$89,7,0))</f>
        <v>0.11000000000000001</v>
      </c>
      <c r="DZ59" s="16">
        <f>IF(ISNA(VLOOKUP(A59,'Données projet'!$A$165:$I$185,7,0)),0%,VLOOKUP(A59,'Données projet'!$A$165:$I$185,7,0))</f>
        <v>0.2</v>
      </c>
      <c r="EA59" s="21">
        <f>EXP(-LN(2)/35)*EA58+(1-EXP(-LN(2)/35))/(LN(2)/35)*DW59*DX59*VLOOKUP('Données projet'!$B$14,Paramètres!$A$1:$I$89,3,0)*0.475*44/12</f>
        <v>86.980999905169341</v>
      </c>
      <c r="EB59" s="21">
        <f>EXP(-LN(2)/25)*EB58+(1-EXP(-LN(2)/25))/(LN(2)/25)*Calculateur!DW59*Calculateur!DY59*VLOOKUP('Données projet'!$B$14,Paramètres!$A$1:$I$89,3,0)*0.475*44/12</f>
        <v>33.039177003482436</v>
      </c>
      <c r="EC59" s="21">
        <f>EXP(-LN(2)/2)*EC58+(1-EXP(-LN(2)/2))/(LN(2)/2)*DW59*DZ59*VLOOKUP('Données projet'!$B$14,Paramètres!$A$1:$I$89,3,0)*0.475*44/12</f>
        <v>13.352200211590977</v>
      </c>
      <c r="ED59" s="22">
        <f t="shared" si="18"/>
        <v>133.37237712024276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20</v>
      </c>
      <c r="EJ59" s="12">
        <f>IF('Données projet'!$A$192&gt;35,EJ58+EI59-ER58,IF(A59&lt;'Données projet'!$A$192,$EG$205^A59,IF(A59='Données projet'!$A$192,'Données projet'!$B$192,EJ58+EI59-ER58)))</f>
        <v>553.99999999999989</v>
      </c>
      <c r="EK59" s="17">
        <f>EJ59*VLOOKUP('Données projet'!$B$15,Paramètres!$A$1:$I$89,3,0)*VLOOKUP('Données projet'!$B$15,Paramètres!$A$1:$I$89,5,0)</f>
        <v>244.86799999999999</v>
      </c>
      <c r="EL59" s="13">
        <f t="shared" si="45"/>
        <v>59.485677215396862</v>
      </c>
      <c r="EM59" s="20">
        <f t="shared" si="19"/>
        <v>530.08265448348277</v>
      </c>
      <c r="EN59" s="59">
        <f t="shared" si="20"/>
        <v>789.01247042210457</v>
      </c>
      <c r="EO59" s="59">
        <f ca="1">AVERAGE(OFFSET($EN$3,0,0,'Données projet'!$E$15+1,1))-AVERAGE(OFFSET($H$3,0,0,'Données projet'!$E$15+1,1))</f>
        <v>418.28022549686278</v>
      </c>
      <c r="EP59" s="59">
        <f t="shared" si="46"/>
        <v>354.55070454517158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45.042510029782271</v>
      </c>
      <c r="EW59" s="21">
        <f>EXP(-LN(2)/25)*EW58+(1-EXP(-LN(2)/25))/(LN(2)/25)*Calculateur!ER59*Calculateur!ET59*VLOOKUP('Données projet'!$B$15,Paramètres!$A$1:$I$89,3,0)*0.475*44/12</f>
        <v>26.177992406173313</v>
      </c>
      <c r="EX59" s="21">
        <f>EXP(-LN(2)/2)*EX58+(1-EXP(-LN(2)/2))/(LN(2)/2)*ER59*EU59*VLOOKUP('Données projet'!$B$15,Paramètres!$A$1:$I$89,3,0)*0.475*44/12</f>
        <v>5.2307676879937146</v>
      </c>
      <c r="EY59" s="22">
        <f t="shared" si="21"/>
        <v>76.4512701239493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3.3603333333333336</v>
      </c>
      <c r="FE59" s="12">
        <f>IF('Données projet'!$A$218&gt;35,FE58+FD59-FM58,IF(A59&lt;'Données projet'!$A$218,$FB$205^A59,IF(A59='Données projet'!$A$218,'Données projet'!$B$218,FE58+FD59-FM58)))</f>
        <v>188.17866666666657</v>
      </c>
      <c r="FF59" s="17">
        <f>FE59*VLOOKUP('Données projet'!$B$16,Paramètres!$A$1:$I$89,3,0)*VLOOKUP('Données projet'!$B$16,Paramètres!$A$1:$I$89,5,0)</f>
        <v>214.29786559999988</v>
      </c>
      <c r="FG59" s="13">
        <f t="shared" si="47"/>
        <v>52.873667200907974</v>
      </c>
      <c r="FH59" s="20">
        <f t="shared" si="22"/>
        <v>465.32375296158119</v>
      </c>
      <c r="FI59" s="59">
        <f t="shared" si="23"/>
        <v>724.25356890020294</v>
      </c>
      <c r="FJ59" s="59">
        <f ca="1">AVERAGE(OFFSET($FI$3,0,0,'Données projet'!$E$16+1,1))-AVERAGE(OFFSET($H$3,0,0,'Données projet'!$E$16+1,1))</f>
        <v>640.05156427113661</v>
      </c>
      <c r="FK59" s="59">
        <f t="shared" si="48"/>
        <v>308.77220155372902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13.18</v>
      </c>
      <c r="N60" s="13">
        <f>IF('Données projet'!$A$36&gt;35,N59+M60-V59,IF(A60&lt;'Données projet'!$A$36,$K$205^A60,IF(A60='Données projet'!$A$36,'Données projet'!$B$36,N59+M60-V59)))</f>
        <v>398.2000000000001</v>
      </c>
      <c r="O60" s="13">
        <f>N60*VLOOKUP('Données projet'!$B$9,Paramètres!$A$1:$I$89,3,0)*VLOOKUP('Données projet'!$B$9,Paramètres!$A$1:$I$89,5,0)</f>
        <v>238.12360000000007</v>
      </c>
      <c r="P60" s="13">
        <f t="shared" si="33"/>
        <v>58.035629642885198</v>
      </c>
      <c r="Q60" s="20">
        <f t="shared" si="53"/>
        <v>515.81065829469196</v>
      </c>
      <c r="R60" s="59">
        <f t="shared" si="0"/>
        <v>775.33729834536962</v>
      </c>
      <c r="S60" s="59">
        <f ca="1">AVERAGE(OFFSET($R$3,0,0,'Données projet'!$E$9+1,1))-AVERAGE(OFFSET($H$3,0,0,'Données projet'!$E$9+1,1))</f>
        <v>318.50474972254085</v>
      </c>
      <c r="T60" s="59">
        <f t="shared" si="34"/>
        <v>326.45858332753562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47.872220547415395</v>
      </c>
      <c r="AA60" s="21">
        <f>EXP(-LN(2)/25)*AA59+(1-EXP(-LN(2)/25))/(LN(2)/25)*Calculateur!V60*Calculateur!X60*VLOOKUP('Données projet'!$B$9,Paramètres!$A$1:$I$89,3,0)*0.475*44/12</f>
        <v>18.812269946600949</v>
      </c>
      <c r="AB60" s="21">
        <f>EXP(-LN(2)/2)*AB59+(1-EXP(-LN(2)/2))/(LN(2)/2)*V60*Y60*VLOOKUP('Données projet'!$B$9,Paramètres!$A$1:$I$89,3,0)*0.475*44/12</f>
        <v>1.9371565303434506</v>
      </c>
      <c r="AC60" s="22">
        <f t="shared" si="3"/>
        <v>68.621647024359788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12.999000000000001</v>
      </c>
      <c r="AI60" s="13">
        <f>IF('Données projet'!$A$62&gt;35,AI59+AH60-AQ59,IF(A60&lt;'Données projet'!$A$62,$AF$205^A60,IF(A60='Données projet'!$A$62,'Données projet'!$B$62,AI59+AH60-AQ59)))</f>
        <v>300.3739999999998</v>
      </c>
      <c r="AJ60" s="13">
        <f>AI60*VLOOKUP('Données projet'!$B$10,Paramètres!$A$1:$I$89,3,0)*VLOOKUP('Données projet'!$B$10,Paramètres!$A$1:$I$89,5,0)</f>
        <v>140.57503199999991</v>
      </c>
      <c r="AK60" s="13">
        <f t="shared" si="35"/>
        <v>36.42870580902472</v>
      </c>
      <c r="AL60" s="20">
        <f t="shared" si="4"/>
        <v>308.28151001738462</v>
      </c>
      <c r="AM60" s="59">
        <f t="shared" si="5"/>
        <v>567.80815006806233</v>
      </c>
      <c r="AN60" s="59">
        <f ca="1">AVERAGE(OFFSET($AM$3,0,0,'Données projet'!$E$10+1,1))-AVERAGE(OFFSET($H$3,0,0,'Données projet'!$E$10+1,1))</f>
        <v>374.38106339726073</v>
      </c>
      <c r="AO60" s="59">
        <f t="shared" si="36"/>
        <v>296.53283288925957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13.187003730068062</v>
      </c>
      <c r="AV60" s="21">
        <f>EXP(-LN(2)/25)*AV59+(1-EXP(-LN(2)/25))/(LN(2)/25)*Calculateur!AQ60*Calculateur!AS60*VLOOKUP('Données projet'!$B$10,Paramètres!$A$1:$I$89,3,0)*0.475*44/12</f>
        <v>18.537554012678662</v>
      </c>
      <c r="AW60" s="21">
        <f>EXP(-LN(2)/2)*AW59+(1-EXP(-LN(2)/2))/(LN(2)/2)*AQ60*AT60*VLOOKUP('Données projet'!$B$10,Paramètres!$A$1:$I$89,3,0)*0.475*44/12</f>
        <v>4.3787420857591028</v>
      </c>
      <c r="AX60" s="21">
        <f t="shared" si="6"/>
        <v>36.103299828505826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10.36375</v>
      </c>
      <c r="BD60" s="12">
        <f>IF('Données projet'!$A$88&gt;35,BD59+BC60-BL59,IF(A60&lt;'Données projet'!$A$88,$BA$205^A60,IF(A60='Données projet'!$A$88,'Données projet'!$B$88,BD59+BC60-BL59)))</f>
        <v>243.33625000000026</v>
      </c>
      <c r="BE60" s="13">
        <f>BD60*VLOOKUP('Données projet'!$B$11,Paramètres!$A$1:$I$89,3,0)*VLOOKUP('Données projet'!$B$11,Paramètres!$A$1:$I$89,5,0)</f>
        <v>220.17063900000025</v>
      </c>
      <c r="BF60" s="13">
        <f t="shared" si="37"/>
        <v>54.151971590437505</v>
      </c>
      <c r="BG60" s="20">
        <f t="shared" si="7"/>
        <v>477.7785467783458</v>
      </c>
      <c r="BH60" s="59">
        <f t="shared" si="8"/>
        <v>737.30518682902357</v>
      </c>
      <c r="BI60" s="59">
        <f ca="1">AVERAGE(OFFSET($BH$3,0,0,'Données projet'!$E$11+1,1))-AVERAGE(OFFSET($H$3,0,0,'Données projet'!$E$11+1,1))</f>
        <v>681.47578137804555</v>
      </c>
      <c r="BJ60" s="59">
        <f t="shared" si="38"/>
        <v>300.88511065995885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20.660531192292503</v>
      </c>
      <c r="BR60" s="21">
        <f>EXP(-LN(2)/2)*BR59+(1-EXP(-LN(2)/2))/(LN(2)/2)*BL60*BO60*VLOOKUP('Données projet'!$B$11,Paramètres!$A$1:$I$89,3,0)*0.475*44/12</f>
        <v>0.60851685897060215</v>
      </c>
      <c r="BS60" s="22">
        <f t="shared" si="9"/>
        <v>21.269048051263105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3.3333333333333313</v>
      </c>
      <c r="BY60" s="12">
        <f>IF('Données projet'!$A$114&gt;35,BY59+BX60-CG59,IF(A60&lt;'Données projet'!$A$114,$BV$205^A60,IF(A60='Données projet'!$A$114,'Données projet'!$B$114,BY59+BX60-CG59)))</f>
        <v>122.69230769230772</v>
      </c>
      <c r="BZ60" s="13">
        <f>BY60*VLOOKUP('Données projet'!$B$12,Paramètres!$A$1:$I$89,3,0)*VLOOKUP('Données projet'!$B$12,Paramètres!$A$1:$I$89,5,0)</f>
        <v>128.23800000000003</v>
      </c>
      <c r="CA60" s="13">
        <f t="shared" si="39"/>
        <v>33.588890063379708</v>
      </c>
      <c r="CB60" s="20">
        <f t="shared" si="10"/>
        <v>281.8485001937197</v>
      </c>
      <c r="CC60" s="59">
        <f t="shared" si="11"/>
        <v>541.37514024439747</v>
      </c>
      <c r="CD60" s="59">
        <f ca="1">AVERAGE(OFFSET($CC$3,0,0,'Données projet'!$E$12+1,1))-AVERAGE(OFFSET($H$3,0,0,'Données projet'!$E$12+1,1))</f>
        <v>290.69667785754848</v>
      </c>
      <c r="CE60" s="59">
        <f t="shared" si="40"/>
        <v>256.28124185489082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0.61223570028956709</v>
      </c>
      <c r="CL60" s="21">
        <f>EXP(-LN(2)/25)*CL59+(1-EXP(-LN(2)/25))/(LN(2)/25)*Calculateur!CG60*Calculateur!CI60*VLOOKUP('Données projet'!$B$12,Paramètres!$A$1:$I$89,3,0)*0.475*44/12</f>
        <v>18.226362652931368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18.838598353220934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6.2</v>
      </c>
      <c r="CT60" s="12">
        <f>IF('Données projet'!$A$140&gt;35,CT59+CS60-DB59,IF(A60&lt;'Données projet'!$A$140,$CQ$205^A60,IF(A60='Données projet'!$A$140,'Données projet'!$B$140,CT59+CS60-DB59)))</f>
        <v>275.39999999999992</v>
      </c>
      <c r="CU60" s="17">
        <f>CT60*VLOOKUP('Données projet'!$B$13,Paramètres!$A$1:$I$89,3,0)*VLOOKUP('Données projet'!$B$13,Paramètres!$A$1:$I$89,5,0)</f>
        <v>240.58943999999994</v>
      </c>
      <c r="CV60" s="13">
        <f t="shared" si="41"/>
        <v>58.56633325847811</v>
      </c>
      <c r="CW60" s="20">
        <f t="shared" si="13"/>
        <v>521.02963842518261</v>
      </c>
      <c r="CX60" s="59">
        <f t="shared" si="14"/>
        <v>780.55627847586038</v>
      </c>
      <c r="CY60" s="59">
        <f ca="1">AVERAGE(OFFSET($CX$3,0,0,'Données projet'!$E$13+1,1))-AVERAGE(OFFSET($H$3,0,0,'Données projet'!$E$13+1,1))</f>
        <v>408.246209980743</v>
      </c>
      <c r="CZ60" s="59">
        <f t="shared" si="42"/>
        <v>394.10236303013903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15.224791737156636</v>
      </c>
      <c r="DG60" s="21">
        <f>EXP(-LN(2)/25)*DG59+(1-EXP(-LN(2)/25))/(LN(2)/25)*Calculateur!DB60*Calculateur!DD60*VLOOKUP('Données projet'!$B$13,Paramètres!$A$1:$I$89,3,0)*0.475*44/12</f>
        <v>18.144573695679831</v>
      </c>
      <c r="DH60" s="21">
        <f>EXP(-LN(2)/2)*DH59+(1-EXP(-LN(2)/2))/(LN(2)/2)*DB60*DE60*VLOOKUP('Données projet'!$B$13,Paramètres!$A$1:$I$89,3,0)*0.475*44/12</f>
        <v>2.0960666198614311</v>
      </c>
      <c r="DI60" s="22">
        <f t="shared" si="15"/>
        <v>35.465432052697899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18.617142857142849</v>
      </c>
      <c r="DO60" s="12">
        <f>IF('Données projet'!$A$166&gt;35,DO59+DN60-DW59,IF(A60&lt;'Données projet'!$A$166,$DL$205^A60,IF(A60='Données projet'!$A$166,'Données projet'!$B$166,DO59+DN60-DW59)))</f>
        <v>457.97714285714312</v>
      </c>
      <c r="DP60" s="17">
        <f>DO60*VLOOKUP('Données projet'!$B$14,Paramètres!$A$1:$I$89,3,0)*VLOOKUP('Données projet'!$B$14,Paramètres!$A$1:$I$89,5,0)</f>
        <v>256.00922285714302</v>
      </c>
      <c r="DQ60" s="13">
        <f t="shared" si="43"/>
        <v>61.870941241266237</v>
      </c>
      <c r="DR60" s="20">
        <f t="shared" si="16"/>
        <v>553.64128580472936</v>
      </c>
      <c r="DS60" s="59">
        <f t="shared" si="17"/>
        <v>813.16792585540702</v>
      </c>
      <c r="DT60" s="59">
        <f ca="1">AVERAGE(OFFSET($DS$3,0,0,'Données projet'!$E$14+1,1))-AVERAGE(OFFSET($H$3,0,0,'Données projet'!$E$14+1,1))</f>
        <v>407.05634973057056</v>
      </c>
      <c r="DU60" s="59">
        <f t="shared" si="44"/>
        <v>375.32891954889965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85.275355550200345</v>
      </c>
      <c r="EB60" s="21">
        <f>EXP(-LN(2)/25)*EB59+(1-EXP(-LN(2)/25))/(LN(2)/25)*Calculateur!DW60*Calculateur!DY60*VLOOKUP('Données projet'!$B$14,Paramètres!$A$1:$I$89,3,0)*0.475*44/12</f>
        <v>32.135718970867401</v>
      </c>
      <c r="EC60" s="21">
        <f>EXP(-LN(2)/2)*EC59+(1-EXP(-LN(2)/2))/(LN(2)/2)*DW60*DZ60*VLOOKUP('Données projet'!$B$14,Paramètres!$A$1:$I$89,3,0)*0.475*44/12</f>
        <v>9.4414313133764356</v>
      </c>
      <c r="ED60" s="22">
        <f t="shared" si="18"/>
        <v>126.85250583444419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20</v>
      </c>
      <c r="EJ60" s="12">
        <f>IF('Données projet'!$A$192&gt;35,EJ59+EI60-ER59,IF(A60&lt;'Données projet'!$A$192,$EG$205^A60,IF(A60='Données projet'!$A$192,'Données projet'!$B$192,EJ59+EI60-ER59)))</f>
        <v>573.99999999999989</v>
      </c>
      <c r="EK60" s="17">
        <f>EJ60*VLOOKUP('Données projet'!$B$15,Paramètres!$A$1:$I$89,3,0)*VLOOKUP('Données projet'!$B$15,Paramètres!$A$1:$I$89,5,0)</f>
        <v>253.70799999999997</v>
      </c>
      <c r="EL60" s="13">
        <f t="shared" si="45"/>
        <v>61.379271588933562</v>
      </c>
      <c r="EM60" s="20">
        <f t="shared" si="19"/>
        <v>548.77699801739243</v>
      </c>
      <c r="EN60" s="59">
        <f t="shared" si="20"/>
        <v>808.30363806807009</v>
      </c>
      <c r="EO60" s="59">
        <f ca="1">AVERAGE(OFFSET($EN$3,0,0,'Données projet'!$E$15+1,1))-AVERAGE(OFFSET($H$3,0,0,'Données projet'!$E$15+1,1))</f>
        <v>418.28022549686278</v>
      </c>
      <c r="EP60" s="59">
        <f t="shared" si="46"/>
        <v>354.55070454517158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44.159253881316602</v>
      </c>
      <c r="EW60" s="21">
        <f>EXP(-LN(2)/25)*EW59+(1-EXP(-LN(2)/25))/(LN(2)/25)*Calculateur!ER60*Calculateur!ET60*VLOOKUP('Données projet'!$B$15,Paramètres!$A$1:$I$89,3,0)*0.475*44/12</f>
        <v>25.462153827185713</v>
      </c>
      <c r="EX60" s="21">
        <f>EXP(-LN(2)/2)*EX59+(1-EXP(-LN(2)/2))/(LN(2)/2)*ER60*EU60*VLOOKUP('Données projet'!$B$15,Paramètres!$A$1:$I$89,3,0)*0.475*44/12</f>
        <v>3.698711302991835</v>
      </c>
      <c r="EY60" s="22">
        <f t="shared" si="21"/>
        <v>73.320119011494157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3.3603333333333336</v>
      </c>
      <c r="FE60" s="12">
        <f>IF('Données projet'!$A$218&gt;35,FE59+FD60-FM59,IF(A60&lt;'Données projet'!$A$218,$FB$205^A60,IF(A60='Données projet'!$A$218,'Données projet'!$B$218,FE59+FD60-FM59)))</f>
        <v>191.5389999999999</v>
      </c>
      <c r="FF60" s="17">
        <f>FE60*VLOOKUP('Données projet'!$B$16,Paramètres!$A$1:$I$89,3,0)*VLOOKUP('Données projet'!$B$16,Paramètres!$A$1:$I$89,5,0)</f>
        <v>218.12461319999989</v>
      </c>
      <c r="FG60" s="13">
        <f t="shared" si="47"/>
        <v>53.707076797550549</v>
      </c>
      <c r="FH60" s="20">
        <f t="shared" si="22"/>
        <v>473.44019341240033</v>
      </c>
      <c r="FI60" s="59">
        <f t="shared" si="23"/>
        <v>732.96683346307805</v>
      </c>
      <c r="FJ60" s="59">
        <f ca="1">AVERAGE(OFFSET($FI$3,0,0,'Données projet'!$E$16+1,1))-AVERAGE(OFFSET($H$3,0,0,'Données projet'!$E$16+1,1))</f>
        <v>640.05156427113661</v>
      </c>
      <c r="FK60" s="59">
        <f t="shared" si="48"/>
        <v>308.77220155372902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13.18</v>
      </c>
      <c r="N61" s="13">
        <f>IF('Données projet'!$A$36&gt;35,N60+M61-V60,IF(A61&lt;'Données projet'!$A$36,$K$205^A61,IF(A61='Données projet'!$A$36,'Données projet'!$B$36,N60+M61-V60)))</f>
        <v>411.38000000000011</v>
      </c>
      <c r="O61" s="13">
        <f>N61*VLOOKUP('Données projet'!$B$9,Paramètres!$A$1:$I$89,3,0)*VLOOKUP('Données projet'!$B$9,Paramètres!$A$1:$I$89,5,0)</f>
        <v>246.0052400000001</v>
      </c>
      <c r="P61" s="13">
        <f t="shared" si="33"/>
        <v>59.729722829762714</v>
      </c>
      <c r="Q61" s="20">
        <f t="shared" si="53"/>
        <v>532.48839359517024</v>
      </c>
      <c r="R61" s="59">
        <f t="shared" si="0"/>
        <v>792.60150419385866</v>
      </c>
      <c r="S61" s="59">
        <f ca="1">AVERAGE(OFFSET($R$3,0,0,'Données projet'!$E$9+1,1))-AVERAGE(OFFSET($H$3,0,0,'Données projet'!$E$9+1,1))</f>
        <v>318.50474972254085</v>
      </c>
      <c r="T61" s="59">
        <f t="shared" si="34"/>
        <v>326.45858332753562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46.933475501651934</v>
      </c>
      <c r="AA61" s="21">
        <f>EXP(-LN(2)/25)*AA60+(1-EXP(-LN(2)/25))/(LN(2)/25)*Calculateur!V61*Calculateur!X61*VLOOKUP('Données projet'!$B$9,Paramètres!$A$1:$I$89,3,0)*0.475*44/12</f>
        <v>18.297847435616866</v>
      </c>
      <c r="AB61" s="21">
        <f>EXP(-LN(2)/2)*AB60+(1-EXP(-LN(2)/2))/(LN(2)/2)*V61*Y61*VLOOKUP('Données projet'!$B$9,Paramètres!$A$1:$I$89,3,0)*0.475*44/12</f>
        <v>1.3697765188256581</v>
      </c>
      <c r="AC61" s="22">
        <f t="shared" si="3"/>
        <v>66.60109945609446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12.999000000000001</v>
      </c>
      <c r="AI61" s="13">
        <f>IF('Données projet'!$A$62&gt;35,AI60+AH61-AQ60,IF(A61&lt;'Données projet'!$A$62,$AF$205^A61,IF(A61='Données projet'!$A$62,'Données projet'!$B$62,AI60+AH61-AQ60)))</f>
        <v>313.37299999999982</v>
      </c>
      <c r="AJ61" s="13">
        <f>AI61*VLOOKUP('Données projet'!$B$10,Paramètres!$A$1:$I$89,3,0)*VLOOKUP('Données projet'!$B$10,Paramètres!$A$1:$I$89,5,0)</f>
        <v>146.6585639999999</v>
      </c>
      <c r="AK61" s="13">
        <f t="shared" si="35"/>
        <v>37.81823955666578</v>
      </c>
      <c r="AL61" s="20">
        <f t="shared" si="4"/>
        <v>321.29709952785942</v>
      </c>
      <c r="AM61" s="59">
        <f t="shared" si="5"/>
        <v>581.41021012654778</v>
      </c>
      <c r="AN61" s="59">
        <f ca="1">AVERAGE(OFFSET($AM$3,0,0,'Données projet'!$E$10+1,1))-AVERAGE(OFFSET($H$3,0,0,'Données projet'!$E$10+1,1))</f>
        <v>374.38106339726073</v>
      </c>
      <c r="AO61" s="59">
        <f t="shared" si="36"/>
        <v>296.53283288925957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12.928414630199494</v>
      </c>
      <c r="AV61" s="21">
        <f>EXP(-LN(2)/25)*AV60+(1-EXP(-LN(2)/25))/(LN(2)/25)*Calculateur!AQ61*Calculateur!AS61*VLOOKUP('Données projet'!$B$10,Paramètres!$A$1:$I$89,3,0)*0.475*44/12</f>
        <v>18.030643623354365</v>
      </c>
      <c r="AW61" s="21">
        <f>EXP(-LN(2)/2)*AW60+(1-EXP(-LN(2)/2))/(LN(2)/2)*AQ61*AT61*VLOOKUP('Données projet'!$B$10,Paramètres!$A$1:$I$89,3,0)*0.475*44/12</f>
        <v>3.0962382219071887</v>
      </c>
      <c r="AX61" s="21">
        <f t="shared" si="6"/>
        <v>34.055296475461049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10.36375</v>
      </c>
      <c r="BC61" s="12">
        <f t="array" ref="BC61">INDEX(BB:BB,MIN(IF(ISNUMBER(BB61:BB257),ROW(BB61:BB257),"")))</f>
        <v>10.36375</v>
      </c>
      <c r="BD61" s="12">
        <f>IF('Données projet'!$A$88&gt;35,BD60+BC61-BL60,IF(A61&lt;'Données projet'!$A$88,$BA$205^A61,IF(A61='Données projet'!$A$88,'Données projet'!$B$88,BD60+BC61-BL60)))</f>
        <v>253.70000000000027</v>
      </c>
      <c r="BE61" s="13">
        <f>BD61*VLOOKUP('Données projet'!$B$11,Paramètres!$A$1:$I$89,3,0)*VLOOKUP('Données projet'!$B$11,Paramètres!$A$1:$I$89,5,0)</f>
        <v>229.54776000000027</v>
      </c>
      <c r="BF61" s="13">
        <f t="shared" si="37"/>
        <v>56.184885471425758</v>
      </c>
      <c r="BG61" s="20">
        <f t="shared" si="7"/>
        <v>497.651024196067</v>
      </c>
      <c r="BH61" s="59">
        <f t="shared" si="8"/>
        <v>757.76413479475536</v>
      </c>
      <c r="BI61" s="59">
        <f ca="1">AVERAGE(OFFSET($BH$3,0,0,'Données projet'!$E$11+1,1))-AVERAGE(OFFSET($H$3,0,0,'Données projet'!$E$11+1,1))</f>
        <v>681.47578137804555</v>
      </c>
      <c r="BJ61" s="59">
        <f t="shared" si="38"/>
        <v>300.88511065995885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47.789999999999992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0.34400000000000003</v>
      </c>
      <c r="BO61" s="16">
        <f>IF(ISNA(VLOOKUP(A61,'Données projet'!$A$87:$I$107,7,0)),0%,VLOOKUP(A61,'Données projet'!$A$87:$I$107,7,0))</f>
        <v>0.2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36.474357978367649</v>
      </c>
      <c r="BR61" s="21">
        <f>EXP(-LN(2)/2)*BR60+(1-EXP(-LN(2)/2))/(LN(2)/2)*BL61*BO61*VLOOKUP('Données projet'!$B$11,Paramètres!$A$1:$I$89,3,0)*0.475*44/12</f>
        <v>8.589981127461952</v>
      </c>
      <c r="BS61" s="22">
        <f t="shared" si="9"/>
        <v>45.064339105829603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3.3333333333333313</v>
      </c>
      <c r="BY61" s="12">
        <f>IF('Données projet'!$A$114&gt;35,BY60+BX61-CG60,IF(A61&lt;'Données projet'!$A$114,$BV$205^A61,IF(A61='Données projet'!$A$114,'Données projet'!$B$114,BY60+BX61-CG60)))</f>
        <v>126.02564102564105</v>
      </c>
      <c r="BZ61" s="13">
        <f>BY61*VLOOKUP('Données projet'!$B$12,Paramètres!$A$1:$I$89,3,0)*VLOOKUP('Données projet'!$B$12,Paramètres!$A$1:$I$89,5,0)</f>
        <v>131.72200000000004</v>
      </c>
      <c r="CA61" s="13">
        <f t="shared" si="39"/>
        <v>34.393957720446124</v>
      </c>
      <c r="CB61" s="20">
        <f t="shared" si="10"/>
        <v>289.31862636311035</v>
      </c>
      <c r="CC61" s="59">
        <f t="shared" si="11"/>
        <v>549.43173696179883</v>
      </c>
      <c r="CD61" s="59">
        <f ca="1">AVERAGE(OFFSET($CC$3,0,0,'Données projet'!$E$12+1,1))-AVERAGE(OFFSET($H$3,0,0,'Données projet'!$E$12+1,1))</f>
        <v>290.69667785754848</v>
      </c>
      <c r="CE61" s="59">
        <f t="shared" si="40"/>
        <v>256.28124185489082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0.60023013163379302</v>
      </c>
      <c r="CL61" s="21">
        <f>EXP(-LN(2)/25)*CL60+(1-EXP(-LN(2)/25))/(LN(2)/25)*Calculateur!CG61*Calculateur!CI61*VLOOKUP('Données projet'!$B$12,Paramètres!$A$1:$I$89,3,0)*0.475*44/12</f>
        <v>17.727961807704204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18.328191939337998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6.2</v>
      </c>
      <c r="CT61" s="12">
        <f>IF('Données projet'!$A$140&gt;35,CT60+CS61-DB60,IF(A61&lt;'Données projet'!$A$140,$CQ$205^A61,IF(A61='Données projet'!$A$140,'Données projet'!$B$140,CT60+CS61-DB60)))</f>
        <v>281.59999999999991</v>
      </c>
      <c r="CU61" s="17">
        <f>CT61*VLOOKUP('Données projet'!$B$13,Paramètres!$A$1:$I$89,3,0)*VLOOKUP('Données projet'!$B$13,Paramètres!$A$1:$I$89,5,0)</f>
        <v>246.00575999999995</v>
      </c>
      <c r="CV61" s="13">
        <f t="shared" si="41"/>
        <v>59.729834388897928</v>
      </c>
      <c r="CW61" s="20">
        <f t="shared" si="13"/>
        <v>532.48949356066385</v>
      </c>
      <c r="CX61" s="59">
        <f t="shared" si="14"/>
        <v>792.60260415935227</v>
      </c>
      <c r="CY61" s="59">
        <f ca="1">AVERAGE(OFFSET($CX$3,0,0,'Données projet'!$E$13+1,1))-AVERAGE(OFFSET($H$3,0,0,'Données projet'!$E$13+1,1))</f>
        <v>408.246209980743</v>
      </c>
      <c r="CZ61" s="59">
        <f t="shared" si="42"/>
        <v>394.10236303013903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14.926242857397018</v>
      </c>
      <c r="DG61" s="21">
        <f>EXP(-LN(2)/25)*DG60+(1-EXP(-LN(2)/25))/(LN(2)/25)*Calculateur!DB61*Calculateur!DD61*VLOOKUP('Données projet'!$B$13,Paramètres!$A$1:$I$89,3,0)*0.475*44/12</f>
        <v>17.648409373789807</v>
      </c>
      <c r="DH61" s="21">
        <f>EXP(-LN(2)/2)*DH60+(1-EXP(-LN(2)/2))/(LN(2)/2)*DB61*DE61*VLOOKUP('Données projet'!$B$13,Paramètres!$A$1:$I$89,3,0)*0.475*44/12</f>
        <v>1.4821429207227834</v>
      </c>
      <c r="DI61" s="22">
        <f t="shared" si="15"/>
        <v>34.056795151909611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18.617142857142849</v>
      </c>
      <c r="DO61" s="12">
        <f>IF('Données projet'!$A$166&gt;35,DO60+DN61-DW60,IF(A61&lt;'Données projet'!$A$166,$DL$205^A61,IF(A61='Données projet'!$A$166,'Données projet'!$B$166,DO60+DN61-DW60)))</f>
        <v>476.59428571428595</v>
      </c>
      <c r="DP61" s="17">
        <f>DO61*VLOOKUP('Données projet'!$B$14,Paramètres!$A$1:$I$89,3,0)*VLOOKUP('Données projet'!$B$14,Paramètres!$A$1:$I$89,5,0)</f>
        <v>266.41620571428587</v>
      </c>
      <c r="DQ61" s="13">
        <f t="shared" si="43"/>
        <v>64.088107222101385</v>
      </c>
      <c r="DR61" s="20">
        <f t="shared" si="16"/>
        <v>575.62834503087436</v>
      </c>
      <c r="DS61" s="59">
        <f t="shared" si="17"/>
        <v>835.74145562956278</v>
      </c>
      <c r="DT61" s="59">
        <f ca="1">AVERAGE(OFFSET($DS$3,0,0,'Données projet'!$E$14+1,1))-AVERAGE(OFFSET($H$3,0,0,'Données projet'!$E$14+1,1))</f>
        <v>407.05634973057056</v>
      </c>
      <c r="DU61" s="59">
        <f t="shared" si="44"/>
        <v>375.32891954889965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83.603157840691964</v>
      </c>
      <c r="EB61" s="21">
        <f>EXP(-LN(2)/25)*EB60+(1-EXP(-LN(2)/25))/(LN(2)/25)*Calculateur!DW61*Calculateur!DY61*VLOOKUP('Données projet'!$B$14,Paramètres!$A$1:$I$89,3,0)*0.475*44/12</f>
        <v>31.25696604566502</v>
      </c>
      <c r="EC61" s="21">
        <f>EXP(-LN(2)/2)*EC60+(1-EXP(-LN(2)/2))/(LN(2)/2)*DW61*DZ61*VLOOKUP('Données projet'!$B$14,Paramètres!$A$1:$I$89,3,0)*0.475*44/12</f>
        <v>6.6761001057954896</v>
      </c>
      <c r="ED61" s="22">
        <f t="shared" si="18"/>
        <v>121.53622399215247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20</v>
      </c>
      <c r="EJ61" s="12">
        <f>IF('Données projet'!$A$192&gt;35,EJ60+EI61-ER60,IF(A61&lt;'Données projet'!$A$192,$EG$205^A61,IF(A61='Données projet'!$A$192,'Données projet'!$B$192,EJ60+EI61-ER60)))</f>
        <v>593.99999999999989</v>
      </c>
      <c r="EK61" s="17">
        <f>EJ61*VLOOKUP('Données projet'!$B$15,Paramètres!$A$1:$I$89,3,0)*VLOOKUP('Données projet'!$B$15,Paramètres!$A$1:$I$89,5,0)</f>
        <v>262.548</v>
      </c>
      <c r="EL61" s="13">
        <f t="shared" si="45"/>
        <v>63.265199933079444</v>
      </c>
      <c r="EM61" s="20">
        <f t="shared" si="19"/>
        <v>567.45798988344666</v>
      </c>
      <c r="EN61" s="59">
        <f t="shared" si="20"/>
        <v>827.57110048213508</v>
      </c>
      <c r="EO61" s="59">
        <f ca="1">AVERAGE(OFFSET($EN$3,0,0,'Données projet'!$E$15+1,1))-AVERAGE(OFFSET($H$3,0,0,'Données projet'!$E$15+1,1))</f>
        <v>418.28022549686278</v>
      </c>
      <c r="EP61" s="59">
        <f t="shared" si="46"/>
        <v>354.55070454517158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43.293317847189293</v>
      </c>
      <c r="EW61" s="21">
        <f>EXP(-LN(2)/25)*EW60+(1-EXP(-LN(2)/25))/(LN(2)/25)*Calculateur!ER61*Calculateur!ET61*VLOOKUP('Données projet'!$B$15,Paramètres!$A$1:$I$89,3,0)*0.475*44/12</f>
        <v>24.765889891784845</v>
      </c>
      <c r="EX61" s="21">
        <f>EXP(-LN(2)/2)*EX60+(1-EXP(-LN(2)/2))/(LN(2)/2)*ER61*EU61*VLOOKUP('Données projet'!$B$15,Paramètres!$A$1:$I$89,3,0)*0.475*44/12</f>
        <v>2.6153838439968577</v>
      </c>
      <c r="EY61" s="22">
        <f t="shared" si="21"/>
        <v>70.67459158297099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3.3603333333333336</v>
      </c>
      <c r="FE61" s="12">
        <f>IF('Données projet'!$A$218&gt;35,FE60+FD61-FM60,IF(A61&lt;'Données projet'!$A$218,$FB$205^A61,IF(A61='Données projet'!$A$218,'Données projet'!$B$218,FE60+FD61-FM60)))</f>
        <v>194.89933333333323</v>
      </c>
      <c r="FF61" s="17">
        <f>FE61*VLOOKUP('Données projet'!$B$16,Paramètres!$A$1:$I$89,3,0)*VLOOKUP('Données projet'!$B$16,Paramètres!$A$1:$I$89,5,0)</f>
        <v>221.95136079999986</v>
      </c>
      <c r="FG61" s="13">
        <f t="shared" si="47"/>
        <v>54.538786128418167</v>
      </c>
      <c r="FH61" s="20">
        <f t="shared" si="22"/>
        <v>481.55367256699475</v>
      </c>
      <c r="FI61" s="59">
        <f t="shared" si="23"/>
        <v>741.66678316568323</v>
      </c>
      <c r="FJ61" s="59">
        <f ca="1">AVERAGE(OFFSET($FI$3,0,0,'Données projet'!$E$16+1,1))-AVERAGE(OFFSET($H$3,0,0,'Données projet'!$E$16+1,1))</f>
        <v>640.05156427113661</v>
      </c>
      <c r="FK61" s="59">
        <f t="shared" si="48"/>
        <v>308.77220155372902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13.18</v>
      </c>
      <c r="N62" s="13">
        <f>IF('Données projet'!$A$36&gt;35,N61+M62-V61,IF(A62&lt;'Données projet'!$A$36,$K$205^A62,IF(A62='Données projet'!$A$36,'Données projet'!$B$36,N61+M62-V61)))</f>
        <v>424.56000000000012</v>
      </c>
      <c r="O62" s="13">
        <f>N62*VLOOKUP('Données projet'!$B$9,Paramètres!$A$1:$I$89,3,0)*VLOOKUP('Données projet'!$B$9,Paramètres!$A$1:$I$89,5,0)</f>
        <v>253.8868800000001</v>
      </c>
      <c r="P62" s="13">
        <f t="shared" si="33"/>
        <v>61.417508891277024</v>
      </c>
      <c r="Q62" s="20">
        <f t="shared" si="53"/>
        <v>549.15514398564108</v>
      </c>
      <c r="R62" s="59">
        <f t="shared" si="0"/>
        <v>809.84455117948391</v>
      </c>
      <c r="S62" s="59">
        <f ca="1">AVERAGE(OFFSET($R$3,0,0,'Données projet'!$E$9+1,1))-AVERAGE(OFFSET($H$3,0,0,'Données projet'!$E$9+1,1))</f>
        <v>318.50474972254085</v>
      </c>
      <c r="T62" s="59">
        <f t="shared" si="34"/>
        <v>326.45858332753562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46.013138673657956</v>
      </c>
      <c r="AA62" s="21">
        <f>EXP(-LN(2)/25)*AA61+(1-EXP(-LN(2)/25))/(LN(2)/25)*Calculateur!V62*Calculateur!X62*VLOOKUP('Données projet'!$B$9,Paramètres!$A$1:$I$89,3,0)*0.475*44/12</f>
        <v>17.797491835247946</v>
      </c>
      <c r="AB62" s="21">
        <f>EXP(-LN(2)/2)*AB61+(1-EXP(-LN(2)/2))/(LN(2)/2)*V62*Y62*VLOOKUP('Données projet'!$B$9,Paramètres!$A$1:$I$89,3,0)*0.475*44/12</f>
        <v>0.96857826517172552</v>
      </c>
      <c r="AC62" s="22">
        <f t="shared" si="3"/>
        <v>64.779208774077631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12.999000000000001</v>
      </c>
      <c r="AI62" s="13">
        <f>IF('Données projet'!$A$62&gt;35,AI61+AH62-AQ61,IF(A62&lt;'Données projet'!$A$62,$AF$205^A62,IF(A62='Données projet'!$A$62,'Données projet'!$B$62,AI61+AH62-AQ61)))</f>
        <v>326.37199999999984</v>
      </c>
      <c r="AJ62" s="13">
        <f>AI62*VLOOKUP('Données projet'!$B$10,Paramètres!$A$1:$I$89,3,0)*VLOOKUP('Données projet'!$B$10,Paramètres!$A$1:$I$89,5,0)</f>
        <v>152.74209599999995</v>
      </c>
      <c r="AK62" s="13">
        <f t="shared" si="35"/>
        <v>39.201078252346029</v>
      </c>
      <c r="AL62" s="20">
        <f t="shared" si="4"/>
        <v>334.30102848950258</v>
      </c>
      <c r="AM62" s="59">
        <f t="shared" si="5"/>
        <v>594.99043568334537</v>
      </c>
      <c r="AN62" s="59">
        <f ca="1">AVERAGE(OFFSET($AM$3,0,0,'Données projet'!$E$10+1,1))-AVERAGE(OFFSET($H$3,0,0,'Données projet'!$E$10+1,1))</f>
        <v>374.38106339726073</v>
      </c>
      <c r="AO62" s="59">
        <f t="shared" si="36"/>
        <v>296.53283288925957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12.674896304855572</v>
      </c>
      <c r="AV62" s="21">
        <f>EXP(-LN(2)/25)*AV61+(1-EXP(-LN(2)/25))/(LN(2)/25)*Calculateur!AQ62*Calculateur!AS62*VLOOKUP('Données projet'!$B$10,Paramètres!$A$1:$I$89,3,0)*0.475*44/12</f>
        <v>17.537594725283402</v>
      </c>
      <c r="AW62" s="21">
        <f>EXP(-LN(2)/2)*AW61+(1-EXP(-LN(2)/2))/(LN(2)/2)*AQ62*AT62*VLOOKUP('Données projet'!$B$10,Paramètres!$A$1:$I$89,3,0)*0.475*44/12</f>
        <v>2.1893710428795514</v>
      </c>
      <c r="AX62" s="21">
        <f t="shared" si="6"/>
        <v>32.401862073018528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10.107499999999998</v>
      </c>
      <c r="BD62" s="12">
        <f>IF('Données projet'!$A$88&gt;35,BD61+BC62-BL61,IF(A62&lt;'Données projet'!$A$88,$BA$205^A62,IF(A62='Données projet'!$A$88,'Données projet'!$B$88,BD61+BC62-BL61)))</f>
        <v>216.0175000000003</v>
      </c>
      <c r="BE62" s="13">
        <f>BD62*VLOOKUP('Données projet'!$B$11,Paramètres!$A$1:$I$89,3,0)*VLOOKUP('Données projet'!$B$11,Paramètres!$A$1:$I$89,5,0)</f>
        <v>195.45263400000027</v>
      </c>
      <c r="BF62" s="13">
        <f t="shared" si="37"/>
        <v>48.743460533300031</v>
      </c>
      <c r="BG62" s="20">
        <f t="shared" si="7"/>
        <v>425.3081979788314</v>
      </c>
      <c r="BH62" s="59">
        <f t="shared" si="8"/>
        <v>685.99760517267418</v>
      </c>
      <c r="BI62" s="59">
        <f ca="1">AVERAGE(OFFSET($BH$3,0,0,'Données projet'!$E$11+1,1))-AVERAGE(OFFSET($H$3,0,0,'Données projet'!$E$11+1,1))</f>
        <v>681.47578137804555</v>
      </c>
      <c r="BJ62" s="59">
        <f t="shared" si="38"/>
        <v>300.88511065995885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35.476964741346066</v>
      </c>
      <c r="BR62" s="21">
        <f>EXP(-LN(2)/2)*BR61+(1-EXP(-LN(2)/2))/(LN(2)/2)*BL62*BO62*VLOOKUP('Données projet'!$B$11,Paramètres!$A$1:$I$89,3,0)*0.475*44/12</f>
        <v>6.0740339054928114</v>
      </c>
      <c r="BS62" s="22">
        <f t="shared" si="9"/>
        <v>41.550998646838877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3.3333333333333313</v>
      </c>
      <c r="BY62" s="12">
        <f>IF('Données projet'!$A$114&gt;35,BY61+BX62-CG61,IF(A62&lt;'Données projet'!$A$114,$BV$205^A62,IF(A62='Données projet'!$A$114,'Données projet'!$B$114,BY61+BX62-CG61)))</f>
        <v>129.35897435897439</v>
      </c>
      <c r="BZ62" s="13">
        <f>BY62*VLOOKUP('Données projet'!$B$12,Paramètres!$A$1:$I$89,3,0)*VLOOKUP('Données projet'!$B$12,Paramètres!$A$1:$I$89,5,0)</f>
        <v>135.20600000000005</v>
      </c>
      <c r="CA62" s="13">
        <f t="shared" si="39"/>
        <v>35.196550291268018</v>
      </c>
      <c r="CB62" s="20">
        <f t="shared" si="10"/>
        <v>296.78444175729186</v>
      </c>
      <c r="CC62" s="59">
        <f t="shared" si="11"/>
        <v>557.47384895113464</v>
      </c>
      <c r="CD62" s="59">
        <f ca="1">AVERAGE(OFFSET($CC$3,0,0,'Données projet'!$E$12+1,1))-AVERAGE(OFFSET($H$3,0,0,'Données projet'!$E$12+1,1))</f>
        <v>290.69667785754848</v>
      </c>
      <c r="CE62" s="59">
        <f t="shared" si="40"/>
        <v>256.28124185489082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0.58845998485668483</v>
      </c>
      <c r="CL62" s="21">
        <f>EXP(-LN(2)/25)*CL61+(1-EXP(-LN(2)/25))/(LN(2)/25)*Calculateur!CG62*Calculateur!CI62*VLOOKUP('Données projet'!$B$12,Paramètres!$A$1:$I$89,3,0)*0.475*44/12</f>
        <v>17.243189759799538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17.831649744656222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6.2</v>
      </c>
      <c r="CT62" s="12">
        <f>IF('Données projet'!$A$140&gt;35,CT61+CS62-DB61,IF(A62&lt;'Données projet'!$A$140,$CQ$205^A62,IF(A62='Données projet'!$A$140,'Données projet'!$B$140,CT61+CS62-DB61)))</f>
        <v>287.7999999999999</v>
      </c>
      <c r="CU62" s="17">
        <f>CT62*VLOOKUP('Données projet'!$B$13,Paramètres!$A$1:$I$89,3,0)*VLOOKUP('Données projet'!$B$13,Paramètres!$A$1:$I$89,5,0)</f>
        <v>251.42207999999994</v>
      </c>
      <c r="CV62" s="13">
        <f t="shared" si="41"/>
        <v>60.890357280401872</v>
      </c>
      <c r="CW62" s="20">
        <f t="shared" si="13"/>
        <v>543.94416159669981</v>
      </c>
      <c r="CX62" s="59">
        <f t="shared" si="14"/>
        <v>804.63356879054254</v>
      </c>
      <c r="CY62" s="59">
        <f ca="1">AVERAGE(OFFSET($CX$3,0,0,'Données projet'!$E$13+1,1))-AVERAGE(OFFSET($H$3,0,0,'Données projet'!$E$13+1,1))</f>
        <v>408.246209980743</v>
      </c>
      <c r="CZ62" s="59">
        <f t="shared" si="42"/>
        <v>394.10236303013903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14.633548339072648</v>
      </c>
      <c r="DG62" s="21">
        <f>EXP(-LN(2)/25)*DG61+(1-EXP(-LN(2)/25))/(LN(2)/25)*Calculateur!DB62*Calculateur!DD62*VLOOKUP('Données projet'!$B$13,Paramètres!$A$1:$I$89,3,0)*0.475*44/12</f>
        <v>17.165812691374011</v>
      </c>
      <c r="DH62" s="21">
        <f>EXP(-LN(2)/2)*DH61+(1-EXP(-LN(2)/2))/(LN(2)/2)*DB62*DE62*VLOOKUP('Données projet'!$B$13,Paramètres!$A$1:$I$89,3,0)*0.475*44/12</f>
        <v>1.0480333099307158</v>
      </c>
      <c r="DI62" s="22">
        <f t="shared" si="15"/>
        <v>32.847394340377377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18.617142857142849</v>
      </c>
      <c r="DO62" s="12">
        <f>IF('Données projet'!$A$166&gt;35,DO61+DN62-DW61,IF(A62&lt;'Données projet'!$A$166,$DL$205^A62,IF(A62='Données projet'!$A$166,'Données projet'!$B$166,DO61+DN62-DW61)))</f>
        <v>495.21142857142877</v>
      </c>
      <c r="DP62" s="17">
        <f>DO62*VLOOKUP('Données projet'!$B$14,Paramètres!$A$1:$I$89,3,0)*VLOOKUP('Données projet'!$B$14,Paramètres!$A$1:$I$89,5,0)</f>
        <v>276.82318857142872</v>
      </c>
      <c r="DQ62" s="13">
        <f t="shared" si="43"/>
        <v>66.295212111853616</v>
      </c>
      <c r="DR62" s="20">
        <f t="shared" si="16"/>
        <v>597.59788119005009</v>
      </c>
      <c r="DS62" s="59">
        <f t="shared" si="17"/>
        <v>858.28728838389293</v>
      </c>
      <c r="DT62" s="59">
        <f ca="1">AVERAGE(OFFSET($DS$3,0,0,'Données projet'!$E$14+1,1))-AVERAGE(OFFSET($H$3,0,0,'Données projet'!$E$14+1,1))</f>
        <v>407.05634973057056</v>
      </c>
      <c r="DU62" s="59">
        <f t="shared" si="44"/>
        <v>375.32891954889965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81.963750908327142</v>
      </c>
      <c r="EB62" s="21">
        <f>EXP(-LN(2)/25)*EB61+(1-EXP(-LN(2)/25))/(LN(2)/25)*Calculateur!DW62*Calculateur!DY62*VLOOKUP('Données projet'!$B$14,Paramètres!$A$1:$I$89,3,0)*0.475*44/12</f>
        <v>30.402242665413905</v>
      </c>
      <c r="EC62" s="21">
        <f>EXP(-LN(2)/2)*EC61+(1-EXP(-LN(2)/2))/(LN(2)/2)*DW62*DZ62*VLOOKUP('Données projet'!$B$14,Paramètres!$A$1:$I$89,3,0)*0.475*44/12</f>
        <v>4.7207156566882187</v>
      </c>
      <c r="ED62" s="22">
        <f t="shared" si="18"/>
        <v>117.08670923042926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20</v>
      </c>
      <c r="EJ62" s="12">
        <f>IF('Données projet'!$A$192&gt;35,EJ61+EI62-ER61,IF(A62&lt;'Données projet'!$A$192,$EG$205^A62,IF(A62='Données projet'!$A$192,'Données projet'!$B$192,EJ61+EI62-ER61)))</f>
        <v>613.99999999999989</v>
      </c>
      <c r="EK62" s="17">
        <f>EJ62*VLOOKUP('Données projet'!$B$15,Paramètres!$A$1:$I$89,3,0)*VLOOKUP('Données projet'!$B$15,Paramètres!$A$1:$I$89,5,0)</f>
        <v>271.38799999999998</v>
      </c>
      <c r="EL62" s="13">
        <f t="shared" si="45"/>
        <v>65.143749954435705</v>
      </c>
      <c r="EM62" s="20">
        <f t="shared" si="19"/>
        <v>586.12613117064211</v>
      </c>
      <c r="EN62" s="59">
        <f t="shared" si="20"/>
        <v>846.81553836448484</v>
      </c>
      <c r="EO62" s="59">
        <f ca="1">AVERAGE(OFFSET($EN$3,0,0,'Données projet'!$E$15+1,1))-AVERAGE(OFFSET($H$3,0,0,'Données projet'!$E$15+1,1))</f>
        <v>418.28022549686278</v>
      </c>
      <c r="EP62" s="59">
        <f t="shared" si="46"/>
        <v>354.55070454517158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42.444362290522392</v>
      </c>
      <c r="EW62" s="21">
        <f>EXP(-LN(2)/25)*EW61+(1-EXP(-LN(2)/25))/(LN(2)/25)*Calculateur!ER62*Calculateur!ET62*VLOOKUP('Données projet'!$B$15,Paramètres!$A$1:$I$89,3,0)*0.475*44/12</f>
        <v>24.088665330312441</v>
      </c>
      <c r="EX62" s="21">
        <f>EXP(-LN(2)/2)*EX61+(1-EXP(-LN(2)/2))/(LN(2)/2)*ER62*EU62*VLOOKUP('Données projet'!$B$15,Paramètres!$A$1:$I$89,3,0)*0.475*44/12</f>
        <v>1.8493556514959177</v>
      </c>
      <c r="EY62" s="22">
        <f t="shared" si="21"/>
        <v>68.382383272330742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3.3603333333333336</v>
      </c>
      <c r="FE62" s="12">
        <f>IF('Données projet'!$A$218&gt;35,FE61+FD62-FM61,IF(A62&lt;'Données projet'!$A$218,$FB$205^A62,IF(A62='Données projet'!$A$218,'Données projet'!$B$218,FE61+FD62-FM61)))</f>
        <v>198.25966666666656</v>
      </c>
      <c r="FF62" s="17">
        <f>FE62*VLOOKUP('Données projet'!$B$16,Paramètres!$A$1:$I$89,3,0)*VLOOKUP('Données projet'!$B$16,Paramètres!$A$1:$I$89,5,0)</f>
        <v>225.77810839999987</v>
      </c>
      <c r="FG62" s="13">
        <f t="shared" si="47"/>
        <v>55.368827891142729</v>
      </c>
      <c r="FH62" s="20">
        <f t="shared" si="22"/>
        <v>489.66424737373995</v>
      </c>
      <c r="FI62" s="59">
        <f t="shared" si="23"/>
        <v>750.35365456758268</v>
      </c>
      <c r="FJ62" s="59">
        <f ca="1">AVERAGE(OFFSET($FI$3,0,0,'Données projet'!$E$16+1,1))-AVERAGE(OFFSET($H$3,0,0,'Données projet'!$E$16+1,1))</f>
        <v>640.05156427113661</v>
      </c>
      <c r="FK62" s="59">
        <f t="shared" si="48"/>
        <v>308.77220155372902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437.74</v>
      </c>
      <c r="L63" s="12">
        <f>VLOOKUP(A63,'Données projet'!$A$35:$I$55,9,0)</f>
        <v>13.18</v>
      </c>
      <c r="M63" s="12">
        <f t="array" ref="M63">INDEX(L:L,MIN(IF(ISNUMBER(L63:L259),ROW(L63:L259),"")))</f>
        <v>13.18</v>
      </c>
      <c r="N63" s="13">
        <f>IF('Données projet'!$A$36&gt;35,N62+M63-V62,IF(A63&lt;'Données projet'!$A$36,$K$205^A63,IF(A63='Données projet'!$A$36,'Données projet'!$B$36,N62+M63-V62)))</f>
        <v>437.74000000000012</v>
      </c>
      <c r="O63" s="13">
        <f>N63*VLOOKUP('Données projet'!$B$9,Paramètres!$A$1:$I$89,3,0)*VLOOKUP('Données projet'!$B$9,Paramètres!$A$1:$I$89,5,0)</f>
        <v>261.76852000000008</v>
      </c>
      <c r="P63" s="13">
        <f t="shared" si="33"/>
        <v>63.099206092755566</v>
      </c>
      <c r="Q63" s="20">
        <f t="shared" si="53"/>
        <v>565.81128961154946</v>
      </c>
      <c r="R63" s="59">
        <f t="shared" si="0"/>
        <v>827.066995943027</v>
      </c>
      <c r="S63" s="59">
        <f ca="1">AVERAGE(OFFSET($R$3,0,0,'Données projet'!$E$9+1,1))-AVERAGE(OFFSET($H$3,0,0,'Données projet'!$E$9+1,1))</f>
        <v>318.50474972254085</v>
      </c>
      <c r="T63" s="59">
        <f t="shared" si="34"/>
        <v>326.45858332753562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437.74</v>
      </c>
      <c r="W63" s="16">
        <f>IF(ISNA(VLOOKUP(A63,'Données projet'!$A$35:$I$55,5,0)),0%,VLOOKUP(A63,'Données projet'!$A$35:$I$55,5,0)*VLOOKUP('Données projet'!$B$9,Paramètres!$A$1:$I$89,7,0))</f>
        <v>0.27</v>
      </c>
      <c r="X63" s="16">
        <f>IF(ISNA(VLOOKUP(A63,'Données projet'!$A$35:$I$55,6,0)),0%,VLOOKUP(A63,'Données projet'!$A$35:$I$55,6,0)*VLOOKUP('Données projet'!$B$9,Paramètres!$A$1:$I$89,7,0))</f>
        <v>9.0000000000000011E-2</v>
      </c>
      <c r="Y63" s="16">
        <f>IF(ISNA(VLOOKUP(A63,'Données projet'!$A$35:$I$55,7,0)),0%,VLOOKUP(A63,'Données projet'!$A$35:$I$55,7,0))</f>
        <v>0.2</v>
      </c>
      <c r="Z63" s="21">
        <f>EXP(-LN(2)/35)*Z62+(1-EXP(-LN(2)/35))/(LN(2)/35)*V63*W63*VLOOKUP('Données projet'!$B$9,Paramètres!$A$1:$I$89,3,0)*0.475*44/12</f>
        <v>138.86910891946479</v>
      </c>
      <c r="AA63" s="21">
        <f>EXP(-LN(2)/25)*AA62+(1-EXP(-LN(2)/25))/(LN(2)/25)*Calculateur!V63*Calculateur!X63*VLOOKUP('Données projet'!$B$9,Paramètres!$A$1:$I$89,3,0)*0.475*44/12</f>
        <v>48.440517763852199</v>
      </c>
      <c r="AB63" s="21">
        <f>EXP(-LN(2)/2)*AB62+(1-EXP(-LN(2)/2))/(LN(2)/2)*V63*Y63*VLOOKUP('Données projet'!$B$9,Paramètres!$A$1:$I$89,3,0)*0.475*44/12</f>
        <v>59.961442823353359</v>
      </c>
      <c r="AC63" s="22">
        <f t="shared" si="3"/>
        <v>247.27106950667036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12.999000000000001</v>
      </c>
      <c r="AI63" s="13">
        <f>IF('Données projet'!$A$62&gt;35,AI62+AH63-AQ62,IF(A63&lt;'Données projet'!$A$62,$AF$205^A63,IF(A63='Données projet'!$A$62,'Données projet'!$B$62,AI62+AH63-AQ62)))</f>
        <v>339.37099999999987</v>
      </c>
      <c r="AJ63" s="13">
        <f>AI63*VLOOKUP('Données projet'!$B$10,Paramètres!$A$1:$I$89,3,0)*VLOOKUP('Données projet'!$B$10,Paramètres!$A$1:$I$89,5,0)</f>
        <v>158.82562799999994</v>
      </c>
      <c r="AK63" s="13">
        <f t="shared" si="35"/>
        <v>40.577519061672213</v>
      </c>
      <c r="AL63" s="20">
        <f t="shared" si="4"/>
        <v>347.2938144657457</v>
      </c>
      <c r="AM63" s="59">
        <f t="shared" si="5"/>
        <v>608.54952079722318</v>
      </c>
      <c r="AN63" s="59">
        <f ca="1">AVERAGE(OFFSET($AM$3,0,0,'Données projet'!$E$10+1,1))-AVERAGE(OFFSET($H$3,0,0,'Données projet'!$E$10+1,1))</f>
        <v>374.38106339726073</v>
      </c>
      <c r="AO63" s="59">
        <f t="shared" si="36"/>
        <v>296.53283288925957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12.426349319240735</v>
      </c>
      <c r="AV63" s="21">
        <f>EXP(-LN(2)/25)*AV62+(1-EXP(-LN(2)/25))/(LN(2)/25)*Calculateur!AQ63*Calculateur!AS63*VLOOKUP('Données projet'!$B$10,Paramètres!$A$1:$I$89,3,0)*0.475*44/12</f>
        <v>17.058028275258504</v>
      </c>
      <c r="AW63" s="21">
        <f>EXP(-LN(2)/2)*AW62+(1-EXP(-LN(2)/2))/(LN(2)/2)*AQ63*AT63*VLOOKUP('Données projet'!$B$10,Paramètres!$A$1:$I$89,3,0)*0.475*44/12</f>
        <v>1.5481191109535943</v>
      </c>
      <c r="AX63" s="21">
        <f t="shared" si="6"/>
        <v>31.032496705452832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10.107499999999998</v>
      </c>
      <c r="BD63" s="12">
        <f>IF('Données projet'!$A$88&gt;35,BD62+BC63-BL62,IF(A63&lt;'Données projet'!$A$88,$BA$205^A63,IF(A63='Données projet'!$A$88,'Données projet'!$B$88,BD62+BC63-BL62)))</f>
        <v>226.12500000000028</v>
      </c>
      <c r="BE63" s="13">
        <f>BD63*VLOOKUP('Données projet'!$B$11,Paramètres!$A$1:$I$89,3,0)*VLOOKUP('Données projet'!$B$11,Paramètres!$A$1:$I$89,5,0)</f>
        <v>204.59790000000024</v>
      </c>
      <c r="BF63" s="13">
        <f t="shared" si="37"/>
        <v>50.753306398717811</v>
      </c>
      <c r="BG63" s="20">
        <f t="shared" si="7"/>
        <v>444.73668447776726</v>
      </c>
      <c r="BH63" s="59">
        <f t="shared" si="8"/>
        <v>705.99239080924474</v>
      </c>
      <c r="BI63" s="59">
        <f ca="1">AVERAGE(OFFSET($BH$3,0,0,'Données projet'!$E$11+1,1))-AVERAGE(OFFSET($H$3,0,0,'Données projet'!$E$11+1,1))</f>
        <v>681.47578137804555</v>
      </c>
      <c r="BJ63" s="59">
        <f t="shared" si="38"/>
        <v>300.88511065995885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34.506845274841467</v>
      </c>
      <c r="BR63" s="21">
        <f>EXP(-LN(2)/2)*BR62+(1-EXP(-LN(2)/2))/(LN(2)/2)*BL63*BO63*VLOOKUP('Données projet'!$B$11,Paramètres!$A$1:$I$89,3,0)*0.475*44/12</f>
        <v>4.294990563730976</v>
      </c>
      <c r="BS63" s="22">
        <f t="shared" si="9"/>
        <v>38.801835838572444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132.69230769230768</v>
      </c>
      <c r="BW63" s="12">
        <f>VLOOKUP(A63,'Données projet'!$A$113:$I$133,9,0)</f>
        <v>3.3333333333333313</v>
      </c>
      <c r="BX63" s="12">
        <f t="array" ref="BX63">INDEX(BW:BW,MIN(IF(ISNUMBER(BW63:BW259),ROW(BW63:BW259),"")))</f>
        <v>3.3333333333333313</v>
      </c>
      <c r="BY63" s="12">
        <f>IF('Données projet'!$A$114&gt;35,BY62+BX63-CG62,IF(A63&lt;'Données projet'!$A$114,$BV$205^A63,IF(A63='Données projet'!$A$114,'Données projet'!$B$114,BY62+BX63-CG62)))</f>
        <v>132.69230769230774</v>
      </c>
      <c r="BZ63" s="13">
        <f>BY63*VLOOKUP('Données projet'!$B$12,Paramètres!$A$1:$I$89,3,0)*VLOOKUP('Données projet'!$B$12,Paramètres!$A$1:$I$89,5,0)</f>
        <v>138.69000000000005</v>
      </c>
      <c r="CA63" s="13">
        <f t="shared" si="39"/>
        <v>35.996738887121495</v>
      </c>
      <c r="CB63" s="20">
        <f t="shared" si="10"/>
        <v>304.24607022840337</v>
      </c>
      <c r="CC63" s="59">
        <f t="shared" si="11"/>
        <v>565.50177655988091</v>
      </c>
      <c r="CD63" s="59">
        <f ca="1">AVERAGE(OFFSET($CC$3,0,0,'Données projet'!$E$12+1,1))-AVERAGE(OFFSET($H$3,0,0,'Données projet'!$E$12+1,1))</f>
        <v>290.69667785754848</v>
      </c>
      <c r="CE63" s="59">
        <f t="shared" si="40"/>
        <v>256.28124185489082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11.538461538461538</v>
      </c>
      <c r="CH63" s="16">
        <f>IF(ISNA(VLOOKUP(A63,'Données projet'!$A$113:$I$133,5,0)),0%,VLOOKUP(A63,'Données projet'!$A$113:$I$133,5,0)*VLOOKUP('Données projet'!$B$12,Paramètres!$A$1:$I$89,7,0))</f>
        <v>4.3000000000000003E-2</v>
      </c>
      <c r="CI63" s="16">
        <f>IF(ISNA(VLOOKUP(A63,'Données projet'!$A$113:$I$133,6,0)),0%,VLOOKUP(A63,'Données projet'!$A$113:$I$133,6,0)*VLOOKUP('Données projet'!$B$12,Paramètres!$A$1:$I$89,7,0))</f>
        <v>0.215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1.1501954728969925</v>
      </c>
      <c r="CL63" s="21">
        <f>EXP(-LN(2)/25)*CL62+(1-EXP(-LN(2)/25))/(LN(2)/25)*Calculateur!CG63*Calculateur!CI63*VLOOKUP('Données projet'!$B$12,Paramètres!$A$1:$I$89,3,0)*0.475*44/12</f>
        <v>19.626761968937593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20.776957441834586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294</v>
      </c>
      <c r="CR63" s="12">
        <f>VLOOKUP(A63,'Données projet'!$A$139:$I$159,9,0)</f>
        <v>6.2</v>
      </c>
      <c r="CS63" s="12">
        <f t="array" ref="CS63">INDEX(CR:CR,MIN(IF(ISNUMBER(CR63:CR259),ROW(CR63:CR259),"")))</f>
        <v>6.2</v>
      </c>
      <c r="CT63" s="12">
        <f>IF('Données projet'!$A$140&gt;35,CT62+CS63-DB62,IF(A63&lt;'Données projet'!$A$140,$CQ$205^A63,IF(A63='Données projet'!$A$140,'Données projet'!$B$140,CT62+CS63-DB62)))</f>
        <v>293.99999999999989</v>
      </c>
      <c r="CU63" s="17">
        <f>CT63*VLOOKUP('Données projet'!$B$13,Paramètres!$A$1:$I$89,3,0)*VLOOKUP('Données projet'!$B$13,Paramètres!$A$1:$I$89,5,0)</f>
        <v>256.83839999999992</v>
      </c>
      <c r="CV63" s="13">
        <f t="shared" si="41"/>
        <v>62.047973482014044</v>
      </c>
      <c r="CW63" s="20">
        <f t="shared" si="13"/>
        <v>555.39376714784089</v>
      </c>
      <c r="CX63" s="59">
        <f t="shared" si="14"/>
        <v>816.64947347931843</v>
      </c>
      <c r="CY63" s="59">
        <f ca="1">AVERAGE(OFFSET($CX$3,0,0,'Données projet'!$E$13+1,1))-AVERAGE(OFFSET($H$3,0,0,'Données projet'!$E$13+1,1))</f>
        <v>408.246209980743</v>
      </c>
      <c r="CZ63" s="59">
        <f t="shared" si="42"/>
        <v>394.10236303013903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0.13250000000000001</v>
      </c>
      <c r="DD63" s="16">
        <f>IF(ISNA(VLOOKUP(A63,'Données projet'!$A$139:$I$159,6,0)),0%,VLOOKUP(A63,'Données projet'!$A$139:$I$159,6,0)*VLOOKUP('Données projet'!$B$13,Paramètres!$A$1:$I$89,7,0))</f>
        <v>0.13250000000000001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16.138039084930366</v>
      </c>
      <c r="DG63" s="21">
        <f>EXP(-LN(2)/25)*DG62+(1-EXP(-LN(2)/25))/(LN(2)/25)*Calculateur!DB63*Calculateur!DD63*VLOOKUP('Données projet'!$B$13,Paramètres!$A$1:$I$89,3,0)*0.475*44/12</f>
        <v>18.480804739493465</v>
      </c>
      <c r="DH63" s="21">
        <f>EXP(-LN(2)/2)*DH62+(1-EXP(-LN(2)/2))/(LN(2)/2)*DB63*DE63*VLOOKUP('Données projet'!$B$13,Paramètres!$A$1:$I$89,3,0)*0.475*44/12</f>
        <v>3.6259993544588274</v>
      </c>
      <c r="DI63" s="22">
        <f t="shared" si="15"/>
        <v>38.244843178882661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18.617142857142849</v>
      </c>
      <c r="DO63" s="12">
        <f>IF('Données projet'!$A$166&gt;35,DO62+DN63-DW62,IF(A63&lt;'Données projet'!$A$166,$DL$205^A63,IF(A63='Données projet'!$A$166,'Données projet'!$B$166,DO62+DN63-DW62)))</f>
        <v>513.82857142857165</v>
      </c>
      <c r="DP63" s="17">
        <f>DO63*VLOOKUP('Données projet'!$B$14,Paramètres!$A$1:$I$89,3,0)*VLOOKUP('Données projet'!$B$14,Paramètres!$A$1:$I$89,5,0)</f>
        <v>287.23017142857157</v>
      </c>
      <c r="DQ63" s="13">
        <f t="shared" si="43"/>
        <v>68.492677457199264</v>
      </c>
      <c r="DR63" s="20">
        <f t="shared" si="16"/>
        <v>619.55062847605086</v>
      </c>
      <c r="DS63" s="59">
        <f t="shared" si="17"/>
        <v>880.8063348075284</v>
      </c>
      <c r="DT63" s="59">
        <f ca="1">AVERAGE(OFFSET($DS$3,0,0,'Données projet'!$E$14+1,1))-AVERAGE(OFFSET($H$3,0,0,'Données projet'!$E$14+1,1))</f>
        <v>407.05634973057056</v>
      </c>
      <c r="DU63" s="59">
        <f t="shared" si="44"/>
        <v>375.32891954889965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80.356491745966508</v>
      </c>
      <c r="EB63" s="21">
        <f>EXP(-LN(2)/25)*EB62+(1-EXP(-LN(2)/25))/(LN(2)/25)*Calculateur!DW63*Calculateur!DY63*VLOOKUP('Données projet'!$B$14,Paramètres!$A$1:$I$89,3,0)*0.475*44/12</f>
        <v>29.570891740943704</v>
      </c>
      <c r="EC63" s="21">
        <f>EXP(-LN(2)/2)*EC62+(1-EXP(-LN(2)/2))/(LN(2)/2)*DW63*DZ63*VLOOKUP('Données projet'!$B$14,Paramètres!$A$1:$I$89,3,0)*0.475*44/12</f>
        <v>3.3380500528977457</v>
      </c>
      <c r="ED63" s="22">
        <f t="shared" si="18"/>
        <v>113.26543353980796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634</v>
      </c>
      <c r="EH63" s="12">
        <f>VLOOKUP(A63,'Données projet'!$A$191:$I$211,9,0)</f>
        <v>20</v>
      </c>
      <c r="EI63" s="12">
        <f t="array" ref="EI63">INDEX(EH:EH,MIN(IF(ISNUMBER(EH63:EH259),ROW(EH63:EH259),"")))</f>
        <v>20</v>
      </c>
      <c r="EJ63" s="12">
        <f>IF('Données projet'!$A$192&gt;35,EJ62+EI63-ER62,IF(A63&lt;'Données projet'!$A$192,$EG$205^A63,IF(A63='Données projet'!$A$192,'Données projet'!$B$192,EJ62+EI63-ER62)))</f>
        <v>633.99999999999989</v>
      </c>
      <c r="EK63" s="17">
        <f>EJ63*VLOOKUP('Données projet'!$B$15,Paramètres!$A$1:$I$89,3,0)*VLOOKUP('Données projet'!$B$15,Paramètres!$A$1:$I$89,5,0)</f>
        <v>280.22799999999995</v>
      </c>
      <c r="EL63" s="13">
        <f t="shared" si="45"/>
        <v>67.015189552564891</v>
      </c>
      <c r="EM63" s="20">
        <f t="shared" si="19"/>
        <v>604.78188847071704</v>
      </c>
      <c r="EN63" s="59">
        <f t="shared" si="20"/>
        <v>866.03759480219446</v>
      </c>
      <c r="EO63" s="59">
        <f ca="1">AVERAGE(OFFSET($EN$3,0,0,'Données projet'!$E$15+1,1))-AVERAGE(OFFSET($H$3,0,0,'Données projet'!$E$15+1,1))</f>
        <v>418.28022549686278</v>
      </c>
      <c r="EP63" s="59">
        <f t="shared" si="46"/>
        <v>354.55070454517158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53</v>
      </c>
      <c r="ES63" s="16">
        <f>IF(ISNA(VLOOKUP(A63,'Données projet'!$A$191:$I$211,5,0)),0%,VLOOKUP(A63,'Données projet'!$A$191:$I$211,5,0)*VLOOKUP('Données projet'!$B$15,Paramètres!$A$1:$I$89,7,0))</f>
        <v>0.33</v>
      </c>
      <c r="ET63" s="16">
        <f>IF(ISNA(VLOOKUP(A63,'Données projet'!$A$191:$I$211,6,0)),0%,VLOOKUP(A63,'Données projet'!$A$191:$I$211,6,0)*VLOOKUP('Données projet'!$B$15,Paramètres!$A$1:$I$89,7,0))</f>
        <v>0.11000000000000001</v>
      </c>
      <c r="EU63" s="16">
        <f>IF(ISNA(VLOOKUP(A63,'Données projet'!$A$191:$I$211,7,0)),0%,VLOOKUP(A63,'Données projet'!$A$191:$I$211,7,0))</f>
        <v>0.2</v>
      </c>
      <c r="EV63" s="21">
        <f>EXP(-LN(2)/35)*EV62+(1-EXP(-LN(2)/35))/(LN(2)/35)*ER63*ES63*VLOOKUP('Données projet'!$B$15,Paramètres!$A$1:$I$89,3,0)*0.475*44/12</f>
        <v>51.867166882441772</v>
      </c>
      <c r="EW63" s="21">
        <f>EXP(-LN(2)/25)*EW62+(1-EXP(-LN(2)/25))/(LN(2)/25)*Calculateur!ER63*Calculateur!ET63*VLOOKUP('Données projet'!$B$15,Paramètres!$A$1:$I$89,3,0)*0.475*44/12</f>
        <v>26.834870964064738</v>
      </c>
      <c r="EX63" s="21">
        <f>EXP(-LN(2)/2)*EX62+(1-EXP(-LN(2)/2))/(LN(2)/2)*ER63*EU63*VLOOKUP('Données projet'!$B$15,Paramètres!$A$1:$I$89,3,0)*0.475*44/12</f>
        <v>6.6124266823694278</v>
      </c>
      <c r="EY63" s="22">
        <f t="shared" si="21"/>
        <v>85.314464528875945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201.62</v>
      </c>
      <c r="FC63" s="12">
        <f>VLOOKUP(A63,'Données projet'!$A$217:$I$237,9,0)</f>
        <v>3.3603333333333336</v>
      </c>
      <c r="FD63" s="12">
        <f t="array" ref="FD63">INDEX(FC:FC,MIN(IF(ISNUMBER(FC63:FC259),ROW(FC63:FC259),"")))</f>
        <v>3.3603333333333336</v>
      </c>
      <c r="FE63" s="12">
        <f>IF('Données projet'!$A$218&gt;35,FE62+FD63-FM62,IF(A63&lt;'Données projet'!$A$218,$FB$205^A63,IF(A63='Données projet'!$A$218,'Données projet'!$B$218,FE62+FD63-FM62)))</f>
        <v>201.61999999999989</v>
      </c>
      <c r="FF63" s="17">
        <f>FE63*VLOOKUP('Données projet'!$B$16,Paramètres!$A$1:$I$89,3,0)*VLOOKUP('Données projet'!$B$16,Paramètres!$A$1:$I$89,5,0)</f>
        <v>229.6048559999999</v>
      </c>
      <c r="FG63" s="13">
        <f t="shared" si="47"/>
        <v>56.19723361144181</v>
      </c>
      <c r="FH63" s="20">
        <f t="shared" si="22"/>
        <v>497.77197273992761</v>
      </c>
      <c r="FI63" s="59">
        <f t="shared" si="23"/>
        <v>759.02767907140515</v>
      </c>
      <c r="FJ63" s="59">
        <f ca="1">AVERAGE(OFFSET($FI$3,0,0,'Données projet'!$E$16+1,1))-AVERAGE(OFFSET($H$3,0,0,'Données projet'!$E$16+1,1))</f>
        <v>640.05156427113661</v>
      </c>
      <c r="FK63" s="59">
        <f t="shared" si="48"/>
        <v>308.77220155372902</v>
      </c>
      <c r="FL63" s="15">
        <f>IF(ISNA(VLOOKUP(A63,'Données projet'!$A$217:$I$237,3,0)),0,VLOOKUP(A63,'Données projet'!$A$217:$I$237,3,0))</f>
        <v>1</v>
      </c>
      <c r="FM63" s="15">
        <f>IF(ISNA(VLOOKUP(A63,'Données projet'!$A$217:$I$237,4,0)),0,VLOOKUP(A63,'Données projet'!$A$217:$I$237,4,0))</f>
        <v>72.87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0.34400000000000003</v>
      </c>
      <c r="FP63" s="16">
        <f>IF(ISNA(VLOOKUP(A63,'Données projet'!$A$217:$I$237,7,0)),0%,VLOOKUP(A63,'Données projet'!$A$217:$I$237,7,0))</f>
        <v>0.2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31.433187477653828</v>
      </c>
      <c r="FS63" s="21">
        <f>EXP(-LN(2)/2)*FS62+(1-EXP(-LN(2)/2))/(LN(2)/2)*FM63*FP63*VLOOKUP('Données projet'!$B$16,Paramètres!$A$1:$I$89,3,0)*0.475*44/12</f>
        <v>15.659594675439026</v>
      </c>
      <c r="FT63" s="22">
        <f t="shared" si="24"/>
        <v>47.092782153092855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1.1368683772161603E-13</v>
      </c>
      <c r="O64" s="13">
        <f>N64*VLOOKUP('Données projet'!$B$9,Paramètres!$A$1:$I$89,3,0)*VLOOKUP('Données projet'!$B$9,Paramètres!$A$1:$I$89,5,0)</f>
        <v>6.7984728957526396E-14</v>
      </c>
      <c r="P64" s="13">
        <f t="shared" si="33"/>
        <v>1.0682447123141398E-12</v>
      </c>
      <c r="Q64" s="20">
        <f t="shared" si="53"/>
        <v>1.978932943548152E-12</v>
      </c>
      <c r="R64" s="59">
        <f t="shared" si="0"/>
        <v>261.81218144513133</v>
      </c>
      <c r="S64" s="59">
        <f ca="1">AVERAGE(OFFSET($R$3,0,0,'Données projet'!$E$9+1,1))-AVERAGE(OFFSET($H$3,0,0,'Données projet'!$E$9+1,1))</f>
        <v>318.50474972254085</v>
      </c>
      <c r="T64" s="59">
        <f t="shared" si="34"/>
        <v>326.45858332753562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136.14597039534692</v>
      </c>
      <c r="AA64" s="21">
        <f>EXP(-LN(2)/25)*AA63+(1-EXP(-LN(2)/25))/(LN(2)/25)*Calculateur!V64*Calculateur!X64*VLOOKUP('Données projet'!$B$9,Paramètres!$A$1:$I$89,3,0)*0.475*44/12</f>
        <v>47.115909258223546</v>
      </c>
      <c r="AB64" s="21">
        <f>EXP(-LN(2)/2)*AB63+(1-EXP(-LN(2)/2))/(LN(2)/2)*V64*Y64*VLOOKUP('Données projet'!$B$9,Paramètres!$A$1:$I$89,3,0)*0.475*44/12</f>
        <v>42.399142830122607</v>
      </c>
      <c r="AC64" s="22">
        <f t="shared" si="3"/>
        <v>225.66102248369307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>
        <f>VLOOKUP(A64,'Données projet'!$A$61:$I$81,2,0)</f>
        <v>352.37</v>
      </c>
      <c r="AG64" s="12">
        <f>VLOOKUP(A64,'Données projet'!$A$61:$I$81,9,0)</f>
        <v>12.999000000000001</v>
      </c>
      <c r="AH64" s="12">
        <f t="array" ref="AH64">INDEX(AG:AG,MIN(IF(ISNUMBER(AG64:AG260),ROW(AG64:AG260),"")))</f>
        <v>12.999000000000001</v>
      </c>
      <c r="AI64" s="13">
        <f>IF('Données projet'!$A$62&gt;35,AI63+AH64-AQ63,IF(A64&lt;'Données projet'!$A$62,$AF$205^A64,IF(A64='Données projet'!$A$62,'Données projet'!$B$62,AI63+AH64-AQ63)))</f>
        <v>352.36999999999989</v>
      </c>
      <c r="AJ64" s="13">
        <f>AI64*VLOOKUP('Données projet'!$B$10,Paramètres!$A$1:$I$89,3,0)*VLOOKUP('Données projet'!$B$10,Paramètres!$A$1:$I$89,5,0)</f>
        <v>164.90915999999996</v>
      </c>
      <c r="AK64" s="13">
        <f t="shared" si="35"/>
        <v>41.947835096187085</v>
      </c>
      <c r="AL64" s="20">
        <f t="shared" si="4"/>
        <v>360.27593312585913</v>
      </c>
      <c r="AM64" s="59">
        <f t="shared" si="5"/>
        <v>622.08811457098841</v>
      </c>
      <c r="AN64" s="59">
        <f ca="1">AVERAGE(OFFSET($AM$3,0,0,'Données projet'!$E$10+1,1))-AVERAGE(OFFSET($H$3,0,0,'Données projet'!$E$10+1,1))</f>
        <v>374.38106339726073</v>
      </c>
      <c r="AO64" s="59">
        <f t="shared" si="36"/>
        <v>296.53283288925957</v>
      </c>
      <c r="AP64" s="15">
        <f>IF(ISNA(VLOOKUP(A64,'Données projet'!$A$61:$I$81,3,0)),0,VLOOKUP(A64,'Données projet'!$A$61:$I$81,3,0))</f>
        <v>2</v>
      </c>
      <c r="AQ64" s="15">
        <f>IF(ISNA(VLOOKUP(A64,'Données projet'!$A$61:$I$81,4,0)),0,VLOOKUP(A64,'Données projet'!$A$61:$I$81,4,0))</f>
        <v>101.36000000000001</v>
      </c>
      <c r="AR64" s="16">
        <f>IF(ISNA(VLOOKUP(A64,'Données projet'!$A$61:$I$81,5,0)),0%,VLOOKUP(A64,'Données projet'!$A$61:$I$81,5,0)*VLOOKUP('Données projet'!$B$10,Paramètres!$A$1:$I$89,7,0))</f>
        <v>0.33</v>
      </c>
      <c r="AS64" s="16">
        <f>IF(ISNA(VLOOKUP(A64,'Données projet'!$A$61:$I$81,6,0)),0%,VLOOKUP(A64,'Données projet'!$A$61:$I$81,6,0)*VLOOKUP('Données projet'!$B$10,Paramètres!$A$1:$I$89,7,0))</f>
        <v>0.11000000000000001</v>
      </c>
      <c r="AT64" s="16">
        <f>IF(ISNA(VLOOKUP(A64,'Données projet'!$A$61:$I$81,7,0)),0%,VLOOKUP(A64,'Données projet'!$A$61:$I$81,7,0))</f>
        <v>0.2</v>
      </c>
      <c r="AU64" s="21">
        <f>EXP(-LN(2)/35)*AU63+(1-EXP(-LN(2)/35))/(LN(2)/35)*AQ64*AR64*VLOOKUP('Données projet'!$B$10,Paramètres!$A$1:$I$89,3,0)*0.475*44/12</f>
        <v>32.948767113940768</v>
      </c>
      <c r="AV64" s="21">
        <f>EXP(-LN(2)/25)*AV63+(1-EXP(-LN(2)/25))/(LN(2)/25)*Calculateur!AQ64*Calculateur!AS64*VLOOKUP('Données projet'!$B$10,Paramètres!$A$1:$I$89,3,0)*0.475*44/12</f>
        <v>23.486351232712469</v>
      </c>
      <c r="AW64" s="21">
        <f>EXP(-LN(2)/2)*AW63+(1-EXP(-LN(2)/2))/(LN(2)/2)*AQ64*AT64*VLOOKUP('Données projet'!$B$10,Paramètres!$A$1:$I$89,3,0)*0.475*44/12</f>
        <v>11.836508468833424</v>
      </c>
      <c r="AX64" s="21">
        <f t="shared" si="6"/>
        <v>68.27162681548667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10.107499999999998</v>
      </c>
      <c r="BD64" s="12">
        <f>IF('Données projet'!$A$88&gt;35,BD63+BC64-BL63,IF(A64&lt;'Données projet'!$A$88,$BA$205^A64,IF(A64='Données projet'!$A$88,'Données projet'!$B$88,BD63+BC64-BL63)))</f>
        <v>236.23250000000027</v>
      </c>
      <c r="BE64" s="13">
        <f>BD64*VLOOKUP('Données projet'!$B$11,Paramètres!$A$1:$I$89,3,0)*VLOOKUP('Données projet'!$B$11,Paramètres!$A$1:$I$89,5,0)</f>
        <v>213.74316600000023</v>
      </c>
      <c r="BF64" s="13">
        <f t="shared" si="37"/>
        <v>52.752718660626023</v>
      </c>
      <c r="BG64" s="20">
        <f t="shared" si="7"/>
        <v>464.14699911725734</v>
      </c>
      <c r="BH64" s="59">
        <f t="shared" si="8"/>
        <v>725.95918056238668</v>
      </c>
      <c r="BI64" s="59">
        <f ca="1">AVERAGE(OFFSET($BH$3,0,0,'Données projet'!$E$11+1,1))-AVERAGE(OFFSET($H$3,0,0,'Données projet'!$E$11+1,1))</f>
        <v>681.47578137804555</v>
      </c>
      <c r="BJ64" s="59">
        <f t="shared" si="38"/>
        <v>300.88511065995885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33.5632537761648</v>
      </c>
      <c r="BR64" s="21">
        <f>EXP(-LN(2)/2)*BR63+(1-EXP(-LN(2)/2))/(LN(2)/2)*BL64*BO64*VLOOKUP('Données projet'!$B$11,Paramètres!$A$1:$I$89,3,0)*0.475*44/12</f>
        <v>3.0370169527464057</v>
      </c>
      <c r="BS64" s="22">
        <f t="shared" si="9"/>
        <v>36.600270728911205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3.2051282051282071</v>
      </c>
      <c r="BY64" s="12">
        <f>IF('Données projet'!$A$114&gt;35,BY63+BX64-CG63,IF(A64&lt;'Données projet'!$A$114,$BV$205^A64,IF(A64='Données projet'!$A$114,'Données projet'!$B$114,BY63+BX64-CG63)))</f>
        <v>124.35897435897441</v>
      </c>
      <c r="BZ64" s="13">
        <f>BY64*VLOOKUP('Données projet'!$B$12,Paramètres!$A$1:$I$89,3,0)*VLOOKUP('Données projet'!$B$12,Paramètres!$A$1:$I$89,5,0)</f>
        <v>129.98000000000008</v>
      </c>
      <c r="CA64" s="13">
        <f t="shared" si="39"/>
        <v>33.991737878182434</v>
      </c>
      <c r="CB64" s="20">
        <f t="shared" si="10"/>
        <v>285.58411013783456</v>
      </c>
      <c r="CC64" s="59">
        <f t="shared" si="11"/>
        <v>547.39629158296384</v>
      </c>
      <c r="CD64" s="59">
        <f ca="1">AVERAGE(OFFSET($CC$3,0,0,'Données projet'!$E$12+1,1))-AVERAGE(OFFSET($H$3,0,0,'Données projet'!$E$12+1,1))</f>
        <v>290.69667785754848</v>
      </c>
      <c r="CE64" s="59">
        <f t="shared" si="40"/>
        <v>256.28124185489082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1.1276408412234487</v>
      </c>
      <c r="CL64" s="21">
        <f>EXP(-LN(2)/25)*CL63+(1-EXP(-LN(2)/25))/(LN(2)/25)*Calculateur!CG64*Calculateur!CI64*VLOOKUP('Données projet'!$B$12,Paramètres!$A$1:$I$89,3,0)*0.475*44/12</f>
        <v>19.090067130770439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20.217707971993889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285.19999999999987</v>
      </c>
      <c r="CU64" s="17">
        <f>CT64*VLOOKUP('Données projet'!$B$13,Paramètres!$A$1:$I$89,3,0)*VLOOKUP('Données projet'!$B$13,Paramètres!$A$1:$I$89,5,0)</f>
        <v>249.15071999999989</v>
      </c>
      <c r="CV64" s="13">
        <f t="shared" si="41"/>
        <v>60.404044320946248</v>
      </c>
      <c r="CW64" s="20">
        <f t="shared" si="13"/>
        <v>539.1412145256478</v>
      </c>
      <c r="CX64" s="59">
        <f t="shared" si="14"/>
        <v>800.95339597077714</v>
      </c>
      <c r="CY64" s="59">
        <f ca="1">AVERAGE(OFFSET($CX$3,0,0,'Données projet'!$E$13+1,1))-AVERAGE(OFFSET($H$3,0,0,'Données projet'!$E$13+1,1))</f>
        <v>408.246209980743</v>
      </c>
      <c r="CZ64" s="59">
        <f t="shared" si="42"/>
        <v>394.10236303013903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15.821581981706785</v>
      </c>
      <c r="DG64" s="21">
        <f>EXP(-LN(2)/25)*DG63+(1-EXP(-LN(2)/25))/(LN(2)/25)*Calculateur!DB64*Calculateur!DD64*VLOOKUP('Données projet'!$B$13,Paramètres!$A$1:$I$89,3,0)*0.475*44/12</f>
        <v>17.975446162028732</v>
      </c>
      <c r="DH64" s="21">
        <f>EXP(-LN(2)/2)*DH63+(1-EXP(-LN(2)/2))/(LN(2)/2)*DB64*DE64*VLOOKUP('Données projet'!$B$13,Paramètres!$A$1:$I$89,3,0)*0.475*44/12</f>
        <v>2.5639687321158808</v>
      </c>
      <c r="DI64" s="22">
        <f t="shared" si="15"/>
        <v>36.360996875851399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18.617142857142849</v>
      </c>
      <c r="DO64" s="12">
        <f>IF('Données projet'!$A$166&gt;35,DO63+DN64-DW63,IF(A64&lt;'Données projet'!$A$166,$DL$205^A64,IF(A64='Données projet'!$A$166,'Données projet'!$B$166,DO63+DN64-DW63)))</f>
        <v>532.44571428571453</v>
      </c>
      <c r="DP64" s="17">
        <f>DO64*VLOOKUP('Données projet'!$B$14,Paramètres!$A$1:$I$89,3,0)*VLOOKUP('Données projet'!$B$14,Paramètres!$A$1:$I$89,5,0)</f>
        <v>297.63715428571442</v>
      </c>
      <c r="DQ64" s="13">
        <f t="shared" si="43"/>
        <v>70.680892526366577</v>
      </c>
      <c r="DR64" s="20">
        <f t="shared" si="16"/>
        <v>641.48726486437431</v>
      </c>
      <c r="DS64" s="59">
        <f t="shared" si="17"/>
        <v>903.29944630950365</v>
      </c>
      <c r="DT64" s="59">
        <f ca="1">AVERAGE(OFFSET($DS$3,0,0,'Données projet'!$E$14+1,1))-AVERAGE(OFFSET($H$3,0,0,'Données projet'!$E$14+1,1))</f>
        <v>407.05634973057056</v>
      </c>
      <c r="DU64" s="59">
        <f t="shared" si="44"/>
        <v>375.32891954889965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78.780749955448471</v>
      </c>
      <c r="EB64" s="21">
        <f>EXP(-LN(2)/25)*EB63+(1-EXP(-LN(2)/25))/(LN(2)/25)*Calculateur!DW64*Calculateur!DY64*VLOOKUP('Données projet'!$B$14,Paramètres!$A$1:$I$89,3,0)*0.475*44/12</f>
        <v>28.762274151221987</v>
      </c>
      <c r="EC64" s="21">
        <f>EXP(-LN(2)/2)*EC63+(1-EXP(-LN(2)/2))/(LN(2)/2)*DW64*DZ64*VLOOKUP('Données projet'!$B$14,Paramètres!$A$1:$I$89,3,0)*0.475*44/12</f>
        <v>2.3603578283441098</v>
      </c>
      <c r="ED64" s="22">
        <f t="shared" si="18"/>
        <v>109.90338193501456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18.600000000000001</v>
      </c>
      <c r="EJ64" s="12">
        <f>IF('Données projet'!$A$192&gt;35,EJ63+EI64-ER63,IF(A64&lt;'Données projet'!$A$192,$EG$205^A64,IF(A64='Données projet'!$A$192,'Données projet'!$B$192,EJ63+EI64-ER63)))</f>
        <v>599.59999999999991</v>
      </c>
      <c r="EK64" s="17">
        <f>EJ64*VLOOKUP('Données projet'!$B$15,Paramètres!$A$1:$I$89,3,0)*VLOOKUP('Données projet'!$B$15,Paramètres!$A$1:$I$89,5,0)</f>
        <v>265.02319999999997</v>
      </c>
      <c r="EL64" s="13">
        <f t="shared" si="45"/>
        <v>63.791925803293047</v>
      </c>
      <c r="EM64" s="20">
        <f t="shared" si="19"/>
        <v>572.68634410740208</v>
      </c>
      <c r="EN64" s="59">
        <f t="shared" si="20"/>
        <v>834.49852555253142</v>
      </c>
      <c r="EO64" s="59">
        <f ca="1">AVERAGE(OFFSET($EN$3,0,0,'Données projet'!$E$15+1,1))-AVERAGE(OFFSET($H$3,0,0,'Données projet'!$E$15+1,1))</f>
        <v>418.28022549686278</v>
      </c>
      <c r="EP64" s="59">
        <f t="shared" si="46"/>
        <v>354.55070454517158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50.850083375725106</v>
      </c>
      <c r="EW64" s="21">
        <f>EXP(-LN(2)/25)*EW63+(1-EXP(-LN(2)/25))/(LN(2)/25)*Calculateur!ER64*Calculateur!ET64*VLOOKUP('Données projet'!$B$15,Paramètres!$A$1:$I$89,3,0)*0.475*44/12</f>
        <v>26.101070006367856</v>
      </c>
      <c r="EX64" s="21">
        <f>EXP(-LN(2)/2)*EX63+(1-EXP(-LN(2)/2))/(LN(2)/2)*ER64*EU64*VLOOKUP('Données projet'!$B$15,Paramètres!$A$1:$I$89,3,0)*0.475*44/12</f>
        <v>4.6756917472022881</v>
      </c>
      <c r="EY64" s="22">
        <f t="shared" si="21"/>
        <v>81.626845129295262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6.8933333333333326</v>
      </c>
      <c r="FE64" s="12">
        <f>IF('Données projet'!$A$218&gt;35,FE63+FD64-FM63,IF(A64&lt;'Données projet'!$A$218,$FB$205^A64,IF(A64='Données projet'!$A$218,'Données projet'!$B$218,FE63+FD64-FM63)))</f>
        <v>135.64333333333323</v>
      </c>
      <c r="FF64" s="17">
        <f>FE64*VLOOKUP('Données projet'!$B$16,Paramètres!$A$1:$I$89,3,0)*VLOOKUP('Données projet'!$B$16,Paramètres!$A$1:$I$89,5,0)</f>
        <v>154.47062799999989</v>
      </c>
      <c r="FG64" s="13">
        <f t="shared" si="47"/>
        <v>39.592808820576636</v>
      </c>
      <c r="FH64" s="20">
        <f t="shared" si="22"/>
        <v>337.99381912917073</v>
      </c>
      <c r="FI64" s="59">
        <f t="shared" si="23"/>
        <v>599.80600057430001</v>
      </c>
      <c r="FJ64" s="59">
        <f ca="1">AVERAGE(OFFSET($FI$3,0,0,'Données projet'!$E$16+1,1))-AVERAGE(OFFSET($H$3,0,0,'Données projet'!$E$16+1,1))</f>
        <v>640.05156427113661</v>
      </c>
      <c r="FK64" s="59">
        <f t="shared" si="48"/>
        <v>308.77220155372902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30.573645313077897</v>
      </c>
      <c r="FS64" s="21">
        <f>EXP(-LN(2)/2)*FS63+(1-EXP(-LN(2)/2))/(LN(2)/2)*FM64*FP64*VLOOKUP('Données projet'!$B$16,Paramètres!$A$1:$I$89,3,0)*0.475*44/12</f>
        <v>11.073005585635689</v>
      </c>
      <c r="FT64" s="22">
        <f t="shared" si="24"/>
        <v>41.646650898713588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1.1368683772161603E-13</v>
      </c>
      <c r="O65" s="13">
        <f>N65*VLOOKUP('Données projet'!$B$9,Paramètres!$A$1:$I$89,3,0)*VLOOKUP('Données projet'!$B$9,Paramètres!$A$1:$I$89,5,0)</f>
        <v>6.7984728957526396E-14</v>
      </c>
      <c r="P65" s="13">
        <f t="shared" si="33"/>
        <v>1.0682447123141398E-12</v>
      </c>
      <c r="Q65" s="20">
        <f t="shared" si="53"/>
        <v>1.978932943548152E-12</v>
      </c>
      <c r="R65" s="59">
        <f t="shared" si="0"/>
        <v>262.35900295965331</v>
      </c>
      <c r="S65" s="59">
        <f ca="1">AVERAGE(OFFSET($R$3,0,0,'Données projet'!$E$9+1,1))-AVERAGE(OFFSET($H$3,0,0,'Données projet'!$E$9+1,1))</f>
        <v>318.50474972254085</v>
      </c>
      <c r="T65" s="59">
        <f t="shared" si="34"/>
        <v>326.45858332753562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133.47623095673652</v>
      </c>
      <c r="AA65" s="21">
        <f>EXP(-LN(2)/25)*AA64+(1-EXP(-LN(2)/25))/(LN(2)/25)*Calculateur!V65*Calculateur!X65*VLOOKUP('Données projet'!$B$9,Paramètres!$A$1:$I$89,3,0)*0.475*44/12</f>
        <v>45.827522241839439</v>
      </c>
      <c r="AB65" s="21">
        <f>EXP(-LN(2)/2)*AB64+(1-EXP(-LN(2)/2))/(LN(2)/2)*V65*Y65*VLOOKUP('Données projet'!$B$9,Paramètres!$A$1:$I$89,3,0)*0.475*44/12</f>
        <v>29.980721411676683</v>
      </c>
      <c r="AC65" s="22">
        <f t="shared" si="3"/>
        <v>209.28447461025263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11.997500000000002</v>
      </c>
      <c r="AI65" s="13">
        <f>IF('Données projet'!$A$62&gt;35,AI64+AH65-AQ64,IF(A65&lt;'Données projet'!$A$62,$AF$205^A65,IF(A65='Données projet'!$A$62,'Données projet'!$B$62,AI64+AH65-AQ64)))</f>
        <v>263.00749999999988</v>
      </c>
      <c r="AJ65" s="13">
        <f>AI65*VLOOKUP('Données projet'!$B$10,Paramètres!$A$1:$I$89,3,0)*VLOOKUP('Données projet'!$B$10,Paramètres!$A$1:$I$89,5,0)</f>
        <v>123.08750999999994</v>
      </c>
      <c r="AK65" s="13">
        <f t="shared" si="35"/>
        <v>32.394042160547578</v>
      </c>
      <c r="AL65" s="20">
        <f t="shared" si="4"/>
        <v>270.79703667962025</v>
      </c>
      <c r="AM65" s="59">
        <f t="shared" si="5"/>
        <v>533.15603963927151</v>
      </c>
      <c r="AN65" s="59">
        <f ca="1">AVERAGE(OFFSET($AM$3,0,0,'Données projet'!$E$10+1,1))-AVERAGE(OFFSET($H$3,0,0,'Données projet'!$E$10+1,1))</f>
        <v>374.38106339726073</v>
      </c>
      <c r="AO65" s="59">
        <f t="shared" si="36"/>
        <v>296.53283288925957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32.302661887599939</v>
      </c>
      <c r="AV65" s="21">
        <f>EXP(-LN(2)/25)*AV64+(1-EXP(-LN(2)/25))/(LN(2)/25)*Calculateur!AQ65*Calculateur!AS65*VLOOKUP('Données projet'!$B$10,Paramètres!$A$1:$I$89,3,0)*0.475*44/12</f>
        <v>22.844115723160414</v>
      </c>
      <c r="AW65" s="21">
        <f>EXP(-LN(2)/2)*AW64+(1-EXP(-LN(2)/2))/(LN(2)/2)*AQ65*AT65*VLOOKUP('Données projet'!$B$10,Paramètres!$A$1:$I$89,3,0)*0.475*44/12</f>
        <v>8.3696754038841128</v>
      </c>
      <c r="AX65" s="21">
        <f t="shared" si="6"/>
        <v>63.516453014644469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10.107499999999998</v>
      </c>
      <c r="BD65" s="12">
        <f>IF('Données projet'!$A$88&gt;35,BD64+BC65-BL64,IF(A65&lt;'Données projet'!$A$88,$BA$205^A65,IF(A65='Données projet'!$A$88,'Données projet'!$B$88,BD64+BC65-BL64)))</f>
        <v>246.34000000000026</v>
      </c>
      <c r="BE65" s="13">
        <f>BD65*VLOOKUP('Données projet'!$B$11,Paramètres!$A$1:$I$89,3,0)*VLOOKUP('Données projet'!$B$11,Paramètres!$A$1:$I$89,5,0)</f>
        <v>222.88843200000022</v>
      </c>
      <c r="BF65" s="13">
        <f t="shared" si="37"/>
        <v>54.74219476708182</v>
      </c>
      <c r="BG65" s="20">
        <f t="shared" si="7"/>
        <v>483.54000828600118</v>
      </c>
      <c r="BH65" s="59">
        <f t="shared" si="8"/>
        <v>745.89901124565245</v>
      </c>
      <c r="BI65" s="59">
        <f ca="1">AVERAGE(OFFSET($BH$3,0,0,'Données projet'!$E$11+1,1))-AVERAGE(OFFSET($H$3,0,0,'Données projet'!$E$11+1,1))</f>
        <v>681.47578137804555</v>
      </c>
      <c r="BJ65" s="59">
        <f t="shared" si="38"/>
        <v>300.88511065995885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32.64546483664077</v>
      </c>
      <c r="BR65" s="21">
        <f>EXP(-LN(2)/2)*BR64+(1-EXP(-LN(2)/2))/(LN(2)/2)*BL65*BO65*VLOOKUP('Données projet'!$B$11,Paramètres!$A$1:$I$89,3,0)*0.475*44/12</f>
        <v>2.147495281865488</v>
      </c>
      <c r="BS65" s="22">
        <f t="shared" si="9"/>
        <v>34.792960118506258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3.2051282051282071</v>
      </c>
      <c r="BY65" s="12">
        <f>IF('Données projet'!$A$114&gt;35,BY64+BX65-CG64,IF(A65&lt;'Données projet'!$A$114,$BV$205^A65,IF(A65='Données projet'!$A$114,'Données projet'!$B$114,BY64+BX65-CG64)))</f>
        <v>127.56410256410261</v>
      </c>
      <c r="BZ65" s="13">
        <f>BY65*VLOOKUP('Données projet'!$B$12,Paramètres!$A$1:$I$89,3,0)*VLOOKUP('Données projet'!$B$12,Paramètres!$A$1:$I$89,5,0)</f>
        <v>133.33000000000007</v>
      </c>
      <c r="CA65" s="13">
        <f t="shared" si="39"/>
        <v>34.764688219504073</v>
      </c>
      <c r="CB65" s="20">
        <f t="shared" si="10"/>
        <v>292.76491531563642</v>
      </c>
      <c r="CC65" s="59">
        <f t="shared" si="11"/>
        <v>555.12391827528768</v>
      </c>
      <c r="CD65" s="59">
        <f ca="1">AVERAGE(OFFSET($CC$3,0,0,'Données projet'!$E$12+1,1))-AVERAGE(OFFSET($H$3,0,0,'Données projet'!$E$12+1,1))</f>
        <v>290.69667785754848</v>
      </c>
      <c r="CE65" s="59">
        <f t="shared" si="40"/>
        <v>256.28124185489082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1.1055284921200561</v>
      </c>
      <c r="CL65" s="21">
        <f>EXP(-LN(2)/25)*CL64+(1-EXP(-LN(2)/25))/(LN(2)/25)*Calculateur!CG65*Calculateur!CI65*VLOOKUP('Données projet'!$B$12,Paramètres!$A$1:$I$89,3,0)*0.475*44/12</f>
        <v>18.568048241176523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19.673576733296578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290.39999999999986</v>
      </c>
      <c r="CU65" s="17">
        <f>CT65*VLOOKUP('Données projet'!$B$13,Paramètres!$A$1:$I$89,3,0)*VLOOKUP('Données projet'!$B$13,Paramètres!$A$1:$I$89,5,0)</f>
        <v>253.69343999999992</v>
      </c>
      <c r="CV65" s="13">
        <f t="shared" si="41"/>
        <v>61.376159112289358</v>
      </c>
      <c r="CW65" s="20">
        <f t="shared" si="13"/>
        <v>548.74621845390379</v>
      </c>
      <c r="CX65" s="59">
        <f t="shared" si="14"/>
        <v>811.10522141355511</v>
      </c>
      <c r="CY65" s="59">
        <f ca="1">AVERAGE(OFFSET($CX$3,0,0,'Données projet'!$E$13+1,1))-AVERAGE(OFFSET($H$3,0,0,'Données projet'!$E$13+1,1))</f>
        <v>408.246209980743</v>
      </c>
      <c r="CZ65" s="59">
        <f t="shared" si="42"/>
        <v>394.10236303013903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15.511330409257646</v>
      </c>
      <c r="DG65" s="21">
        <f>EXP(-LN(2)/25)*DG64+(1-EXP(-LN(2)/25))/(LN(2)/25)*Calculateur!DB65*Calculateur!DD65*VLOOKUP('Données projet'!$B$13,Paramètres!$A$1:$I$89,3,0)*0.475*44/12</f>
        <v>17.483906641440427</v>
      </c>
      <c r="DH65" s="21">
        <f>EXP(-LN(2)/2)*DH64+(1-EXP(-LN(2)/2))/(LN(2)/2)*DB65*DE65*VLOOKUP('Données projet'!$B$13,Paramètres!$A$1:$I$89,3,0)*0.475*44/12</f>
        <v>1.8129996772294139</v>
      </c>
      <c r="DI65" s="22">
        <f t="shared" si="15"/>
        <v>34.808236727927486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18.617142857142849</v>
      </c>
      <c r="DO65" s="12">
        <f>IF('Données projet'!$A$166&gt;35,DO64+DN65-DW64,IF(A65&lt;'Données projet'!$A$166,$DL$205^A65,IF(A65='Données projet'!$A$166,'Données projet'!$B$166,DO64+DN65-DW64)))</f>
        <v>551.06285714285741</v>
      </c>
      <c r="DP65" s="17">
        <f>DO65*VLOOKUP('Données projet'!$B$14,Paramètres!$A$1:$I$89,3,0)*VLOOKUP('Données projet'!$B$14,Paramètres!$A$1:$I$89,5,0)</f>
        <v>308.04413714285727</v>
      </c>
      <c r="DQ65" s="13">
        <f t="shared" si="43"/>
        <v>72.860217822174434</v>
      </c>
      <c r="DR65" s="20">
        <f t="shared" si="16"/>
        <v>663.40841823076346</v>
      </c>
      <c r="DS65" s="59">
        <f t="shared" si="17"/>
        <v>925.76742119041478</v>
      </c>
      <c r="DT65" s="59">
        <f ca="1">AVERAGE(OFFSET($DS$3,0,0,'Données projet'!$E$14+1,1))-AVERAGE(OFFSET($H$3,0,0,'Données projet'!$E$14+1,1))</f>
        <v>407.05634973057056</v>
      </c>
      <c r="DU65" s="59">
        <f t="shared" si="44"/>
        <v>375.32891954889965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77.235907500334903</v>
      </c>
      <c r="EB65" s="21">
        <f>EXP(-LN(2)/25)*EB64+(1-EXP(-LN(2)/25))/(LN(2)/25)*Calculateur!DW65*Calculateur!DY65*VLOOKUP('Données projet'!$B$14,Paramètres!$A$1:$I$89,3,0)*0.475*44/12</f>
        <v>27.975768252014561</v>
      </c>
      <c r="EC65" s="21">
        <f>EXP(-LN(2)/2)*EC64+(1-EXP(-LN(2)/2))/(LN(2)/2)*DW65*DZ65*VLOOKUP('Données projet'!$B$14,Paramètres!$A$1:$I$89,3,0)*0.475*44/12</f>
        <v>1.6690250264488731</v>
      </c>
      <c r="ED65" s="22">
        <f t="shared" si="18"/>
        <v>106.88070077879834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18.600000000000001</v>
      </c>
      <c r="EJ65" s="12">
        <f>IF('Données projet'!$A$192&gt;35,EJ64+EI65-ER64,IF(A65&lt;'Données projet'!$A$192,$EG$205^A65,IF(A65='Données projet'!$A$192,'Données projet'!$B$192,EJ64+EI65-ER64)))</f>
        <v>618.19999999999993</v>
      </c>
      <c r="EK65" s="17">
        <f>EJ65*VLOOKUP('Données projet'!$B$15,Paramètres!$A$1:$I$89,3,0)*VLOOKUP('Données projet'!$B$15,Paramètres!$A$1:$I$89,5,0)</f>
        <v>273.24439999999998</v>
      </c>
      <c r="EL65" s="13">
        <f t="shared" si="45"/>
        <v>65.537333458790869</v>
      </c>
      <c r="EM65" s="20">
        <f t="shared" si="19"/>
        <v>590.04485244072748</v>
      </c>
      <c r="EN65" s="59">
        <f t="shared" si="20"/>
        <v>852.4038554003788</v>
      </c>
      <c r="EO65" s="59">
        <f ca="1">AVERAGE(OFFSET($EN$3,0,0,'Données projet'!$E$15+1,1))-AVERAGE(OFFSET($H$3,0,0,'Données projet'!$E$15+1,1))</f>
        <v>418.28022549686278</v>
      </c>
      <c r="EP65" s="59">
        <f t="shared" si="46"/>
        <v>354.55070454517158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49.852944256215473</v>
      </c>
      <c r="EW65" s="21">
        <f>EXP(-LN(2)/25)*EW64+(1-EXP(-LN(2)/25))/(LN(2)/25)*Calculateur!ER65*Calculateur!ET65*VLOOKUP('Données projet'!$B$15,Paramètres!$A$1:$I$89,3,0)*0.475*44/12</f>
        <v>25.387334874448111</v>
      </c>
      <c r="EX65" s="21">
        <f>EXP(-LN(2)/2)*EX64+(1-EXP(-LN(2)/2))/(LN(2)/2)*ER65*EU65*VLOOKUP('Données projet'!$B$15,Paramètres!$A$1:$I$89,3,0)*0.475*44/12</f>
        <v>3.3062133411847148</v>
      </c>
      <c r="EY65" s="22">
        <f t="shared" si="21"/>
        <v>78.546492471848296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6.8933333333333326</v>
      </c>
      <c r="FE65" s="12">
        <f>IF('Données projet'!$A$218&gt;35,FE64+FD65-FM64,IF(A65&lt;'Données projet'!$A$218,$FB$205^A65,IF(A65='Données projet'!$A$218,'Données projet'!$B$218,FE64+FD65-FM64)))</f>
        <v>142.53666666666658</v>
      </c>
      <c r="FF65" s="17">
        <f>FE65*VLOOKUP('Données projet'!$B$16,Paramètres!$A$1:$I$89,3,0)*VLOOKUP('Données projet'!$B$16,Paramètres!$A$1:$I$89,5,0)</f>
        <v>162.3207559999999</v>
      </c>
      <c r="FG65" s="13">
        <f t="shared" si="47"/>
        <v>41.365528881594308</v>
      </c>
      <c r="FH65" s="20">
        <f t="shared" si="22"/>
        <v>354.75361283544322</v>
      </c>
      <c r="FI65" s="59">
        <f t="shared" si="23"/>
        <v>617.1126157950946</v>
      </c>
      <c r="FJ65" s="59">
        <f ca="1">AVERAGE(OFFSET($FI$3,0,0,'Données projet'!$E$16+1,1))-AVERAGE(OFFSET($H$3,0,0,'Données projet'!$E$16+1,1))</f>
        <v>640.05156427113661</v>
      </c>
      <c r="FK65" s="59">
        <f t="shared" si="48"/>
        <v>308.77220155372902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29.737607374193651</v>
      </c>
      <c r="FS65" s="21">
        <f>EXP(-LN(2)/2)*FS64+(1-EXP(-LN(2)/2))/(LN(2)/2)*FM65*FP65*VLOOKUP('Données projet'!$B$16,Paramètres!$A$1:$I$89,3,0)*0.475*44/12</f>
        <v>7.8297973377195147</v>
      </c>
      <c r="FT65" s="22">
        <f t="shared" si="24"/>
        <v>37.567404711913163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1.1368683772161603E-13</v>
      </c>
      <c r="O66" s="13">
        <f>N66*VLOOKUP('Données projet'!$B$9,Paramètres!$A$1:$I$89,3,0)*VLOOKUP('Données projet'!$B$9,Paramètres!$A$1:$I$89,5,0)</f>
        <v>6.7984728957526396E-14</v>
      </c>
      <c r="P66" s="13">
        <f t="shared" si="33"/>
        <v>1.0682447123141398E-12</v>
      </c>
      <c r="Q66" s="20">
        <f t="shared" si="53"/>
        <v>1.978932943548152E-12</v>
      </c>
      <c r="R66" s="59">
        <f t="shared" si="0"/>
        <v>262.8963383434081</v>
      </c>
      <c r="S66" s="59">
        <f ca="1">AVERAGE(OFFSET($R$3,0,0,'Données projet'!$E$9+1,1))-AVERAGE(OFFSET($H$3,0,0,'Données projet'!$E$9+1,1))</f>
        <v>318.50474972254085</v>
      </c>
      <c r="T66" s="59">
        <f t="shared" si="34"/>
        <v>326.45858332753562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130.85884348013698</v>
      </c>
      <c r="AA66" s="21">
        <f>EXP(-LN(2)/25)*AA65+(1-EXP(-LN(2)/25))/(LN(2)/25)*Calculateur!V66*Calculateur!X66*VLOOKUP('Données projet'!$B$9,Paramètres!$A$1:$I$89,3,0)*0.475*44/12</f>
        <v>44.574366236171684</v>
      </c>
      <c r="AB66" s="21">
        <f>EXP(-LN(2)/2)*AB65+(1-EXP(-LN(2)/2))/(LN(2)/2)*V66*Y66*VLOOKUP('Données projet'!$B$9,Paramètres!$A$1:$I$89,3,0)*0.475*44/12</f>
        <v>21.199571415061307</v>
      </c>
      <c r="AC66" s="22">
        <f t="shared" si="3"/>
        <v>196.63278113137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11.997500000000002</v>
      </c>
      <c r="AI66" s="13">
        <f>IF('Données projet'!$A$62&gt;35,AI65+AH66-AQ65,IF(A66&lt;'Données projet'!$A$62,$AF$205^A66,IF(A66='Données projet'!$A$62,'Données projet'!$B$62,AI65+AH66-AQ65)))</f>
        <v>275.00499999999988</v>
      </c>
      <c r="AJ66" s="13">
        <f>AI66*VLOOKUP('Données projet'!$B$10,Paramètres!$A$1:$I$89,3,0)*VLOOKUP('Données projet'!$B$10,Paramètres!$A$1:$I$89,5,0)</f>
        <v>128.70233999999996</v>
      </c>
      <c r="AK66" s="13">
        <f t="shared" si="35"/>
        <v>33.69633335682834</v>
      </c>
      <c r="AL66" s="20">
        <f t="shared" si="4"/>
        <v>282.84435609647596</v>
      </c>
      <c r="AM66" s="59">
        <f t="shared" si="5"/>
        <v>545.74069443988208</v>
      </c>
      <c r="AN66" s="59">
        <f ca="1">AVERAGE(OFFSET($AM$3,0,0,'Données projet'!$E$10+1,1))-AVERAGE(OFFSET($H$3,0,0,'Données projet'!$E$10+1,1))</f>
        <v>374.38106339726073</v>
      </c>
      <c r="AO66" s="59">
        <f t="shared" si="36"/>
        <v>296.53283288925957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31.669226390662377</v>
      </c>
      <c r="AV66" s="21">
        <f>EXP(-LN(2)/25)*AV65+(1-EXP(-LN(2)/25))/(LN(2)/25)*Calculateur!AQ66*Calculateur!AS66*VLOOKUP('Données projet'!$B$10,Paramètres!$A$1:$I$89,3,0)*0.475*44/12</f>
        <v>22.219442177390757</v>
      </c>
      <c r="AW66" s="21">
        <f>EXP(-LN(2)/2)*AW65+(1-EXP(-LN(2)/2))/(LN(2)/2)*AQ66*AT66*VLOOKUP('Données projet'!$B$10,Paramètres!$A$1:$I$89,3,0)*0.475*44/12</f>
        <v>5.9182542344167128</v>
      </c>
      <c r="AX66" s="21">
        <f t="shared" si="6"/>
        <v>59.806922802469849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10.107499999999998</v>
      </c>
      <c r="BD66" s="12">
        <f>IF('Données projet'!$A$88&gt;35,BD65+BC66-BL65,IF(A66&lt;'Données projet'!$A$88,$BA$205^A66,IF(A66='Données projet'!$A$88,'Données projet'!$B$88,BD65+BC66-BL65)))</f>
        <v>256.44750000000028</v>
      </c>
      <c r="BE66" s="13">
        <f>BD66*VLOOKUP('Données projet'!$B$11,Paramètres!$A$1:$I$89,3,0)*VLOOKUP('Données projet'!$B$11,Paramètres!$A$1:$I$89,5,0)</f>
        <v>232.03369800000024</v>
      </c>
      <c r="BF66" s="13">
        <f t="shared" si="37"/>
        <v>56.722189034958802</v>
      </c>
      <c r="BG66" s="20">
        <f t="shared" si="7"/>
        <v>502.91650325255364</v>
      </c>
      <c r="BH66" s="59">
        <f t="shared" si="8"/>
        <v>765.81284159595975</v>
      </c>
      <c r="BI66" s="59">
        <f ca="1">AVERAGE(OFFSET($BH$3,0,0,'Données projet'!$E$11+1,1))-AVERAGE(OFFSET($H$3,0,0,'Données projet'!$E$11+1,1))</f>
        <v>681.47578137804555</v>
      </c>
      <c r="BJ66" s="59">
        <f t="shared" si="38"/>
        <v>300.88511065995885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31.752772883932444</v>
      </c>
      <c r="BR66" s="21">
        <f>EXP(-LN(2)/2)*BR65+(1-EXP(-LN(2)/2))/(LN(2)/2)*BL66*BO66*VLOOKUP('Données projet'!$B$11,Paramètres!$A$1:$I$89,3,0)*0.475*44/12</f>
        <v>1.5185084763732029</v>
      </c>
      <c r="BS66" s="22">
        <f t="shared" si="9"/>
        <v>33.27128136030565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3.2051282051282071</v>
      </c>
      <c r="BY66" s="12">
        <f>IF('Données projet'!$A$114&gt;35,BY65+BX66-CG65,IF(A66&lt;'Données projet'!$A$114,$BV$205^A66,IF(A66='Données projet'!$A$114,'Données projet'!$B$114,BY65+BX66-CG65)))</f>
        <v>130.76923076923083</v>
      </c>
      <c r="BZ66" s="13">
        <f>BY66*VLOOKUP('Données projet'!$B$12,Paramètres!$A$1:$I$89,3,0)*VLOOKUP('Données projet'!$B$12,Paramètres!$A$1:$I$89,5,0)</f>
        <v>136.68000000000006</v>
      </c>
      <c r="CA66" s="13">
        <f t="shared" si="39"/>
        <v>35.535381023829878</v>
      </c>
      <c r="CB66" s="20">
        <f t="shared" si="10"/>
        <v>299.94178861650374</v>
      </c>
      <c r="CC66" s="59">
        <f t="shared" si="11"/>
        <v>562.83812695990991</v>
      </c>
      <c r="CD66" s="59">
        <f ca="1">AVERAGE(OFFSET($CC$3,0,0,'Données projet'!$E$12+1,1))-AVERAGE(OFFSET($H$3,0,0,'Données projet'!$E$12+1,1))</f>
        <v>290.69667785754848</v>
      </c>
      <c r="CE66" s="59">
        <f t="shared" si="40"/>
        <v>256.28124185489082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1.0838497526953799</v>
      </c>
      <c r="CL66" s="21">
        <f>EXP(-LN(2)/25)*CL65+(1-EXP(-LN(2)/25))/(LN(2)/25)*Calculateur!CG66*Calculateur!CI66*VLOOKUP('Données projet'!$B$12,Paramètres!$A$1:$I$89,3,0)*0.475*44/12</f>
        <v>18.060303985570332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19.144153738265711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295.59999999999985</v>
      </c>
      <c r="CU66" s="17">
        <f>CT66*VLOOKUP('Données projet'!$B$13,Paramètres!$A$1:$I$89,3,0)*VLOOKUP('Données projet'!$B$13,Paramètres!$A$1:$I$89,5,0)</f>
        <v>258.23615999999993</v>
      </c>
      <c r="CV66" s="13">
        <f t="shared" si="41"/>
        <v>62.346249722937728</v>
      </c>
      <c r="CW66" s="20">
        <f t="shared" si="13"/>
        <v>558.34769693411636</v>
      </c>
      <c r="CX66" s="59">
        <f t="shared" si="14"/>
        <v>821.24403527752247</v>
      </c>
      <c r="CY66" s="59">
        <f ca="1">AVERAGE(OFFSET($CX$3,0,0,'Données projet'!$E$13+1,1))-AVERAGE(OFFSET($H$3,0,0,'Données projet'!$E$13+1,1))</f>
        <v>408.246209980743</v>
      </c>
      <c r="CZ66" s="59">
        <f t="shared" si="42"/>
        <v>394.10236303013903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15.207162680909459</v>
      </c>
      <c r="DG66" s="21">
        <f>EXP(-LN(2)/25)*DG65+(1-EXP(-LN(2)/25))/(LN(2)/25)*Calculateur!DB66*Calculateur!DD66*VLOOKUP('Données projet'!$B$13,Paramètres!$A$1:$I$89,3,0)*0.475*44/12</f>
        <v>17.005808294891548</v>
      </c>
      <c r="DH66" s="21">
        <f>EXP(-LN(2)/2)*DH65+(1-EXP(-LN(2)/2))/(LN(2)/2)*DB66*DE66*VLOOKUP('Données projet'!$B$13,Paramètres!$A$1:$I$89,3,0)*0.475*44/12</f>
        <v>1.2819843660579406</v>
      </c>
      <c r="DI66" s="22">
        <f t="shared" si="15"/>
        <v>33.494955341858947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569.67999999999995</v>
      </c>
      <c r="DM66" s="12">
        <f>VLOOKUP(A66,'Données projet'!$A$165:$I$185,9,0)</f>
        <v>18.617142857142849</v>
      </c>
      <c r="DN66" s="12">
        <f t="array" ref="DN66">INDEX(DM:DM,MIN(IF(ISNUMBER(DM66:DM262),ROW(DM66:DM262),"")))</f>
        <v>18.617142857142849</v>
      </c>
      <c r="DO66" s="12">
        <f>IF('Données projet'!$A$166&gt;35,DO65+DN66-DW65,IF(A66&lt;'Données projet'!$A$166,$DL$205^A66,IF(A66='Données projet'!$A$166,'Données projet'!$B$166,DO65+DN66-DW65)))</f>
        <v>569.68000000000029</v>
      </c>
      <c r="DP66" s="17">
        <f>DO66*VLOOKUP('Données projet'!$B$14,Paramètres!$A$1:$I$89,3,0)*VLOOKUP('Données projet'!$B$14,Paramètres!$A$1:$I$89,5,0)</f>
        <v>318.45112000000017</v>
      </c>
      <c r="DQ66" s="13">
        <f t="shared" si="43"/>
        <v>75.030988106995281</v>
      </c>
      <c r="DR66" s="20">
        <f t="shared" si="16"/>
        <v>685.31467161968374</v>
      </c>
      <c r="DS66" s="59">
        <f t="shared" si="17"/>
        <v>948.21100996308985</v>
      </c>
      <c r="DT66" s="59">
        <f ca="1">AVERAGE(OFFSET($DS$3,0,0,'Données projet'!$E$14+1,1))-AVERAGE(OFFSET($H$3,0,0,'Données projet'!$E$14+1,1))</f>
        <v>407.05634973057056</v>
      </c>
      <c r="DU66" s="59">
        <f t="shared" si="44"/>
        <v>375.32891954889965</v>
      </c>
      <c r="DV66" s="15">
        <f>IF(ISNA(VLOOKUP(A66,'Données projet'!$A$165:$I$185,3,0)),0,VLOOKUP(A66,'Données projet'!$A$165:$I$185,3,0))</f>
        <v>7</v>
      </c>
      <c r="DW66" s="15">
        <f>IF(ISNA(VLOOKUP(A66,'Données projet'!$A$165:$I$185,4,0)),0,VLOOKUP(A66,'Données projet'!$A$165:$I$185,4,0))</f>
        <v>99.599999999999966</v>
      </c>
      <c r="DX66" s="16">
        <f>IF(ISNA(VLOOKUP(A66,'Données projet'!$A$165:$I$185,5,0)),0%,VLOOKUP(A66,'Données projet'!$A$165:$I$185,5,0)*VLOOKUP('Données projet'!$B$14,Paramètres!$A$1:$I$89,7,0))</f>
        <v>0.33</v>
      </c>
      <c r="DY66" s="16">
        <f>IF(ISNA(VLOOKUP(A66,'Données projet'!$A$165:$I$185,6,0)),0%,VLOOKUP(A66,'Données projet'!$A$165:$I$185,6,0)*VLOOKUP('Données projet'!$B$14,Paramètres!$A$1:$I$89,7,0))</f>
        <v>0.11000000000000001</v>
      </c>
      <c r="DZ66" s="16">
        <f>IF(ISNA(VLOOKUP(A66,'Données projet'!$A$165:$I$185,7,0)),0%,VLOOKUP(A66,'Données projet'!$A$165:$I$185,7,0))</f>
        <v>0.2</v>
      </c>
      <c r="EA66" s="21">
        <f>EXP(-LN(2)/35)*EA65+(1-EXP(-LN(2)/35))/(LN(2)/35)*DW66*DX66*VLOOKUP('Données projet'!$B$14,Paramètres!$A$1:$I$89,3,0)*0.475*44/12</f>
        <v>100.09460843496048</v>
      </c>
      <c r="EB66" s="21">
        <f>EXP(-LN(2)/25)*EB65+(1-EXP(-LN(2)/25))/(LN(2)/25)*Calculateur!DW66*Calculateur!DY66*VLOOKUP('Données projet'!$B$14,Paramètres!$A$1:$I$89,3,0)*0.475*44/12</f>
        <v>35.303197131108604</v>
      </c>
      <c r="EC66" s="21">
        <f>EXP(-LN(2)/2)*EC65+(1-EXP(-LN(2)/2))/(LN(2)/2)*DW66*DZ66*VLOOKUP('Données projet'!$B$14,Paramètres!$A$1:$I$89,3,0)*0.475*44/12</f>
        <v>13.787902572172555</v>
      </c>
      <c r="ED66" s="22">
        <f t="shared" si="18"/>
        <v>149.18570813824164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18.600000000000001</v>
      </c>
      <c r="EJ66" s="12">
        <f>IF('Données projet'!$A$192&gt;35,EJ65+EI66-ER65,IF(A66&lt;'Données projet'!$A$192,$EG$205^A66,IF(A66='Données projet'!$A$192,'Données projet'!$B$192,EJ65+EI66-ER65)))</f>
        <v>636.79999999999995</v>
      </c>
      <c r="EK66" s="17">
        <f>EJ66*VLOOKUP('Données projet'!$B$15,Paramètres!$A$1:$I$89,3,0)*VLOOKUP('Données projet'!$B$15,Paramètres!$A$1:$I$89,5,0)</f>
        <v>281.46559999999999</v>
      </c>
      <c r="EL66" s="13">
        <f t="shared" si="45"/>
        <v>67.276638122675294</v>
      </c>
      <c r="EM66" s="20">
        <f t="shared" si="19"/>
        <v>607.39273139699276</v>
      </c>
      <c r="EN66" s="59">
        <f t="shared" si="20"/>
        <v>870.28906974039887</v>
      </c>
      <c r="EO66" s="59">
        <f ca="1">AVERAGE(OFFSET($EN$3,0,0,'Données projet'!$E$15+1,1))-AVERAGE(OFFSET($H$3,0,0,'Données projet'!$E$15+1,1))</f>
        <v>418.28022549686278</v>
      </c>
      <c r="EP66" s="59">
        <f t="shared" si="46"/>
        <v>354.55070454517158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48.87535842664461</v>
      </c>
      <c r="EW66" s="21">
        <f>EXP(-LN(2)/25)*EW65+(1-EXP(-LN(2)/25))/(LN(2)/25)*Calculateur!ER66*Calculateur!ET66*VLOOKUP('Données projet'!$B$15,Paramètres!$A$1:$I$89,3,0)*0.475*44/12</f>
        <v>24.693116867244409</v>
      </c>
      <c r="EX66" s="21">
        <f>EXP(-LN(2)/2)*EX65+(1-EXP(-LN(2)/2))/(LN(2)/2)*ER66*EU66*VLOOKUP('Données projet'!$B$15,Paramètres!$A$1:$I$89,3,0)*0.475*44/12</f>
        <v>2.3378458736011445</v>
      </c>
      <c r="EY66" s="22">
        <f t="shared" si="21"/>
        <v>75.906321167490162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6.8933333333333326</v>
      </c>
      <c r="FE66" s="12">
        <f>IF('Données projet'!$A$218&gt;35,FE65+FD66-FM65,IF(A66&lt;'Données projet'!$A$218,$FB$205^A66,IF(A66='Données projet'!$A$218,'Données projet'!$B$218,FE65+FD66-FM65)))</f>
        <v>149.42999999999992</v>
      </c>
      <c r="FF66" s="17">
        <f>FE66*VLOOKUP('Données projet'!$B$16,Paramètres!$A$1:$I$89,3,0)*VLOOKUP('Données projet'!$B$16,Paramètres!$A$1:$I$89,5,0)</f>
        <v>170.17088399999992</v>
      </c>
      <c r="FG66" s="13">
        <f t="shared" si="47"/>
        <v>43.128293678549916</v>
      </c>
      <c r="FH66" s="20">
        <f t="shared" si="22"/>
        <v>371.4960677901409</v>
      </c>
      <c r="FI66" s="59">
        <f t="shared" si="23"/>
        <v>634.39240613354696</v>
      </c>
      <c r="FJ66" s="59">
        <f ca="1">AVERAGE(OFFSET($FI$3,0,0,'Données projet'!$E$16+1,1))-AVERAGE(OFFSET($H$3,0,0,'Données projet'!$E$16+1,1))</f>
        <v>640.05156427113661</v>
      </c>
      <c r="FK66" s="59">
        <f t="shared" si="48"/>
        <v>308.77220155372902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28.92443093671352</v>
      </c>
      <c r="FS66" s="21">
        <f>EXP(-LN(2)/2)*FS65+(1-EXP(-LN(2)/2))/(LN(2)/2)*FM66*FP66*VLOOKUP('Données projet'!$B$16,Paramètres!$A$1:$I$89,3,0)*0.475*44/12</f>
        <v>5.5365027928178456</v>
      </c>
      <c r="FT66" s="22">
        <f t="shared" si="24"/>
        <v>34.460933729531362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1.1368683772161603E-13</v>
      </c>
      <c r="O67" s="13">
        <f>N67*VLOOKUP('Données projet'!$B$9,Paramètres!$A$1:$I$89,3,0)*VLOOKUP('Données projet'!$B$9,Paramètres!$A$1:$I$89,5,0)</f>
        <v>6.7984728957526396E-14</v>
      </c>
      <c r="P67" s="13">
        <f t="shared" si="33"/>
        <v>1.0682447123141398E-12</v>
      </c>
      <c r="Q67" s="20">
        <f t="shared" ref="Q67:Q98" si="54">(O67+P67)*0.475*44/12</f>
        <v>1.978932943548152E-12</v>
      </c>
      <c r="R67" s="59">
        <f t="shared" ref="R67:R130" si="55">Q67+(I67+J67)*44/12</f>
        <v>263.42435215955675</v>
      </c>
      <c r="S67" s="59">
        <f ca="1">AVERAGE(OFFSET($R$3,0,0,'Données projet'!$E$9+1,1))-AVERAGE(OFFSET($H$3,0,0,'Données projet'!$E$9+1,1))</f>
        <v>318.50474972254085</v>
      </c>
      <c r="T67" s="59">
        <f t="shared" si="34"/>
        <v>326.45858332753562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128.29278137550483</v>
      </c>
      <c r="AA67" s="21">
        <f>EXP(-LN(2)/25)*AA66+(1-EXP(-LN(2)/25))/(LN(2)/25)*Calculateur!V67*Calculateur!X67*VLOOKUP('Données projet'!$B$9,Paramètres!$A$1:$I$89,3,0)*0.475*44/12</f>
        <v>43.355477847379525</v>
      </c>
      <c r="AB67" s="21">
        <f>EXP(-LN(2)/2)*AB66+(1-EXP(-LN(2)/2))/(LN(2)/2)*V67*Y67*VLOOKUP('Données projet'!$B$9,Paramètres!$A$1:$I$89,3,0)*0.475*44/12</f>
        <v>14.990360705838345</v>
      </c>
      <c r="AC67" s="22">
        <f t="shared" si="3"/>
        <v>186.6386199287227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11.997500000000002</v>
      </c>
      <c r="AI67" s="13">
        <f>IF('Données projet'!$A$62&gt;35,AI66+AH67-AQ66,IF(A67&lt;'Données projet'!$A$62,$AF$205^A67,IF(A67='Données projet'!$A$62,'Données projet'!$B$62,AI66+AH67-AQ66)))</f>
        <v>287.00249999999988</v>
      </c>
      <c r="AJ67" s="13">
        <f>AI67*VLOOKUP('Données projet'!$B$10,Paramètres!$A$1:$I$89,3,0)*VLOOKUP('Données projet'!$B$10,Paramètres!$A$1:$I$89,5,0)</f>
        <v>134.31716999999995</v>
      </c>
      <c r="AK67" s="13">
        <f t="shared" si="35"/>
        <v>34.992025911781333</v>
      </c>
      <c r="AL67" s="20">
        <f t="shared" si="4"/>
        <v>294.88018287968566</v>
      </c>
      <c r="AM67" s="59">
        <f t="shared" si="5"/>
        <v>558.30453503924036</v>
      </c>
      <c r="AN67" s="59">
        <f ca="1">AVERAGE(OFFSET($AM$3,0,0,'Données projet'!$E$10+1,1))-AVERAGE(OFFSET($H$3,0,0,'Données projet'!$E$10+1,1))</f>
        <v>374.38106339726073</v>
      </c>
      <c r="AO67" s="59">
        <f t="shared" si="36"/>
        <v>296.53283288925957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31.048212177462258</v>
      </c>
      <c r="AV67" s="21">
        <f>EXP(-LN(2)/25)*AV66+(1-EXP(-LN(2)/25))/(LN(2)/25)*Calculateur!AQ67*Calculateur!AS67*VLOOKUP('Données projet'!$B$10,Paramètres!$A$1:$I$89,3,0)*0.475*44/12</f>
        <v>21.611850362580327</v>
      </c>
      <c r="AW67" s="21">
        <f>EXP(-LN(2)/2)*AW66+(1-EXP(-LN(2)/2))/(LN(2)/2)*AQ67*AT67*VLOOKUP('Données projet'!$B$10,Paramètres!$A$1:$I$89,3,0)*0.475*44/12</f>
        <v>4.1848377019420573</v>
      </c>
      <c r="AX67" s="21">
        <f t="shared" si="6"/>
        <v>56.844900241984647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10.107499999999998</v>
      </c>
      <c r="BD67" s="12">
        <f>IF('Données projet'!$A$88&gt;35,BD66+BC67-BL66,IF(A67&lt;'Données projet'!$A$88,$BA$205^A67,IF(A67='Données projet'!$A$88,'Données projet'!$B$88,BD66+BC67-BL66)))</f>
        <v>266.55500000000029</v>
      </c>
      <c r="BE67" s="13">
        <f>BD67*VLOOKUP('Données projet'!$B$11,Paramètres!$A$1:$I$89,3,0)*VLOOKUP('Données projet'!$B$11,Paramètres!$A$1:$I$89,5,0)</f>
        <v>241.17896400000026</v>
      </c>
      <c r="BF67" s="13">
        <f t="shared" si="37"/>
        <v>58.693117941200413</v>
      </c>
      <c r="BG67" s="20">
        <f t="shared" si="7"/>
        <v>522.27720938092455</v>
      </c>
      <c r="BH67" s="59">
        <f t="shared" si="8"/>
        <v>785.70156154047936</v>
      </c>
      <c r="BI67" s="59">
        <f ca="1">AVERAGE(OFFSET($BH$3,0,0,'Données projet'!$E$11+1,1))-AVERAGE(OFFSET($H$3,0,0,'Données projet'!$E$11+1,1))</f>
        <v>681.47578137804555</v>
      </c>
      <c r="BJ67" s="59">
        <f t="shared" si="38"/>
        <v>300.88511065995885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30.884491639615558</v>
      </c>
      <c r="BR67" s="21">
        <f>EXP(-LN(2)/2)*BR66+(1-EXP(-LN(2)/2))/(LN(2)/2)*BL67*BO67*VLOOKUP('Données projet'!$B$11,Paramètres!$A$1:$I$89,3,0)*0.475*44/12</f>
        <v>1.073747640932744</v>
      </c>
      <c r="BS67" s="22">
        <f t="shared" si="9"/>
        <v>31.958239280548302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3.2051282051282071</v>
      </c>
      <c r="BY67" s="12">
        <f>IF('Données projet'!$A$114&gt;35,BY66+BX67-CG66,IF(A67&lt;'Données projet'!$A$114,$BV$205^A67,IF(A67='Données projet'!$A$114,'Données projet'!$B$114,BY66+BX67-CG66)))</f>
        <v>133.97435897435903</v>
      </c>
      <c r="BZ67" s="13">
        <f>BY67*VLOOKUP('Données projet'!$B$12,Paramètres!$A$1:$I$89,3,0)*VLOOKUP('Données projet'!$B$12,Paramètres!$A$1:$I$89,5,0)</f>
        <v>140.03000000000006</v>
      </c>
      <c r="CA67" s="13">
        <f t="shared" si="39"/>
        <v>36.303877988030095</v>
      </c>
      <c r="CB67" s="20">
        <f t="shared" si="10"/>
        <v>307.11483749581919</v>
      </c>
      <c r="CC67" s="59">
        <f t="shared" si="11"/>
        <v>570.539189655374</v>
      </c>
      <c r="CD67" s="59">
        <f ca="1">AVERAGE(OFFSET($CC$3,0,0,'Données projet'!$E$12+1,1))-AVERAGE(OFFSET($H$3,0,0,'Données projet'!$E$12+1,1))</f>
        <v>290.69667785754848</v>
      </c>
      <c r="CE67" s="59">
        <f t="shared" si="40"/>
        <v>256.28124185489082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1.062596120128096</v>
      </c>
      <c r="CL67" s="21">
        <f>EXP(-LN(2)/25)*CL66+(1-EXP(-LN(2)/25))/(LN(2)/25)*Calculateur!CG67*Calculateur!CI67*VLOOKUP('Données projet'!$B$12,Paramètres!$A$1:$I$89,3,0)*0.475*44/12</f>
        <v>17.566444023334803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18.629040143462898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300.79999999999984</v>
      </c>
      <c r="CU67" s="17">
        <f>CT67*VLOOKUP('Données projet'!$B$13,Paramètres!$A$1:$I$89,3,0)*VLOOKUP('Données projet'!$B$13,Paramètres!$A$1:$I$89,5,0)</f>
        <v>262.7788799999999</v>
      </c>
      <c r="CV67" s="13">
        <f t="shared" si="41"/>
        <v>63.314355869176104</v>
      </c>
      <c r="CW67" s="20">
        <f t="shared" si="13"/>
        <v>567.94571913881475</v>
      </c>
      <c r="CX67" s="59">
        <f t="shared" si="14"/>
        <v>831.37007129836957</v>
      </c>
      <c r="CY67" s="59">
        <f ca="1">AVERAGE(OFFSET($CX$3,0,0,'Données projet'!$E$13+1,1))-AVERAGE(OFFSET($H$3,0,0,'Données projet'!$E$13+1,1))</f>
        <v>408.246209980743</v>
      </c>
      <c r="CZ67" s="59">
        <f t="shared" si="42"/>
        <v>394.10236303013903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14.908959496190185</v>
      </c>
      <c r="DG67" s="21">
        <f>EXP(-LN(2)/25)*DG66+(1-EXP(-LN(2)/25))/(LN(2)/25)*Calculateur!DB67*Calculateur!DD67*VLOOKUP('Données projet'!$B$13,Paramètres!$A$1:$I$89,3,0)*0.475*44/12</f>
        <v>16.540783572771147</v>
      </c>
      <c r="DH67" s="21">
        <f>EXP(-LN(2)/2)*DH66+(1-EXP(-LN(2)/2))/(LN(2)/2)*DB67*DE67*VLOOKUP('Données projet'!$B$13,Paramètres!$A$1:$I$89,3,0)*0.475*44/12</f>
        <v>0.90649983861470718</v>
      </c>
      <c r="DI67" s="22">
        <f t="shared" si="15"/>
        <v>32.356242907576039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16.682857142857149</v>
      </c>
      <c r="DO67" s="12">
        <f>IF('Données projet'!$A$166&gt;35,DO66+DN67-DW66,IF(A67&lt;'Données projet'!$A$166,$DL$205^A67,IF(A67='Données projet'!$A$166,'Données projet'!$B$166,DO66+DN67-DW66)))</f>
        <v>486.76285714285751</v>
      </c>
      <c r="DP67" s="17">
        <f>DO67*VLOOKUP('Données projet'!$B$14,Paramètres!$A$1:$I$89,3,0)*VLOOKUP('Données projet'!$B$14,Paramètres!$A$1:$I$89,5,0)</f>
        <v>272.10043714285734</v>
      </c>
      <c r="DQ67" s="13">
        <f t="shared" si="43"/>
        <v>65.294833817604186</v>
      </c>
      <c r="DR67" s="20">
        <f t="shared" si="16"/>
        <v>587.63009692280377</v>
      </c>
      <c r="DS67" s="59">
        <f t="shared" si="17"/>
        <v>851.05444908235859</v>
      </c>
      <c r="DT67" s="59">
        <f ca="1">AVERAGE(OFFSET($DS$3,0,0,'Données projet'!$E$14+1,1))-AVERAGE(OFFSET($H$3,0,0,'Données projet'!$E$14+1,1))</f>
        <v>407.05634973057056</v>
      </c>
      <c r="DU67" s="59">
        <f t="shared" si="44"/>
        <v>375.32891954889965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98.131814215233689</v>
      </c>
      <c r="EB67" s="21">
        <f>EXP(-LN(2)/25)*EB66+(1-EXP(-LN(2)/25))/(LN(2)/25)*Calculateur!DW67*Calculateur!DY67*VLOOKUP('Données projet'!$B$14,Paramètres!$A$1:$I$89,3,0)*0.475*44/12</f>
        <v>34.337829349043986</v>
      </c>
      <c r="EC67" s="21">
        <f>EXP(-LN(2)/2)*EC66+(1-EXP(-LN(2)/2))/(LN(2)/2)*DW67*DZ67*VLOOKUP('Données projet'!$B$14,Paramètres!$A$1:$I$89,3,0)*0.475*44/12</f>
        <v>9.749519407122655</v>
      </c>
      <c r="ED67" s="22">
        <f t="shared" si="18"/>
        <v>142.21916297140032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18.600000000000001</v>
      </c>
      <c r="EJ67" s="12">
        <f>IF('Données projet'!$A$192&gt;35,EJ66+EI67-ER66,IF(A67&lt;'Données projet'!$A$192,$EG$205^A67,IF(A67='Données projet'!$A$192,'Données projet'!$B$192,EJ66+EI67-ER66)))</f>
        <v>655.4</v>
      </c>
      <c r="EK67" s="17">
        <f>EJ67*VLOOKUP('Données projet'!$B$15,Paramètres!$A$1:$I$89,3,0)*VLOOKUP('Données projet'!$B$15,Paramètres!$A$1:$I$89,5,0)</f>
        <v>289.68680000000001</v>
      </c>
      <c r="EL67" s="13">
        <f t="shared" si="45"/>
        <v>69.010038523202823</v>
      </c>
      <c r="EM67" s="20">
        <f t="shared" si="19"/>
        <v>624.73032709457823</v>
      </c>
      <c r="EN67" s="59">
        <f t="shared" si="20"/>
        <v>888.15467925413304</v>
      </c>
      <c r="EO67" s="59">
        <f ca="1">AVERAGE(OFFSET($EN$3,0,0,'Données projet'!$E$15+1,1))-AVERAGE(OFFSET($H$3,0,0,'Données projet'!$E$15+1,1))</f>
        <v>418.28022549686278</v>
      </c>
      <c r="EP67" s="59">
        <f t="shared" si="46"/>
        <v>354.55070454517158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47.916942458923153</v>
      </c>
      <c r="EW67" s="21">
        <f>EXP(-LN(2)/25)*EW66+(1-EXP(-LN(2)/25))/(LN(2)/25)*Calculateur!ER67*Calculateur!ET67*VLOOKUP('Données projet'!$B$15,Paramètres!$A$1:$I$89,3,0)*0.475*44/12</f>
        <v>24.017882287955032</v>
      </c>
      <c r="EX67" s="21">
        <f>EXP(-LN(2)/2)*EX66+(1-EXP(-LN(2)/2))/(LN(2)/2)*ER67*EU67*VLOOKUP('Données projet'!$B$15,Paramètres!$A$1:$I$89,3,0)*0.475*44/12</f>
        <v>1.6531066705923576</v>
      </c>
      <c r="EY67" s="22">
        <f t="shared" si="21"/>
        <v>73.587931417470529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6.8933333333333326</v>
      </c>
      <c r="FE67" s="12">
        <f>IF('Données projet'!$A$218&gt;35,FE66+FD67-FM66,IF(A67&lt;'Données projet'!$A$218,$FB$205^A67,IF(A67='Données projet'!$A$218,'Données projet'!$B$218,FE66+FD67-FM66)))</f>
        <v>156.32333333333327</v>
      </c>
      <c r="FF67" s="17">
        <f>FE67*VLOOKUP('Données projet'!$B$16,Paramètres!$A$1:$I$89,3,0)*VLOOKUP('Données projet'!$B$16,Paramètres!$A$1:$I$89,5,0)</f>
        <v>178.02101199999993</v>
      </c>
      <c r="FG67" s="13">
        <f t="shared" si="47"/>
        <v>44.881614909300232</v>
      </c>
      <c r="FH67" s="20">
        <f t="shared" si="22"/>
        <v>388.22207520036437</v>
      </c>
      <c r="FI67" s="59">
        <f t="shared" si="23"/>
        <v>651.64642735991913</v>
      </c>
      <c r="FJ67" s="59">
        <f ca="1">AVERAGE(OFFSET($FI$3,0,0,'Données projet'!$E$16+1,1))-AVERAGE(OFFSET($H$3,0,0,'Données projet'!$E$16+1,1))</f>
        <v>640.05156427113661</v>
      </c>
      <c r="FK67" s="59">
        <f t="shared" si="48"/>
        <v>308.77220155372902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28.133490851679372</v>
      </c>
      <c r="FS67" s="21">
        <f>EXP(-LN(2)/2)*FS66+(1-EXP(-LN(2)/2))/(LN(2)/2)*FM67*FP67*VLOOKUP('Données projet'!$B$16,Paramètres!$A$1:$I$89,3,0)*0.475*44/12</f>
        <v>3.9148986688597578</v>
      </c>
      <c r="FT67" s="22">
        <f t="shared" si="24"/>
        <v>32.048389520539132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1.1368683772161603E-13</v>
      </c>
      <c r="O68" s="13">
        <f>N68*VLOOKUP('Données projet'!$B$9,Paramètres!$A$1:$I$89,3,0)*VLOOKUP('Données projet'!$B$9,Paramètres!$A$1:$I$89,5,0)</f>
        <v>6.7984728957526396E-14</v>
      </c>
      <c r="P68" s="13">
        <f t="shared" si="33"/>
        <v>1.0682447123141398E-12</v>
      </c>
      <c r="Q68" s="20">
        <f t="shared" si="54"/>
        <v>1.978932943548152E-12</v>
      </c>
      <c r="R68" s="59">
        <f t="shared" si="55"/>
        <v>263.94320611645719</v>
      </c>
      <c r="S68" s="59">
        <f ca="1">AVERAGE(OFFSET($R$3,0,0,'Données projet'!$E$9+1,1))-AVERAGE(OFFSET($H$3,0,0,'Données projet'!$E$9+1,1))</f>
        <v>318.50474972254085</v>
      </c>
      <c r="T68" s="59">
        <f t="shared" si="34"/>
        <v>326.45858332753562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125.77703818360119</v>
      </c>
      <c r="AA68" s="21">
        <f>EXP(-LN(2)/25)*AA67+(1-EXP(-LN(2)/25))/(LN(2)/25)*Calculateur!V68*Calculateur!X68*VLOOKUP('Données projet'!$B$9,Paramètres!$A$1:$I$89,3,0)*0.475*44/12</f>
        <v>42.169920025677442</v>
      </c>
      <c r="AB68" s="21">
        <f>EXP(-LN(2)/2)*AB67+(1-EXP(-LN(2)/2))/(LN(2)/2)*V68*Y68*VLOOKUP('Données projet'!$B$9,Paramètres!$A$1:$I$89,3,0)*0.475*44/12</f>
        <v>10.599785707530655</v>
      </c>
      <c r="AC68" s="22">
        <f t="shared" ref="AC68:AC131" si="57">SUM(Z68:AB68)</f>
        <v>178.54674391680931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11.997500000000002</v>
      </c>
      <c r="AI68" s="13">
        <f>IF('Données projet'!$A$62&gt;35,AI67+AH68-AQ67,IF(A68&lt;'Données projet'!$A$62,$AF$205^A68,IF(A68='Données projet'!$A$62,'Données projet'!$B$62,AI67+AH68-AQ67)))</f>
        <v>298.99999999999989</v>
      </c>
      <c r="AJ68" s="13">
        <f>AI68*VLOOKUP('Données projet'!$B$10,Paramètres!$A$1:$I$89,3,0)*VLOOKUP('Données projet'!$B$10,Paramètres!$A$1:$I$89,5,0)</f>
        <v>139.93199999999996</v>
      </c>
      <c r="AK68" s="13">
        <f t="shared" si="35"/>
        <v>36.281427209452353</v>
      </c>
      <c r="AL68" s="20">
        <f t="shared" ref="AL68:AL131" si="58">(AJ68+AK68)*0.475*44/12</f>
        <v>306.90505238979614</v>
      </c>
      <c r="AM68" s="59">
        <f t="shared" ref="AM68:AM131" si="59">AL68+(AD68+AE68)*44/12</f>
        <v>570.84825850625134</v>
      </c>
      <c r="AN68" s="59">
        <f ca="1">AVERAGE(OFFSET($AM$3,0,0,'Données projet'!$E$10+1,1))-AVERAGE(OFFSET($H$3,0,0,'Données projet'!$E$10+1,1))</f>
        <v>374.38106339726073</v>
      </c>
      <c r="AO68" s="59">
        <f t="shared" si="36"/>
        <v>296.53283288925957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30.439375674201724</v>
      </c>
      <c r="AV68" s="21">
        <f>EXP(-LN(2)/25)*AV67+(1-EXP(-LN(2)/25))/(LN(2)/25)*Calculateur!AQ68*Calculateur!AS68*VLOOKUP('Données projet'!$B$10,Paramètres!$A$1:$I$89,3,0)*0.475*44/12</f>
        <v>21.020873177897752</v>
      </c>
      <c r="AW68" s="21">
        <f>EXP(-LN(2)/2)*AW67+(1-EXP(-LN(2)/2))/(LN(2)/2)*AQ68*AT68*VLOOKUP('Données projet'!$B$10,Paramètres!$A$1:$I$89,3,0)*0.475*44/12</f>
        <v>2.9591271172083569</v>
      </c>
      <c r="AX68" s="21">
        <f t="shared" ref="AX68:AX131" si="60">SUM(AU68:AW68)</f>
        <v>54.419375969307829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10.107499999999998</v>
      </c>
      <c r="BD68" s="12">
        <f>IF('Données projet'!$A$88&gt;35,BD67+BC68-BL67,IF(A68&lt;'Données projet'!$A$88,$BA$205^A68,IF(A68='Données projet'!$A$88,'Données projet'!$B$88,BD67+BC68-BL67)))</f>
        <v>276.66250000000031</v>
      </c>
      <c r="BE68" s="13">
        <f>BD68*VLOOKUP('Données projet'!$B$11,Paramètres!$A$1:$I$89,3,0)*VLOOKUP('Données projet'!$B$11,Paramètres!$A$1:$I$89,5,0)</f>
        <v>250.32423000000026</v>
      </c>
      <c r="BF68" s="13">
        <f t="shared" si="37"/>
        <v>60.655364588948935</v>
      </c>
      <c r="BG68" s="20">
        <f t="shared" ref="BG68:BG131" si="61">(BE68+BF68)*0.475*44/12</f>
        <v>541.62279390908645</v>
      </c>
      <c r="BH68" s="59">
        <f t="shared" ref="BH68:BH131" si="62">BG68+(AY68+AZ68)*44/12</f>
        <v>805.5660000255416</v>
      </c>
      <c r="BI68" s="59">
        <f ca="1">AVERAGE(OFFSET($BH$3,0,0,'Données projet'!$E$11+1,1))-AVERAGE(OFFSET($H$3,0,0,'Données projet'!$E$11+1,1))</f>
        <v>681.47578137804555</v>
      </c>
      <c r="BJ68" s="59">
        <f t="shared" si="38"/>
        <v>300.88511065995885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30.039953591585441</v>
      </c>
      <c r="BR68" s="21">
        <f>EXP(-LN(2)/2)*BR67+(1-EXP(-LN(2)/2))/(LN(2)/2)*BL68*BO68*VLOOKUP('Données projet'!$B$11,Paramètres!$A$1:$I$89,3,0)*0.475*44/12</f>
        <v>0.75925423818660143</v>
      </c>
      <c r="BS68" s="22">
        <f t="shared" ref="BS68:BS131" si="63">SUM(BP68:BR68)</f>
        <v>30.799207829772044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137.17948717948718</v>
      </c>
      <c r="BW68" s="12">
        <f>VLOOKUP(A68,'Données projet'!$A$113:$I$133,9,0)</f>
        <v>3.2051282051282071</v>
      </c>
      <c r="BX68" s="12">
        <f t="array" ref="BX68">INDEX(BW:BW,MIN(IF(ISNUMBER(BW68:BW264),ROW(BW68:BW264),"")))</f>
        <v>3.2051282051282071</v>
      </c>
      <c r="BY68" s="12">
        <f>IF('Données projet'!$A$114&gt;35,BY67+BX68-CG67,IF(A68&lt;'Données projet'!$A$114,$BV$205^A68,IF(A68='Données projet'!$A$114,'Données projet'!$B$114,BY67+BX68-CG67)))</f>
        <v>137.17948717948724</v>
      </c>
      <c r="BZ68" s="13">
        <f>BY68*VLOOKUP('Données projet'!$B$12,Paramètres!$A$1:$I$89,3,0)*VLOOKUP('Données projet'!$B$12,Paramètres!$A$1:$I$89,5,0)</f>
        <v>143.38000000000008</v>
      </c>
      <c r="CA68" s="13">
        <f t="shared" si="39"/>
        <v>37.070237688614164</v>
      </c>
      <c r="CB68" s="20">
        <f t="shared" ref="CB68:CB131" si="64">(BZ68+CA68)*0.475*44/12</f>
        <v>314.28416397433648</v>
      </c>
      <c r="CC68" s="59">
        <f t="shared" ref="CC68:CC131" si="65">CB68+(BT68+BU68)*44/12</f>
        <v>578.22737009079174</v>
      </c>
      <c r="CD68" s="59">
        <f ca="1">AVERAGE(OFFSET($CC$3,0,0,'Données projet'!$E$12+1,1))-AVERAGE(OFFSET($H$3,0,0,'Données projet'!$E$12+1,1))</f>
        <v>290.69667785754848</v>
      </c>
      <c r="CE68" s="59">
        <f t="shared" si="40"/>
        <v>256.28124185489082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10.897435897435898</v>
      </c>
      <c r="CH68" s="16">
        <f>IF(ISNA(VLOOKUP(A68,'Données projet'!$A$113:$I$133,5,0)),0%,VLOOKUP(A68,'Données projet'!$A$113:$I$133,5,0)*VLOOKUP('Données projet'!$B$12,Paramètres!$A$1:$I$89,7,0))</f>
        <v>4.3000000000000003E-2</v>
      </c>
      <c r="CI68" s="16">
        <f>IF(ISNA(VLOOKUP(A68,'Données projet'!$A$113:$I$133,6,0)),0%,VLOOKUP(A68,'Données projet'!$A$113:$I$133,6,0)*VLOOKUP('Données projet'!$B$12,Paramètres!$A$1:$I$89,7,0))</f>
        <v>0.215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1.5831854861158741</v>
      </c>
      <c r="CL68" s="21">
        <f>EXP(-LN(2)/25)*CL67+(1-EXP(-LN(2)/25))/(LN(2)/25)*Calculateur!CG68*Calculateur!CI68*VLOOKUP('Données projet'!$B$12,Paramètres!$A$1:$I$89,3,0)*0.475*44/12</f>
        <v>19.782560819865079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21.365746305980952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306</v>
      </c>
      <c r="CR68" s="12">
        <f>VLOOKUP(A68,'Données projet'!$A$139:$I$159,9,0)</f>
        <v>5.2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305.99999999999983</v>
      </c>
      <c r="CU68" s="17">
        <f>CT68*VLOOKUP('Données projet'!$B$13,Paramètres!$A$1:$I$89,3,0)*VLOOKUP('Données projet'!$B$13,Paramètres!$A$1:$I$89,5,0)</f>
        <v>267.32159999999988</v>
      </c>
      <c r="CV68" s="13">
        <f t="shared" si="41"/>
        <v>64.280515815446321</v>
      </c>
      <c r="CW68" s="20">
        <f t="shared" ref="CW68:CW131" si="67">(CU68+CV68)*0.475*44/12</f>
        <v>577.54035171190208</v>
      </c>
      <c r="CX68" s="59">
        <f t="shared" ref="CX68:CX131" si="68">CW68+(CO68+CP68)*44/12</f>
        <v>841.48355782835733</v>
      </c>
      <c r="CY68" s="59">
        <f ca="1">AVERAGE(OFFSET($CX$3,0,0,'Données projet'!$E$13+1,1))-AVERAGE(OFFSET($H$3,0,0,'Données projet'!$E$13+1,1))</f>
        <v>408.246209980743</v>
      </c>
      <c r="CZ68" s="59">
        <f t="shared" si="42"/>
        <v>394.10236303013903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13</v>
      </c>
      <c r="DC68" s="16">
        <f>IF(ISNA(VLOOKUP(A68,'Données projet'!$A$139:$I$159,5,0)),0%,VLOOKUP(A68,'Données projet'!$A$139:$I$159,5,0)*VLOOKUP('Données projet'!$B$13,Paramètres!$A$1:$I$89,7,0))</f>
        <v>0.13250000000000001</v>
      </c>
      <c r="DD68" s="16">
        <f>IF(ISNA(VLOOKUP(A68,'Données projet'!$A$139:$I$159,6,0)),0%,VLOOKUP(A68,'Données projet'!$A$139:$I$159,6,0)*VLOOKUP('Données projet'!$B$13,Paramètres!$A$1:$I$89,7,0))</f>
        <v>0.13250000000000001</v>
      </c>
      <c r="DE68" s="16">
        <f>IF(ISNA(VLOOKUP(A68,'Données projet'!$A$139:$I$159,7,0)),0%,VLOOKUP(A68,'Données projet'!$A$139:$I$159,7,0))</f>
        <v>0.25</v>
      </c>
      <c r="DF68" s="21">
        <f>EXP(-LN(2)/35)*DF67+(1-EXP(-LN(2)/35))/(LN(2)/35)*DB68*DC68*VLOOKUP('Données projet'!$B$13,Paramètres!$A$1:$I$89,3,0)*0.475*44/12</f>
        <v>16.280089189869351</v>
      </c>
      <c r="DG68" s="21">
        <f>EXP(-LN(2)/25)*DG67+(1-EXP(-LN(2)/25))/(LN(2)/25)*Calculateur!DB68*Calculateur!DD68*VLOOKUP('Données projet'!$B$13,Paramètres!$A$1:$I$89,3,0)*0.475*44/12</f>
        <v>17.745410496516513</v>
      </c>
      <c r="DH68" s="21">
        <f>EXP(-LN(2)/2)*DH67+(1-EXP(-LN(2)/2))/(LN(2)/2)*DB68*DE68*VLOOKUP('Données projet'!$B$13,Paramètres!$A$1:$I$89,3,0)*0.475*44/12</f>
        <v>3.3198537989765886</v>
      </c>
      <c r="DI68" s="22">
        <f t="shared" ref="DI68:DI131" si="69">SUM(DF68:DH68)</f>
        <v>37.345353485362452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16.682857142857149</v>
      </c>
      <c r="DO68" s="12">
        <f>IF('Données projet'!$A$166&gt;35,DO67+DN68-DW67,IF(A68&lt;'Données projet'!$A$166,$DL$205^A68,IF(A68='Données projet'!$A$166,'Données projet'!$B$166,DO67+DN68-DW67)))</f>
        <v>503.44571428571464</v>
      </c>
      <c r="DP68" s="17">
        <f>DO68*VLOOKUP('Données projet'!$B$14,Paramètres!$A$1:$I$89,3,0)*VLOOKUP('Données projet'!$B$14,Paramètres!$A$1:$I$89,5,0)</f>
        <v>281.42615428571452</v>
      </c>
      <c r="DQ68" s="13">
        <f t="shared" si="43"/>
        <v>67.268307105467983</v>
      </c>
      <c r="DR68" s="20">
        <f t="shared" ref="DR68:DR131" si="70">(DP68+DQ68)*0.475*44/12</f>
        <v>607.30952025630938</v>
      </c>
      <c r="DS68" s="59">
        <f t="shared" ref="DS68:DS131" si="71">DR68+(DJ68+DK68)*44/12</f>
        <v>871.25272637276453</v>
      </c>
      <c r="DT68" s="59">
        <f ca="1">AVERAGE(OFFSET($DS$3,0,0,'Données projet'!$E$14+1,1))-AVERAGE(OFFSET($H$3,0,0,'Données projet'!$E$14+1,1))</f>
        <v>407.05634973057056</v>
      </c>
      <c r="DU68" s="59">
        <f t="shared" si="44"/>
        <v>375.32891954889965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96.207509192969482</v>
      </c>
      <c r="EB68" s="21">
        <f>EXP(-LN(2)/25)*EB67+(1-EXP(-LN(2)/25))/(LN(2)/25)*Calculateur!DW68*Calculateur!DY68*VLOOKUP('Données projet'!$B$14,Paramètres!$A$1:$I$89,3,0)*0.475*44/12</f>
        <v>33.398859599746416</v>
      </c>
      <c r="EC68" s="21">
        <f>EXP(-LN(2)/2)*EC67+(1-EXP(-LN(2)/2))/(LN(2)/2)*DW68*DZ68*VLOOKUP('Données projet'!$B$14,Paramètres!$A$1:$I$89,3,0)*0.475*44/12</f>
        <v>6.8939512860862786</v>
      </c>
      <c r="ED68" s="22">
        <f t="shared" ref="ED68:ED131" si="72">SUM(EA68:EC68)</f>
        <v>136.50032007880219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674</v>
      </c>
      <c r="EH68" s="12">
        <f>VLOOKUP(A68,'Données projet'!$A$191:$I$211,9,0)</f>
        <v>18.600000000000001</v>
      </c>
      <c r="EI68" s="12">
        <f t="array" ref="EI68">INDEX(EH:EH,MIN(IF(ISNUMBER(EH68:EH264),ROW(EH68:EH264),"")))</f>
        <v>18.600000000000001</v>
      </c>
      <c r="EJ68" s="12">
        <f>IF('Données projet'!$A$192&gt;35,EJ67+EI68-ER67,IF(A68&lt;'Données projet'!$A$192,$EG$205^A68,IF(A68='Données projet'!$A$192,'Données projet'!$B$192,EJ67+EI68-ER67)))</f>
        <v>674</v>
      </c>
      <c r="EK68" s="17">
        <f>EJ68*VLOOKUP('Données projet'!$B$15,Paramètres!$A$1:$I$89,3,0)*VLOOKUP('Données projet'!$B$15,Paramètres!$A$1:$I$89,5,0)</f>
        <v>297.90800000000002</v>
      </c>
      <c r="EL68" s="13">
        <f t="shared" si="45"/>
        <v>70.737721467342539</v>
      </c>
      <c r="EM68" s="20">
        <f t="shared" ref="EM68:EM131" si="73">(EK68+EL68)*0.475*44/12</f>
        <v>642.05796488895498</v>
      </c>
      <c r="EN68" s="59">
        <f t="shared" ref="EN68:EN131" si="74">EM68+(EE68+EF68)*44/12</f>
        <v>906.00117100541024</v>
      </c>
      <c r="EO68" s="59">
        <f ca="1">AVERAGE(OFFSET($EN$3,0,0,'Données projet'!$E$15+1,1))-AVERAGE(OFFSET($H$3,0,0,'Données projet'!$E$15+1,1))</f>
        <v>418.28022549686278</v>
      </c>
      <c r="EP68" s="59">
        <f t="shared" si="46"/>
        <v>354.55070454517158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48</v>
      </c>
      <c r="ES68" s="16">
        <f>IF(ISNA(VLOOKUP(A68,'Données projet'!$A$191:$I$211,5,0)),0%,VLOOKUP(A68,'Données projet'!$A$191:$I$211,5,0)*VLOOKUP('Données projet'!$B$15,Paramètres!$A$1:$I$89,7,0))</f>
        <v>0.33</v>
      </c>
      <c r="ET68" s="16">
        <f>IF(ISNA(VLOOKUP(A68,'Données projet'!$A$191:$I$211,6,0)),0%,VLOOKUP(A68,'Données projet'!$A$191:$I$211,6,0)*VLOOKUP('Données projet'!$B$15,Paramètres!$A$1:$I$89,7,0))</f>
        <v>0.11000000000000001</v>
      </c>
      <c r="EU68" s="16">
        <f>IF(ISNA(VLOOKUP(A68,'Données projet'!$A$191:$I$211,7,0)),0%,VLOOKUP(A68,'Données projet'!$A$191:$I$211,7,0))</f>
        <v>0.2</v>
      </c>
      <c r="EV68" s="21">
        <f>EXP(-LN(2)/35)*EV67+(1-EXP(-LN(2)/35))/(LN(2)/35)*ER68*ES68*VLOOKUP('Données projet'!$B$15,Paramètres!$A$1:$I$89,3,0)*0.475*44/12</f>
        <v>56.264969634332445</v>
      </c>
      <c r="EW68" s="21">
        <f>EXP(-LN(2)/25)*EW67+(1-EXP(-LN(2)/25))/(LN(2)/25)*Calculateur!ER68*Calculateur!ET68*VLOOKUP('Données projet'!$B$15,Paramètres!$A$1:$I$89,3,0)*0.475*44/12</f>
        <v>26.444805426026917</v>
      </c>
      <c r="EX68" s="21">
        <f>EXP(-LN(2)/2)*EX67+(1-EXP(-LN(2)/2))/(LN(2)/2)*ER68*EU68*VLOOKUP('Données projet'!$B$15,Paramètres!$A$1:$I$89,3,0)*0.475*44/12</f>
        <v>5.9732110216648726</v>
      </c>
      <c r="EY68" s="22">
        <f t="shared" ref="EY68:EY131" si="75">SUM(EV68:EX68)</f>
        <v>88.682986082024229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6.8933333333333326</v>
      </c>
      <c r="FE68" s="12">
        <f>IF('Données projet'!$A$218&gt;35,FE67+FD68-FM67,IF(A68&lt;'Données projet'!$A$218,$FB$205^A68,IF(A68='Données projet'!$A$218,'Données projet'!$B$218,FE67+FD68-FM67)))</f>
        <v>163.21666666666661</v>
      </c>
      <c r="FF68" s="17">
        <f>FE68*VLOOKUP('Données projet'!$B$16,Paramètres!$A$1:$I$89,3,0)*VLOOKUP('Données projet'!$B$16,Paramètres!$A$1:$I$89,5,0)</f>
        <v>185.87113999999994</v>
      </c>
      <c r="FG68" s="13">
        <f t="shared" si="47"/>
        <v>46.625956591742927</v>
      </c>
      <c r="FH68" s="20">
        <f t="shared" ref="FH68:FH131" si="76">(FF68+FG68)*0.475*44/12</f>
        <v>404.93244323061884</v>
      </c>
      <c r="FI68" s="59">
        <f t="shared" ref="FI68:FI131" si="77">FH68+(EZ68+FA68)*44/12</f>
        <v>668.87564934707405</v>
      </c>
      <c r="FJ68" s="59">
        <f ca="1">AVERAGE(OFFSET($FI$3,0,0,'Données projet'!$E$16+1,1))-AVERAGE(OFFSET($H$3,0,0,'Données projet'!$E$16+1,1))</f>
        <v>640.05156427113661</v>
      </c>
      <c r="FK68" s="59">
        <f t="shared" si="48"/>
        <v>308.77220155372902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27.364179064864217</v>
      </c>
      <c r="FS68" s="21">
        <f>EXP(-LN(2)/2)*FS67+(1-EXP(-LN(2)/2))/(LN(2)/2)*FM68*FP68*VLOOKUP('Données projet'!$B$16,Paramètres!$A$1:$I$89,3,0)*0.475*44/12</f>
        <v>2.7682513964089233</v>
      </c>
      <c r="FT68" s="22">
        <f t="shared" ref="FT68:FT131" si="78">SUM(FQ68:FS68)</f>
        <v>30.132430461273142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1.1368683772161603E-13</v>
      </c>
      <c r="O69" s="13">
        <f>N69*VLOOKUP('Données projet'!$B$9,Paramètres!$A$1:$I$89,3,0)*VLOOKUP('Données projet'!$B$9,Paramètres!$A$1:$I$89,5,0)</f>
        <v>6.7984728957526396E-14</v>
      </c>
      <c r="P69" s="13">
        <f t="shared" ref="P69:P132" si="87">EXP(-1.0587+0.8836*LN(O69)+0.284)</f>
        <v>1.0682447123141398E-12</v>
      </c>
      <c r="Q69" s="20">
        <f t="shared" si="54"/>
        <v>1.978932943548152E-12</v>
      </c>
      <c r="R69" s="59">
        <f t="shared" si="55"/>
        <v>264.45305911718907</v>
      </c>
      <c r="S69" s="59">
        <f ca="1">AVERAGE(OFFSET($R$3,0,0,'Données projet'!$E$9+1,1))-AVERAGE(OFFSET($H$3,0,0,'Données projet'!$E$9+1,1))</f>
        <v>318.50474972254085</v>
      </c>
      <c r="T69" s="59">
        <f t="shared" ref="T69:T132" si="88">$T$3</f>
        <v>326.45858332753562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123.31062718123894</v>
      </c>
      <c r="AA69" s="21">
        <f>EXP(-LN(2)/25)*AA68+(1-EXP(-LN(2)/25))/(LN(2)/25)*Calculateur!V69*Calculateur!X69*VLOOKUP('Données projet'!$B$9,Paramètres!$A$1:$I$89,3,0)*0.475*44/12</f>
        <v>41.016781344955575</v>
      </c>
      <c r="AB69" s="21">
        <f>EXP(-LN(2)/2)*AB68+(1-EXP(-LN(2)/2))/(LN(2)/2)*V69*Y69*VLOOKUP('Données projet'!$B$9,Paramètres!$A$1:$I$89,3,0)*0.475*44/12</f>
        <v>7.4951803529191734</v>
      </c>
      <c r="AC69" s="22">
        <f t="shared" si="57"/>
        <v>171.82258887911368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11.997500000000002</v>
      </c>
      <c r="AI69" s="13">
        <f>IF('Données projet'!$A$62&gt;35,AI68+AH69-AQ68,IF(A69&lt;'Données projet'!$A$62,$AF$205^A69,IF(A69='Données projet'!$A$62,'Données projet'!$B$62,AI68+AH69-AQ68)))</f>
        <v>310.99749999999989</v>
      </c>
      <c r="AJ69" s="13">
        <f>AI69*VLOOKUP('Données projet'!$B$10,Paramètres!$A$1:$I$89,3,0)*VLOOKUP('Données projet'!$B$10,Paramètres!$A$1:$I$89,5,0)</f>
        <v>145.54682999999994</v>
      </c>
      <c r="AK69" s="13">
        <f t="shared" ref="AK69:AK132" si="89">EXP(-1.0587+0.8836*LN(AJ69)+0.284)</f>
        <v>37.564818569836</v>
      </c>
      <c r="AL69" s="20">
        <f t="shared" si="58"/>
        <v>318.91945459246426</v>
      </c>
      <c r="AM69" s="59">
        <f t="shared" si="59"/>
        <v>583.37251370965134</v>
      </c>
      <c r="AN69" s="59">
        <f ca="1">AVERAGE(OFFSET($AM$3,0,0,'Données projet'!$E$10+1,1))-AVERAGE(OFFSET($H$3,0,0,'Données projet'!$E$10+1,1))</f>
        <v>374.38106339726073</v>
      </c>
      <c r="AO69" s="59">
        <f t="shared" ref="AO69:AO132" si="90">$AO$3</f>
        <v>296.53283288925957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29.84247808341653</v>
      </c>
      <c r="AV69" s="21">
        <f>EXP(-LN(2)/25)*AV68+(1-EXP(-LN(2)/25))/(LN(2)/25)*Calculateur!AQ69*Calculateur!AS69*VLOOKUP('Données projet'!$B$10,Paramètres!$A$1:$I$89,3,0)*0.475*44/12</f>
        <v>20.446056295408461</v>
      </c>
      <c r="AW69" s="21">
        <f>EXP(-LN(2)/2)*AW68+(1-EXP(-LN(2)/2))/(LN(2)/2)*AQ69*AT69*VLOOKUP('Données projet'!$B$10,Paramètres!$A$1:$I$89,3,0)*0.475*44/12</f>
        <v>2.0924188509710291</v>
      </c>
      <c r="AX69" s="21">
        <f t="shared" si="60"/>
        <v>52.38095322979602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10.107499999999998</v>
      </c>
      <c r="BC69" s="12">
        <f t="array" ref="BC69">INDEX(BB:BB,MIN(IF(ISNUMBER(BB69:BB265),ROW(BB69:BB265),"")))</f>
        <v>10.107499999999998</v>
      </c>
      <c r="BD69" s="12">
        <f>IF('Données projet'!$A$88&gt;35,BD68+BC69-BL68,IF(A69&lt;'Données projet'!$A$88,$BA$205^A69,IF(A69='Données projet'!$A$88,'Données projet'!$B$88,BD68+BC69-BL68)))</f>
        <v>286.77000000000032</v>
      </c>
      <c r="BE69" s="13">
        <f>BD69*VLOOKUP('Données projet'!$B$11,Paramètres!$A$1:$I$89,3,0)*VLOOKUP('Données projet'!$B$11,Paramètres!$A$1:$I$89,5,0)</f>
        <v>259.46949600000028</v>
      </c>
      <c r="BF69" s="13">
        <f t="shared" ref="BF69:BF132" si="91">EXP(-1.0587+0.8836*LN(BE69)+0.284)</f>
        <v>62.609282502673501</v>
      </c>
      <c r="BG69" s="20">
        <f t="shared" si="61"/>
        <v>560.95387255882349</v>
      </c>
      <c r="BH69" s="59">
        <f t="shared" si="62"/>
        <v>825.40693167601057</v>
      </c>
      <c r="BI69" s="59">
        <f ca="1">AVERAGE(OFFSET($BH$3,0,0,'Données projet'!$E$11+1,1))-AVERAGE(OFFSET($H$3,0,0,'Données projet'!$E$11+1,1))</f>
        <v>681.47578137804555</v>
      </c>
      <c r="BJ69" s="59">
        <f t="shared" ref="BJ69:BJ132" si="92">$BJ$3</f>
        <v>300.88511065995885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53.679999999999978</v>
      </c>
      <c r="BM69" s="16">
        <f>IF(ISNA(VLOOKUP(A69,'Données projet'!$A$87:$I$107,5,0)),0%,VLOOKUP(A69,'Données projet'!$A$87:$I$107,5,0)*VLOOKUP('Données projet'!$B$11,Paramètres!$A$1:$I$89,7,0))</f>
        <v>0.15049999999999999</v>
      </c>
      <c r="BN69" s="16">
        <f>IF(ISNA(VLOOKUP(A69,'Données projet'!$A$87:$I$107,6,0)),0%,VLOOKUP(A69,'Données projet'!$A$87:$I$107,6,0)*VLOOKUP('Données projet'!$B$11,Paramètres!$A$1:$I$89,7,0))</f>
        <v>8.6000000000000007E-2</v>
      </c>
      <c r="BO69" s="16">
        <f>IF(ISNA(VLOOKUP(A69,'Données projet'!$A$87:$I$107,7,0)),0%,VLOOKUP(A69,'Données projet'!$A$87:$I$107,7,0))</f>
        <v>0.1</v>
      </c>
      <c r="BP69" s="21">
        <f>EXP(-LN(2)/35)*BP68+(1-EXP(-LN(2)/35))/(LN(2)/35)*BL69*BM69*VLOOKUP('Données projet'!$B$11,Paramètres!$A$1:$I$89,3,0)*0.475*44/12</f>
        <v>8.0806948968281098</v>
      </c>
      <c r="BQ69" s="21">
        <f>EXP(-LN(2)/25)*BQ68+(1-EXP(-LN(2)/25))/(LN(2)/25)*Calculateur!BL69*Calculateur!BN69*VLOOKUP('Données projet'!$B$11,Paramètres!$A$1:$I$89,3,0)*0.475*44/12</f>
        <v>33.817868407767122</v>
      </c>
      <c r="BR69" s="21">
        <f>EXP(-LN(2)/2)*BR68+(1-EXP(-LN(2)/2))/(LN(2)/2)*BL69*BO69*VLOOKUP('Données projet'!$B$11,Paramètres!$A$1:$I$89,3,0)*0.475*44/12</f>
        <v>5.1195523422004099</v>
      </c>
      <c r="BS69" s="22">
        <f t="shared" si="63"/>
        <v>47.018115646795636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2.9487179487179476</v>
      </c>
      <c r="BY69" s="12">
        <f>IF('Données projet'!$A$114&gt;35,BY68+BX69-CG68,IF(A69&lt;'Données projet'!$A$114,$BV$205^A69,IF(A69='Données projet'!$A$114,'Données projet'!$B$114,BY68+BX69-CG68)))</f>
        <v>129.23076923076928</v>
      </c>
      <c r="BZ69" s="13">
        <f>BY69*VLOOKUP('Données projet'!$B$12,Paramètres!$A$1:$I$89,3,0)*VLOOKUP('Données projet'!$B$12,Paramètres!$A$1:$I$89,5,0)</f>
        <v>135.07200000000006</v>
      </c>
      <c r="CA69" s="13">
        <f t="shared" ref="CA69:CA132" si="93">EXP(-1.0587+0.8836*LN(BZ69)+0.284)</f>
        <v>35.165726241361661</v>
      </c>
      <c r="CB69" s="20">
        <f t="shared" si="64"/>
        <v>296.49737320370497</v>
      </c>
      <c r="CC69" s="59">
        <f t="shared" si="65"/>
        <v>560.95043232089211</v>
      </c>
      <c r="CD69" s="59">
        <f ca="1">AVERAGE(OFFSET($CC$3,0,0,'Données projet'!$E$12+1,1))-AVERAGE(OFFSET($H$3,0,0,'Données projet'!$E$12+1,1))</f>
        <v>290.69667785754848</v>
      </c>
      <c r="CE69" s="59">
        <f t="shared" ref="CE69:CE132" si="94">$CE$3</f>
        <v>256.28124185489082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1.5521401843809386</v>
      </c>
      <c r="CL69" s="21">
        <f>EXP(-LN(2)/25)*CL68+(1-EXP(-LN(2)/25))/(LN(2)/25)*Calculateur!CG69*Calculateur!CI69*VLOOKUP('Données projet'!$B$12,Paramètres!$A$1:$I$89,3,0)*0.475*44/12</f>
        <v>19.241605653926207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20.793745838307146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4.5999999999999996</v>
      </c>
      <c r="CT69" s="12">
        <f>IF('Données projet'!$A$140&gt;35,CT68+CS69-DB68,IF(A69&lt;'Données projet'!$A$140,$CQ$205^A69,IF(A69='Données projet'!$A$140,'Données projet'!$B$140,CT68+CS69-DB68)))</f>
        <v>297.59999999999985</v>
      </c>
      <c r="CU69" s="17">
        <f>CT69*VLOOKUP('Données projet'!$B$13,Paramètres!$A$1:$I$89,3,0)*VLOOKUP('Données projet'!$B$13,Paramètres!$A$1:$I$89,5,0)</f>
        <v>259.98335999999989</v>
      </c>
      <c r="CV69" s="13">
        <f t="shared" ref="CV69:CV132" si="95">EXP(-1.0587+0.8836*LN(CU69)+0.284)</f>
        <v>62.718830967388186</v>
      </c>
      <c r="CW69" s="20">
        <f t="shared" si="67"/>
        <v>562.03964926820083</v>
      </c>
      <c r="CX69" s="59">
        <f t="shared" si="68"/>
        <v>826.49270838538791</v>
      </c>
      <c r="CY69" s="59">
        <f ca="1">AVERAGE(OFFSET($CX$3,0,0,'Données projet'!$E$13+1,1))-AVERAGE(OFFSET($H$3,0,0,'Données projet'!$E$13+1,1))</f>
        <v>408.246209980743</v>
      </c>
      <c r="CZ69" s="59">
        <f t="shared" ref="CZ69:CZ132" si="96">$CZ$3</f>
        <v>394.10236303013903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15.960846570729926</v>
      </c>
      <c r="DG69" s="21">
        <f>EXP(-LN(2)/25)*DG68+(1-EXP(-LN(2)/25))/(LN(2)/25)*Calculateur!DB69*Calculateur!DD69*VLOOKUP('Données projet'!$B$13,Paramètres!$A$1:$I$89,3,0)*0.475*44/12</f>
        <v>17.260161313298688</v>
      </c>
      <c r="DH69" s="21">
        <f>EXP(-LN(2)/2)*DH68+(1-EXP(-LN(2)/2))/(LN(2)/2)*DB69*DE69*VLOOKUP('Données projet'!$B$13,Paramètres!$A$1:$I$89,3,0)*0.475*44/12</f>
        <v>2.3474911338042674</v>
      </c>
      <c r="DI69" s="22">
        <f t="shared" si="69"/>
        <v>35.568499017832885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16.682857142857149</v>
      </c>
      <c r="DO69" s="12">
        <f>IF('Données projet'!$A$166&gt;35,DO68+DN69-DW68,IF(A69&lt;'Données projet'!$A$166,$DL$205^A69,IF(A69='Données projet'!$A$166,'Données projet'!$B$166,DO68+DN69-DW68)))</f>
        <v>520.12857142857183</v>
      </c>
      <c r="DP69" s="17">
        <f>DO69*VLOOKUP('Données projet'!$B$14,Paramètres!$A$1:$I$89,3,0)*VLOOKUP('Données projet'!$B$14,Paramètres!$A$1:$I$89,5,0)</f>
        <v>290.75187142857169</v>
      </c>
      <c r="DQ69" s="13">
        <f t="shared" ref="DQ69:DQ132" si="97">EXP(-1.0587+0.8836*LN(DP69)+0.284)</f>
        <v>69.23418152913365</v>
      </c>
      <c r="DR69" s="20">
        <f t="shared" si="70"/>
        <v>626.97570890133682</v>
      </c>
      <c r="DS69" s="59">
        <f t="shared" si="71"/>
        <v>891.4287680185239</v>
      </c>
      <c r="DT69" s="59">
        <f ca="1">AVERAGE(OFFSET($DS$3,0,0,'Données projet'!$E$14+1,1))-AVERAGE(OFFSET($H$3,0,0,'Données projet'!$E$14+1,1))</f>
        <v>407.05634973057056</v>
      </c>
      <c r="DU69" s="59">
        <f t="shared" ref="DU69:DU132" si="98">$DU$3</f>
        <v>375.32891954889965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94.320938618481705</v>
      </c>
      <c r="EB69" s="21">
        <f>EXP(-LN(2)/25)*EB68+(1-EXP(-LN(2)/25))/(LN(2)/25)*Calculateur!DW69*Calculateur!DY69*VLOOKUP('Données projet'!$B$14,Paramètres!$A$1:$I$89,3,0)*0.475*44/12</f>
        <v>32.485566027621658</v>
      </c>
      <c r="EC69" s="21">
        <f>EXP(-LN(2)/2)*EC68+(1-EXP(-LN(2)/2))/(LN(2)/2)*DW69*DZ69*VLOOKUP('Données projet'!$B$14,Paramètres!$A$1:$I$89,3,0)*0.475*44/12</f>
        <v>4.8747597035613284</v>
      </c>
      <c r="ED69" s="22">
        <f t="shared" si="72"/>
        <v>131.6812643496647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17.2</v>
      </c>
      <c r="EJ69" s="12">
        <f>IF('Données projet'!$A$192&gt;35,EJ68+EI69-ER68,IF(A69&lt;'Données projet'!$A$192,$EG$205^A69,IF(A69='Données projet'!$A$192,'Données projet'!$B$192,EJ68+EI69-ER68)))</f>
        <v>643.20000000000005</v>
      </c>
      <c r="EK69" s="17">
        <f>EJ69*VLOOKUP('Données projet'!$B$15,Paramètres!$A$1:$I$89,3,0)*VLOOKUP('Données projet'!$B$15,Paramètres!$A$1:$I$89,5,0)</f>
        <v>284.29440000000005</v>
      </c>
      <c r="EL69" s="13">
        <f t="shared" ref="EL69:EL132" si="99">EXP(-1.0587+0.8836*LN(EK69)+0.284)</f>
        <v>67.873733555704575</v>
      </c>
      <c r="EM69" s="20">
        <f t="shared" si="73"/>
        <v>613.3594992761856</v>
      </c>
      <c r="EN69" s="59">
        <f t="shared" si="74"/>
        <v>877.81255839337268</v>
      </c>
      <c r="EO69" s="59">
        <f ca="1">AVERAGE(OFFSET($EN$3,0,0,'Données projet'!$E$15+1,1))-AVERAGE(OFFSET($H$3,0,0,'Données projet'!$E$15+1,1))</f>
        <v>418.28022549686278</v>
      </c>
      <c r="EP69" s="59">
        <f t="shared" ref="EP69:EP132" si="100">$EP$3</f>
        <v>354.55070454517158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55.16164789804602</v>
      </c>
      <c r="EW69" s="21">
        <f>EXP(-LN(2)/25)*EW68+(1-EXP(-LN(2)/25))/(LN(2)/25)*Calculateur!ER69*Calculateur!ET69*VLOOKUP('Données projet'!$B$15,Paramètres!$A$1:$I$89,3,0)*0.475*44/12</f>
        <v>25.721670830980333</v>
      </c>
      <c r="EX69" s="21">
        <f>EXP(-LN(2)/2)*EX68+(1-EXP(-LN(2)/2))/(LN(2)/2)*ER69*EU69*VLOOKUP('Données projet'!$B$15,Paramètres!$A$1:$I$89,3,0)*0.475*44/12</f>
        <v>4.2236980188774575</v>
      </c>
      <c r="EY69" s="22">
        <f t="shared" si="75"/>
        <v>85.107016747903813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6.8933333333333326</v>
      </c>
      <c r="FE69" s="12">
        <f>IF('Données projet'!$A$218&gt;35,FE68+FD69-FM68,IF(A69&lt;'Données projet'!$A$218,$FB$205^A69,IF(A69='Données projet'!$A$218,'Données projet'!$B$218,FE68+FD69-FM68)))</f>
        <v>170.10999999999996</v>
      </c>
      <c r="FF69" s="17">
        <f>FE69*VLOOKUP('Données projet'!$B$16,Paramètres!$A$1:$I$89,3,0)*VLOOKUP('Données projet'!$B$16,Paramètres!$A$1:$I$89,5,0)</f>
        <v>193.72126799999995</v>
      </c>
      <c r="FG69" s="13">
        <f t="shared" ref="FG69:FG132" si="101">EXP(-1.0587+0.8836*LN(FF69)+0.284)</f>
        <v>48.361741331727508</v>
      </c>
      <c r="FH69" s="20">
        <f t="shared" si="76"/>
        <v>421.6279079194253</v>
      </c>
      <c r="FI69" s="59">
        <f t="shared" si="77"/>
        <v>686.08096703661238</v>
      </c>
      <c r="FJ69" s="59">
        <f ca="1">AVERAGE(OFFSET($FI$3,0,0,'Données projet'!$E$16+1,1))-AVERAGE(OFFSET($H$3,0,0,'Données projet'!$E$16+1,1))</f>
        <v>640.05156427113661</v>
      </c>
      <c r="FK69" s="59">
        <f t="shared" ref="FK69:FK132" si="102">$FK$3</f>
        <v>308.77220155372902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26.61590414931587</v>
      </c>
      <c r="FS69" s="21">
        <f>EXP(-LN(2)/2)*FS68+(1-EXP(-LN(2)/2))/(LN(2)/2)*FM69*FP69*VLOOKUP('Données projet'!$B$16,Paramètres!$A$1:$I$89,3,0)*0.475*44/12</f>
        <v>1.9574493344298793</v>
      </c>
      <c r="FT69" s="22">
        <f t="shared" si="78"/>
        <v>28.573353483745748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1.1368683772161603E-13</v>
      </c>
      <c r="O70" s="13">
        <f>N70*VLOOKUP('Données projet'!$B$9,Paramètres!$A$1:$I$89,3,0)*VLOOKUP('Données projet'!$B$9,Paramètres!$A$1:$I$89,5,0)</f>
        <v>6.7984728957526396E-14</v>
      </c>
      <c r="P70" s="13">
        <f t="shared" si="87"/>
        <v>1.0682447123141398E-12</v>
      </c>
      <c r="Q70" s="20">
        <f t="shared" si="54"/>
        <v>1.978932943548152E-12</v>
      </c>
      <c r="R70" s="59">
        <f t="shared" si="55"/>
        <v>264.9540673082189</v>
      </c>
      <c r="S70" s="59">
        <f ca="1">AVERAGE(OFFSET($R$3,0,0,'Données projet'!$E$9+1,1))-AVERAGE(OFFSET($H$3,0,0,'Données projet'!$E$9+1,1))</f>
        <v>318.50474972254085</v>
      </c>
      <c r="T70" s="59">
        <f t="shared" si="88"/>
        <v>326.45858332753562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120.89258099427086</v>
      </c>
      <c r="AA70" s="21">
        <f>EXP(-LN(2)/25)*AA69+(1-EXP(-LN(2)/25))/(LN(2)/25)*Calculateur!V70*Calculateur!X70*VLOOKUP('Données projet'!$B$9,Paramètres!$A$1:$I$89,3,0)*0.475*44/12</f>
        <v>39.895175302098977</v>
      </c>
      <c r="AB70" s="21">
        <f>EXP(-LN(2)/2)*AB69+(1-EXP(-LN(2)/2))/(LN(2)/2)*V70*Y70*VLOOKUP('Données projet'!$B$9,Paramètres!$A$1:$I$89,3,0)*0.475*44/12</f>
        <v>5.2998928537653285</v>
      </c>
      <c r="AC70" s="22">
        <f t="shared" si="57"/>
        <v>166.08764915013515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11.997500000000002</v>
      </c>
      <c r="AI70" s="13">
        <f>IF('Données projet'!$A$62&gt;35,AI69+AH70-AQ69,IF(A70&lt;'Données projet'!$A$62,$AF$205^A70,IF(A70='Données projet'!$A$62,'Données projet'!$B$62,AI69+AH70-AQ69)))</f>
        <v>322.99499999999989</v>
      </c>
      <c r="AJ70" s="13">
        <f>AI70*VLOOKUP('Données projet'!$B$10,Paramètres!$A$1:$I$89,3,0)*VLOOKUP('Données projet'!$B$10,Paramètres!$A$1:$I$89,5,0)</f>
        <v>151.16165999999996</v>
      </c>
      <c r="AK70" s="13">
        <f t="shared" si="89"/>
        <v>38.842458378546986</v>
      </c>
      <c r="AL70" s="20">
        <f t="shared" si="58"/>
        <v>330.92383950930258</v>
      </c>
      <c r="AM70" s="59">
        <f t="shared" si="59"/>
        <v>595.87790681751949</v>
      </c>
      <c r="AN70" s="59">
        <f ca="1">AVERAGE(OFFSET($AM$3,0,0,'Données projet'!$E$10+1,1))-AVERAGE(OFFSET($H$3,0,0,'Données projet'!$E$10+1,1))</f>
        <v>374.38106339726073</v>
      </c>
      <c r="AO70" s="59">
        <f t="shared" si="90"/>
        <v>296.53283288925957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29.257285290315053</v>
      </c>
      <c r="AV70" s="21">
        <f>EXP(-LN(2)/25)*AV69+(1-EXP(-LN(2)/25))/(LN(2)/25)*Calculateur!AQ70*Calculateur!AS70*VLOOKUP('Données projet'!$B$10,Paramètres!$A$1:$I$89,3,0)*0.475*44/12</f>
        <v>19.886957810799146</v>
      </c>
      <c r="AW70" s="21">
        <f>EXP(-LN(2)/2)*AW69+(1-EXP(-LN(2)/2))/(LN(2)/2)*AQ70*AT70*VLOOKUP('Données projet'!$B$10,Paramètres!$A$1:$I$89,3,0)*0.475*44/12</f>
        <v>1.4795635586041787</v>
      </c>
      <c r="AX70" s="21">
        <f t="shared" si="60"/>
        <v>50.623806659718376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9.733749999999997</v>
      </c>
      <c r="BD70" s="12">
        <f>IF('Données projet'!$A$88&gt;35,BD69+BC70-BL69,IF(A70&lt;'Données projet'!$A$88,$BA$205^A70,IF(A70='Données projet'!$A$88,'Données projet'!$B$88,BD69+BC70-BL69)))</f>
        <v>242.82375000000033</v>
      </c>
      <c r="BE70" s="13">
        <f>BD70*VLOOKUP('Données projet'!$B$11,Paramètres!$A$1:$I$89,3,0)*VLOOKUP('Données projet'!$B$11,Paramètres!$A$1:$I$89,5,0)</f>
        <v>219.70692900000031</v>
      </c>
      <c r="BF70" s="13">
        <f t="shared" si="91"/>
        <v>54.051183245794981</v>
      </c>
      <c r="BG70" s="20">
        <f t="shared" si="61"/>
        <v>476.79537882809342</v>
      </c>
      <c r="BH70" s="59">
        <f t="shared" si="62"/>
        <v>741.74944613631033</v>
      </c>
      <c r="BI70" s="59">
        <f ca="1">AVERAGE(OFFSET($BH$3,0,0,'Données projet'!$E$11+1,1))-AVERAGE(OFFSET($H$3,0,0,'Données projet'!$E$11+1,1))</f>
        <v>681.47578137804555</v>
      </c>
      <c r="BJ70" s="59">
        <f t="shared" si="92"/>
        <v>300.88511065995885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7.9222373986385248</v>
      </c>
      <c r="BQ70" s="21">
        <f>EXP(-LN(2)/25)*BQ69+(1-EXP(-LN(2)/25))/(LN(2)/25)*Calculateur!BL70*Calculateur!BN70*VLOOKUP('Données projet'!$B$11,Paramètres!$A$1:$I$89,3,0)*0.475*44/12</f>
        <v>32.893117017752324</v>
      </c>
      <c r="BR70" s="21">
        <f>EXP(-LN(2)/2)*BR69+(1-EXP(-LN(2)/2))/(LN(2)/2)*BL70*BO70*VLOOKUP('Données projet'!$B$11,Paramètres!$A$1:$I$89,3,0)*0.475*44/12</f>
        <v>3.6200701778093825</v>
      </c>
      <c r="BS70" s="22">
        <f t="shared" si="63"/>
        <v>44.435424594200228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2.9487179487179476</v>
      </c>
      <c r="BY70" s="12">
        <f>IF('Données projet'!$A$114&gt;35,BY69+BX70-CG69,IF(A70&lt;'Données projet'!$A$114,$BV$205^A70,IF(A70='Données projet'!$A$114,'Données projet'!$B$114,BY69+BX70-CG69)))</f>
        <v>132.17948717948724</v>
      </c>
      <c r="BZ70" s="13">
        <f>BY70*VLOOKUP('Données projet'!$B$12,Paramètres!$A$1:$I$89,3,0)*VLOOKUP('Données projet'!$B$12,Paramètres!$A$1:$I$89,5,0)</f>
        <v>138.15400000000008</v>
      </c>
      <c r="CA70" s="13">
        <f t="shared" si="93"/>
        <v>35.873786682299354</v>
      </c>
      <c r="CB70" s="20">
        <f t="shared" si="64"/>
        <v>303.09839513833816</v>
      </c>
      <c r="CC70" s="59">
        <f t="shared" si="65"/>
        <v>568.05246244655507</v>
      </c>
      <c r="CD70" s="59">
        <f ca="1">AVERAGE(OFFSET($CC$3,0,0,'Données projet'!$E$12+1,1))-AVERAGE(OFFSET($H$3,0,0,'Données projet'!$E$12+1,1))</f>
        <v>290.69667785754848</v>
      </c>
      <c r="CE70" s="59">
        <f t="shared" si="94"/>
        <v>256.28124185489082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1.5217036620772608</v>
      </c>
      <c r="CL70" s="21">
        <f>EXP(-LN(2)/25)*CL69+(1-EXP(-LN(2)/25))/(LN(2)/25)*Calculateur!CG70*Calculateur!CI70*VLOOKUP('Données projet'!$B$12,Paramètres!$A$1:$I$89,3,0)*0.475*44/12</f>
        <v>18.71544293544753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20.237146597524792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4.5999999999999996</v>
      </c>
      <c r="CT70" s="12">
        <f>IF('Données projet'!$A$140&gt;35,CT69+CS70-DB69,IF(A70&lt;'Données projet'!$A$140,$CQ$205^A70,IF(A70='Données projet'!$A$140,'Données projet'!$B$140,CT69+CS70-DB69)))</f>
        <v>302.19999999999987</v>
      </c>
      <c r="CU70" s="17">
        <f>CT70*VLOOKUP('Données projet'!$B$13,Paramètres!$A$1:$I$89,3,0)*VLOOKUP('Données projet'!$B$13,Paramètres!$A$1:$I$89,5,0)</f>
        <v>264.00191999999993</v>
      </c>
      <c r="CV70" s="13">
        <f t="shared" si="95"/>
        <v>63.574665748345318</v>
      </c>
      <c r="CW70" s="20">
        <f t="shared" si="67"/>
        <v>570.52922017836795</v>
      </c>
      <c r="CX70" s="59">
        <f t="shared" si="68"/>
        <v>835.48328748658491</v>
      </c>
      <c r="CY70" s="59">
        <f ca="1">AVERAGE(OFFSET($CX$3,0,0,'Données projet'!$E$13+1,1))-AVERAGE(OFFSET($H$3,0,0,'Données projet'!$E$13+1,1))</f>
        <v>408.246209980743</v>
      </c>
      <c r="CZ70" s="59">
        <f t="shared" si="96"/>
        <v>394.10236303013903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15.647864104633053</v>
      </c>
      <c r="DG70" s="21">
        <f>EXP(-LN(2)/25)*DG69+(1-EXP(-LN(2)/25))/(LN(2)/25)*Calculateur!DB70*Calculateur!DD70*VLOOKUP('Données projet'!$B$13,Paramètres!$A$1:$I$89,3,0)*0.475*44/12</f>
        <v>16.7881812945141</v>
      </c>
      <c r="DH70" s="21">
        <f>EXP(-LN(2)/2)*DH69+(1-EXP(-LN(2)/2))/(LN(2)/2)*DB70*DE70*VLOOKUP('Données projet'!$B$13,Paramètres!$A$1:$I$89,3,0)*0.475*44/12</f>
        <v>1.6599268994882945</v>
      </c>
      <c r="DI70" s="22">
        <f t="shared" si="69"/>
        <v>34.095972298635452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16.682857142857149</v>
      </c>
      <c r="DO70" s="12">
        <f>IF('Données projet'!$A$166&gt;35,DO69+DN70-DW69,IF(A70&lt;'Données projet'!$A$166,$DL$205^A70,IF(A70='Données projet'!$A$166,'Données projet'!$B$166,DO69+DN70-DW69)))</f>
        <v>536.81142857142902</v>
      </c>
      <c r="DP70" s="17">
        <f>DO70*VLOOKUP('Données projet'!$B$14,Paramètres!$A$1:$I$89,3,0)*VLOOKUP('Données projet'!$B$14,Paramètres!$A$1:$I$89,5,0)</f>
        <v>300.07758857142881</v>
      </c>
      <c r="DQ70" s="13">
        <f t="shared" si="97"/>
        <v>71.19272877566128</v>
      </c>
      <c r="DR70" s="20">
        <f t="shared" si="70"/>
        <v>646.62913604618188</v>
      </c>
      <c r="DS70" s="59">
        <f t="shared" si="71"/>
        <v>911.58320335439885</v>
      </c>
      <c r="DT70" s="59">
        <f ca="1">AVERAGE(OFFSET($DS$3,0,0,'Données projet'!$E$14+1,1))-AVERAGE(OFFSET($H$3,0,0,'Données projet'!$E$14+1,1))</f>
        <v>407.05634973057056</v>
      </c>
      <c r="DU70" s="59">
        <f t="shared" si="98"/>
        <v>375.32891954889965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92.471362542265211</v>
      </c>
      <c r="EB70" s="21">
        <f>EXP(-LN(2)/25)*EB69+(1-EXP(-LN(2)/25))/(LN(2)/25)*Calculateur!DW70*Calculateur!DY70*VLOOKUP('Données projet'!$B$14,Paramètres!$A$1:$I$89,3,0)*0.475*44/12</f>
        <v>31.597246516254675</v>
      </c>
      <c r="EC70" s="21">
        <f>EXP(-LN(2)/2)*EC69+(1-EXP(-LN(2)/2))/(LN(2)/2)*DW70*DZ70*VLOOKUP('Données projet'!$B$14,Paramètres!$A$1:$I$89,3,0)*0.475*44/12</f>
        <v>3.4469756430431397</v>
      </c>
      <c r="ED70" s="22">
        <f t="shared" si="72"/>
        <v>127.51558470156303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17.2</v>
      </c>
      <c r="EJ70" s="12">
        <f>IF('Données projet'!$A$192&gt;35,EJ69+EI70-ER69,IF(A70&lt;'Données projet'!$A$192,$EG$205^A70,IF(A70='Données projet'!$A$192,'Données projet'!$B$192,EJ69+EI70-ER69)))</f>
        <v>660.40000000000009</v>
      </c>
      <c r="EK70" s="17">
        <f>EJ70*VLOOKUP('Données projet'!$B$15,Paramètres!$A$1:$I$89,3,0)*VLOOKUP('Données projet'!$B$15,Paramètres!$A$1:$I$89,5,0)</f>
        <v>291.8968000000001</v>
      </c>
      <c r="EL70" s="13">
        <f t="shared" si="99"/>
        <v>69.475023818152522</v>
      </c>
      <c r="EM70" s="20">
        <f t="shared" si="73"/>
        <v>629.38925981661589</v>
      </c>
      <c r="EN70" s="59">
        <f t="shared" si="74"/>
        <v>894.34332712483274</v>
      </c>
      <c r="EO70" s="59">
        <f ca="1">AVERAGE(OFFSET($EN$3,0,0,'Données projet'!$E$15+1,1))-AVERAGE(OFFSET($H$3,0,0,'Données projet'!$E$15+1,1))</f>
        <v>418.28022549686278</v>
      </c>
      <c r="EP70" s="59">
        <f t="shared" si="100"/>
        <v>354.55070454517158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54.079961628048359</v>
      </c>
      <c r="EW70" s="21">
        <f>EXP(-LN(2)/25)*EW69+(1-EXP(-LN(2)/25))/(LN(2)/25)*Calculateur!ER70*Calculateur!ET70*VLOOKUP('Données projet'!$B$15,Paramètres!$A$1:$I$89,3,0)*0.475*44/12</f>
        <v>25.018310389463295</v>
      </c>
      <c r="EX70" s="21">
        <f>EXP(-LN(2)/2)*EX69+(1-EXP(-LN(2)/2))/(LN(2)/2)*ER70*EU70*VLOOKUP('Données projet'!$B$15,Paramètres!$A$1:$I$89,3,0)*0.475*44/12</f>
        <v>2.9866055108324367</v>
      </c>
      <c r="EY70" s="22">
        <f t="shared" si="75"/>
        <v>82.08487752834408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6.8933333333333326</v>
      </c>
      <c r="FE70" s="12">
        <f>IF('Données projet'!$A$218&gt;35,FE69+FD70-FM69,IF(A70&lt;'Données projet'!$A$218,$FB$205^A70,IF(A70='Données projet'!$A$218,'Données projet'!$B$218,FE69+FD70-FM69)))</f>
        <v>177.0033333333333</v>
      </c>
      <c r="FF70" s="17">
        <f>FE70*VLOOKUP('Données projet'!$B$16,Paramètres!$A$1:$I$89,3,0)*VLOOKUP('Données projet'!$B$16,Paramètres!$A$1:$I$89,5,0)</f>
        <v>201.57139599999996</v>
      </c>
      <c r="FG70" s="13">
        <f t="shared" si="101"/>
        <v>50.089355546385931</v>
      </c>
      <c r="FH70" s="20">
        <f t="shared" si="76"/>
        <v>438.30914227662203</v>
      </c>
      <c r="FI70" s="59">
        <f t="shared" si="77"/>
        <v>703.26320958483893</v>
      </c>
      <c r="FJ70" s="59">
        <f ca="1">AVERAGE(OFFSET($FI$3,0,0,'Données projet'!$E$16+1,1))-AVERAGE(OFFSET($H$3,0,0,'Données projet'!$E$16+1,1))</f>
        <v>640.05156427113661</v>
      </c>
      <c r="FK70" s="59">
        <f t="shared" si="102"/>
        <v>308.77220155372902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25.888090850683259</v>
      </c>
      <c r="FS70" s="21">
        <f>EXP(-LN(2)/2)*FS69+(1-EXP(-LN(2)/2))/(LN(2)/2)*FM70*FP70*VLOOKUP('Données projet'!$B$16,Paramètres!$A$1:$I$89,3,0)*0.475*44/12</f>
        <v>1.3841256982044619</v>
      </c>
      <c r="FT70" s="22">
        <f t="shared" si="78"/>
        <v>27.27221654888772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1.1368683772161603E-13</v>
      </c>
      <c r="O71" s="13">
        <f>N71*VLOOKUP('Données projet'!$B$9,Paramètres!$A$1:$I$89,3,0)*VLOOKUP('Données projet'!$B$9,Paramètres!$A$1:$I$89,5,0)</f>
        <v>6.7984728957526396E-14</v>
      </c>
      <c r="P71" s="13">
        <f t="shared" si="87"/>
        <v>1.0682447123141398E-12</v>
      </c>
      <c r="Q71" s="20">
        <f t="shared" si="54"/>
        <v>1.978932943548152E-12</v>
      </c>
      <c r="R71" s="59">
        <f t="shared" si="55"/>
        <v>265.44638412722082</v>
      </c>
      <c r="S71" s="59">
        <f ca="1">AVERAGE(OFFSET($R$3,0,0,'Données projet'!$E$9+1,1))-AVERAGE(OFFSET($H$3,0,0,'Données projet'!$E$9+1,1))</f>
        <v>318.50474972254085</v>
      </c>
      <c r="T71" s="59">
        <f t="shared" si="88"/>
        <v>326.45858332753562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118.52195121816666</v>
      </c>
      <c r="AA71" s="21">
        <f>EXP(-LN(2)/25)*AA70+(1-EXP(-LN(2)/25))/(LN(2)/25)*Calculateur!V71*Calculateur!X71*VLOOKUP('Données projet'!$B$9,Paramètres!$A$1:$I$89,3,0)*0.475*44/12</f>
        <v>38.804239635466992</v>
      </c>
      <c r="AB71" s="21">
        <f>EXP(-LN(2)/2)*AB70+(1-EXP(-LN(2)/2))/(LN(2)/2)*V71*Y71*VLOOKUP('Données projet'!$B$9,Paramètres!$A$1:$I$89,3,0)*0.475*44/12</f>
        <v>3.7475901764595871</v>
      </c>
      <c r="AC71" s="22">
        <f t="shared" si="57"/>
        <v>161.07378103009324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11.997500000000002</v>
      </c>
      <c r="AI71" s="13">
        <f>IF('Données projet'!$A$62&gt;35,AI70+AH71-AQ70,IF(A71&lt;'Données projet'!$A$62,$AF$205^A71,IF(A71='Données projet'!$A$62,'Données projet'!$B$62,AI70+AH71-AQ70)))</f>
        <v>334.99249999999989</v>
      </c>
      <c r="AJ71" s="13">
        <f>AI71*VLOOKUP('Données projet'!$B$10,Paramètres!$A$1:$I$89,3,0)*VLOOKUP('Données projet'!$B$10,Paramètres!$A$1:$I$89,5,0)</f>
        <v>156.77648999999997</v>
      </c>
      <c r="AK71" s="13">
        <f t="shared" si="89"/>
        <v>40.114584738417847</v>
      </c>
      <c r="AL71" s="20">
        <f t="shared" si="58"/>
        <v>342.91862183607765</v>
      </c>
      <c r="AM71" s="59">
        <f t="shared" si="59"/>
        <v>608.36500596329643</v>
      </c>
      <c r="AN71" s="59">
        <f ca="1">AVERAGE(OFFSET($AM$3,0,0,'Données projet'!$E$10+1,1))-AVERAGE(OFFSET($H$3,0,0,'Données projet'!$E$10+1,1))</f>
        <v>374.38106339726073</v>
      </c>
      <c r="AO71" s="59">
        <f t="shared" si="90"/>
        <v>296.53283288925957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28.683567770953935</v>
      </c>
      <c r="AV71" s="21">
        <f>EXP(-LN(2)/25)*AV70+(1-EXP(-LN(2)/25))/(LN(2)/25)*Calculateur!AQ71*Calculateur!AS71*VLOOKUP('Données projet'!$B$10,Paramètres!$A$1:$I$89,3,0)*0.475*44/12</f>
        <v>19.343147903653183</v>
      </c>
      <c r="AW71" s="21">
        <f>EXP(-LN(2)/2)*AW70+(1-EXP(-LN(2)/2))/(LN(2)/2)*AQ71*AT71*VLOOKUP('Données projet'!$B$10,Paramètres!$A$1:$I$89,3,0)*0.475*44/12</f>
        <v>1.0462094254855145</v>
      </c>
      <c r="AX71" s="21">
        <f t="shared" si="60"/>
        <v>49.072925100092633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9.733749999999997</v>
      </c>
      <c r="BD71" s="12">
        <f>IF('Données projet'!$A$88&gt;35,BD70+BC71-BL70,IF(A71&lt;'Données projet'!$A$88,$BA$205^A71,IF(A71='Données projet'!$A$88,'Données projet'!$B$88,BD70+BC71-BL70)))</f>
        <v>252.55750000000032</v>
      </c>
      <c r="BE71" s="13">
        <f>BD71*VLOOKUP('Données projet'!$B$11,Paramètres!$A$1:$I$89,3,0)*VLOOKUP('Données projet'!$B$11,Paramètres!$A$1:$I$89,5,0)</f>
        <v>228.51402600000029</v>
      </c>
      <c r="BF71" s="13">
        <f t="shared" si="91"/>
        <v>55.96125810397254</v>
      </c>
      <c r="BG71" s="20">
        <f t="shared" si="61"/>
        <v>495.46111981441936</v>
      </c>
      <c r="BH71" s="59">
        <f t="shared" si="62"/>
        <v>760.9075039416382</v>
      </c>
      <c r="BI71" s="59">
        <f ca="1">AVERAGE(OFFSET($BH$3,0,0,'Données projet'!$E$11+1,1))-AVERAGE(OFFSET($H$3,0,0,'Données projet'!$E$11+1,1))</f>
        <v>681.47578137804555</v>
      </c>
      <c r="BJ71" s="59">
        <f t="shared" si="92"/>
        <v>300.88511065995885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7.7668871553389076</v>
      </c>
      <c r="BQ71" s="21">
        <f>EXP(-LN(2)/25)*BQ70+(1-EXP(-LN(2)/25))/(LN(2)/25)*Calculateur!BL71*Calculateur!BN71*VLOOKUP('Données projet'!$B$11,Paramètres!$A$1:$I$89,3,0)*0.475*44/12</f>
        <v>31.993653003128042</v>
      </c>
      <c r="BR71" s="21">
        <f>EXP(-LN(2)/2)*BR70+(1-EXP(-LN(2)/2))/(LN(2)/2)*BL71*BO71*VLOOKUP('Données projet'!$B$11,Paramètres!$A$1:$I$89,3,0)*0.475*44/12</f>
        <v>2.5597761711002054</v>
      </c>
      <c r="BS71" s="22">
        <f t="shared" si="63"/>
        <v>42.320316329567156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2.9487179487179476</v>
      </c>
      <c r="BY71" s="12">
        <f>IF('Données projet'!$A$114&gt;35,BY70+BX71-CG70,IF(A71&lt;'Données projet'!$A$114,$BV$205^A71,IF(A71='Données projet'!$A$114,'Données projet'!$B$114,BY70+BX71-CG70)))</f>
        <v>135.1282051282052</v>
      </c>
      <c r="BZ71" s="13">
        <f>BY71*VLOOKUP('Données projet'!$B$12,Paramètres!$A$1:$I$89,3,0)*VLOOKUP('Données projet'!$B$12,Paramètres!$A$1:$I$89,5,0)</f>
        <v>141.23600000000008</v>
      </c>
      <c r="CA71" s="13">
        <f t="shared" si="93"/>
        <v>36.580010725228504</v>
      </c>
      <c r="CB71" s="20">
        <f t="shared" si="64"/>
        <v>309.69621867977315</v>
      </c>
      <c r="CC71" s="59">
        <f t="shared" si="65"/>
        <v>575.14260280699204</v>
      </c>
      <c r="CD71" s="59">
        <f ca="1">AVERAGE(OFFSET($CC$3,0,0,'Données projet'!$E$12+1,1))-AVERAGE(OFFSET($H$3,0,0,'Données projet'!$E$12+1,1))</f>
        <v>290.69667785754848</v>
      </c>
      <c r="CE71" s="59">
        <f t="shared" si="94"/>
        <v>256.28124185489082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1.4918639814115127</v>
      </c>
      <c r="CL71" s="21">
        <f>EXP(-LN(2)/25)*CL70+(1-EXP(-LN(2)/25))/(LN(2)/25)*Calculateur!CG71*Calculateur!CI71*VLOOKUP('Données projet'!$B$12,Paramètres!$A$1:$I$89,3,0)*0.475*44/12</f>
        <v>18.203668164175347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19.69553214558686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4.5999999999999996</v>
      </c>
      <c r="CT71" s="12">
        <f>IF('Données projet'!$A$140&gt;35,CT70+CS71-DB70,IF(A71&lt;'Données projet'!$A$140,$CQ$205^A71,IF(A71='Données projet'!$A$140,'Données projet'!$B$140,CT70+CS71-DB70)))</f>
        <v>306.7999999999999</v>
      </c>
      <c r="CU71" s="17">
        <f>CT71*VLOOKUP('Données projet'!$B$13,Paramètres!$A$1:$I$89,3,0)*VLOOKUP('Données projet'!$B$13,Paramètres!$A$1:$I$89,5,0)</f>
        <v>268.02047999999996</v>
      </c>
      <c r="CV71" s="13">
        <f t="shared" si="95"/>
        <v>64.42898543616613</v>
      </c>
      <c r="CW71" s="20">
        <f t="shared" si="67"/>
        <v>579.01615230132256</v>
      </c>
      <c r="CX71" s="59">
        <f t="shared" si="68"/>
        <v>844.4625364285414</v>
      </c>
      <c r="CY71" s="59">
        <f ca="1">AVERAGE(OFFSET($CX$3,0,0,'Données projet'!$E$13+1,1))-AVERAGE(OFFSET($H$3,0,0,'Données projet'!$E$13+1,1))</f>
        <v>408.246209980743</v>
      </c>
      <c r="CZ71" s="59">
        <f t="shared" si="96"/>
        <v>394.10236303013903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15.341019033795886</v>
      </c>
      <c r="DG71" s="21">
        <f>EXP(-LN(2)/25)*DG70+(1-EXP(-LN(2)/25))/(LN(2)/25)*Calculateur!DB71*Calculateur!DD71*VLOOKUP('Données projet'!$B$13,Paramètres!$A$1:$I$89,3,0)*0.475*44/12</f>
        <v>16.329107594163528</v>
      </c>
      <c r="DH71" s="21">
        <f>EXP(-LN(2)/2)*DH70+(1-EXP(-LN(2)/2))/(LN(2)/2)*DB71*DE71*VLOOKUP('Données projet'!$B$13,Paramètres!$A$1:$I$89,3,0)*0.475*44/12</f>
        <v>1.1737455669021337</v>
      </c>
      <c r="DI71" s="22">
        <f t="shared" si="69"/>
        <v>32.843872194861547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16.682857142857149</v>
      </c>
      <c r="DO71" s="12">
        <f>IF('Données projet'!$A$166&gt;35,DO70+DN71-DW70,IF(A71&lt;'Données projet'!$A$166,$DL$205^A71,IF(A71='Données projet'!$A$166,'Données projet'!$B$166,DO70+DN71-DW70)))</f>
        <v>553.49428571428621</v>
      </c>
      <c r="DP71" s="17">
        <f>DO71*VLOOKUP('Données projet'!$B$14,Paramètres!$A$1:$I$89,3,0)*VLOOKUP('Données projet'!$B$14,Paramètres!$A$1:$I$89,5,0)</f>
        <v>309.40330571428598</v>
      </c>
      <c r="DQ71" s="13">
        <f t="shared" si="97"/>
        <v>73.144202686055834</v>
      </c>
      <c r="DR71" s="20">
        <f t="shared" si="70"/>
        <v>666.27024379726197</v>
      </c>
      <c r="DS71" s="59">
        <f t="shared" si="71"/>
        <v>931.7166279244808</v>
      </c>
      <c r="DT71" s="59">
        <f ca="1">AVERAGE(OFFSET($DS$3,0,0,'Données projet'!$E$14+1,1))-AVERAGE(OFFSET($H$3,0,0,'Données projet'!$E$14+1,1))</f>
        <v>407.05634973057056</v>
      </c>
      <c r="DU71" s="59">
        <f t="shared" si="98"/>
        <v>375.32891954889965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90.658055524773317</v>
      </c>
      <c r="EB71" s="21">
        <f>EXP(-LN(2)/25)*EB70+(1-EXP(-LN(2)/25))/(LN(2)/25)*Calculateur!DW71*Calculateur!DY71*VLOOKUP('Données projet'!$B$14,Paramètres!$A$1:$I$89,3,0)*0.475*44/12</f>
        <v>30.733218148640713</v>
      </c>
      <c r="EC71" s="21">
        <f>EXP(-LN(2)/2)*EC70+(1-EXP(-LN(2)/2))/(LN(2)/2)*DW71*DZ71*VLOOKUP('Données projet'!$B$14,Paramètres!$A$1:$I$89,3,0)*0.475*44/12</f>
        <v>2.4373798517806646</v>
      </c>
      <c r="ED71" s="22">
        <f t="shared" si="72"/>
        <v>123.8286535251947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17.2</v>
      </c>
      <c r="EJ71" s="12">
        <f>IF('Données projet'!$A$192&gt;35,EJ70+EI71-ER70,IF(A71&lt;'Données projet'!$A$192,$EG$205^A71,IF(A71='Données projet'!$A$192,'Données projet'!$B$192,EJ70+EI71-ER70)))</f>
        <v>677.60000000000014</v>
      </c>
      <c r="EK71" s="17">
        <f>EJ71*VLOOKUP('Données projet'!$B$15,Paramètres!$A$1:$I$89,3,0)*VLOOKUP('Données projet'!$B$15,Paramètres!$A$1:$I$89,5,0)</f>
        <v>299.49920000000009</v>
      </c>
      <c r="EL71" s="13">
        <f t="shared" si="99"/>
        <v>71.071466353381297</v>
      </c>
      <c r="EM71" s="20">
        <f t="shared" si="73"/>
        <v>645.41057723213919</v>
      </c>
      <c r="EN71" s="59">
        <f t="shared" si="74"/>
        <v>910.85696135935802</v>
      </c>
      <c r="EO71" s="59">
        <f ca="1">AVERAGE(OFFSET($EN$3,0,0,'Données projet'!$E$15+1,1))-AVERAGE(OFFSET($H$3,0,0,'Données projet'!$E$15+1,1))</f>
        <v>418.28022549686278</v>
      </c>
      <c r="EP71" s="59">
        <f t="shared" si="100"/>
        <v>354.55070454517158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53.019486566041877</v>
      </c>
      <c r="EW71" s="21">
        <f>EXP(-LN(2)/25)*EW70+(1-EXP(-LN(2)/25))/(LN(2)/25)*Calculateur!ER71*Calculateur!ET71*VLOOKUP('Données projet'!$B$15,Paramètres!$A$1:$I$89,3,0)*0.475*44/12</f>
        <v>24.334183376207658</v>
      </c>
      <c r="EX71" s="21">
        <f>EXP(-LN(2)/2)*EX70+(1-EXP(-LN(2)/2))/(LN(2)/2)*ER71*EU71*VLOOKUP('Données projet'!$B$15,Paramètres!$A$1:$I$89,3,0)*0.475*44/12</f>
        <v>2.1118490094387288</v>
      </c>
      <c r="EY71" s="22">
        <f t="shared" si="75"/>
        <v>79.465518951688267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6.8933333333333326</v>
      </c>
      <c r="FE71" s="12">
        <f>IF('Données projet'!$A$218&gt;35,FE70+FD71-FM70,IF(A71&lt;'Données projet'!$A$218,$FB$205^A71,IF(A71='Données projet'!$A$218,'Données projet'!$B$218,FE70+FD71-FM70)))</f>
        <v>183.89666666666665</v>
      </c>
      <c r="FF71" s="17">
        <f>FE71*VLOOKUP('Données projet'!$B$16,Paramètres!$A$1:$I$89,3,0)*VLOOKUP('Données projet'!$B$16,Paramètres!$A$1:$I$89,5,0)</f>
        <v>209.42152400000001</v>
      </c>
      <c r="FG71" s="13">
        <f t="shared" si="101"/>
        <v>51.809153850888102</v>
      </c>
      <c r="FH71" s="20">
        <f t="shared" si="76"/>
        <v>454.97676392363013</v>
      </c>
      <c r="FI71" s="59">
        <f t="shared" si="77"/>
        <v>720.42314805084902</v>
      </c>
      <c r="FJ71" s="59">
        <f ca="1">AVERAGE(OFFSET($FI$3,0,0,'Données projet'!$E$16+1,1))-AVERAGE(OFFSET($H$3,0,0,'Données projet'!$E$16+1,1))</f>
        <v>640.05156427113661</v>
      </c>
      <c r="FK71" s="59">
        <f t="shared" si="102"/>
        <v>308.77220155372902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25.180179644975794</v>
      </c>
      <c r="FS71" s="21">
        <f>EXP(-LN(2)/2)*FS70+(1-EXP(-LN(2)/2))/(LN(2)/2)*FM71*FP71*VLOOKUP('Données projet'!$B$16,Paramètres!$A$1:$I$89,3,0)*0.475*44/12</f>
        <v>0.97872466721493978</v>
      </c>
      <c r="FT71" s="22">
        <f t="shared" si="78"/>
        <v>26.158904312190735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1.1368683772161603E-13</v>
      </c>
      <c r="O72" s="13">
        <f>N72*VLOOKUP('Données projet'!$B$9,Paramètres!$A$1:$I$89,3,0)*VLOOKUP('Données projet'!$B$9,Paramètres!$A$1:$I$89,5,0)</f>
        <v>6.7984728957526396E-14</v>
      </c>
      <c r="P72" s="13">
        <f t="shared" si="87"/>
        <v>1.0682447123141398E-12</v>
      </c>
      <c r="Q72" s="20">
        <f t="shared" si="54"/>
        <v>1.978932943548152E-12</v>
      </c>
      <c r="R72" s="59">
        <f t="shared" si="55"/>
        <v>265.93016035006855</v>
      </c>
      <c r="S72" s="59">
        <f ca="1">AVERAGE(OFFSET($R$3,0,0,'Données projet'!$E$9+1,1))-AVERAGE(OFFSET($H$3,0,0,'Données projet'!$E$9+1,1))</f>
        <v>318.50474972254085</v>
      </c>
      <c r="T72" s="59">
        <f t="shared" si="88"/>
        <v>326.45858332753562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116.19780804603049</v>
      </c>
      <c r="AA72" s="21">
        <f>EXP(-LN(2)/25)*AA71+(1-EXP(-LN(2)/25))/(LN(2)/25)*Calculateur!V72*Calculateur!X72*VLOOKUP('Données projet'!$B$9,Paramètres!$A$1:$I$89,3,0)*0.475*44/12</f>
        <v>37.743135662008875</v>
      </c>
      <c r="AB72" s="21">
        <f>EXP(-LN(2)/2)*AB71+(1-EXP(-LN(2)/2))/(LN(2)/2)*V72*Y72*VLOOKUP('Données projet'!$B$9,Paramètres!$A$1:$I$89,3,0)*0.475*44/12</f>
        <v>2.6499464268826647</v>
      </c>
      <c r="AC72" s="22">
        <f t="shared" si="57"/>
        <v>156.59089013492203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11.997500000000002</v>
      </c>
      <c r="AI72" s="13">
        <f>IF('Données projet'!$A$62&gt;35,AI71+AH72-AQ71,IF(A72&lt;'Données projet'!$A$62,$AF$205^A72,IF(A72='Données projet'!$A$62,'Données projet'!$B$62,AI71+AH72-AQ71)))</f>
        <v>346.9899999999999</v>
      </c>
      <c r="AJ72" s="13">
        <f>AI72*VLOOKUP('Données projet'!$B$10,Paramètres!$A$1:$I$89,3,0)*VLOOKUP('Données projet'!$B$10,Paramètres!$A$1:$I$89,5,0)</f>
        <v>162.39131999999995</v>
      </c>
      <c r="AK72" s="13">
        <f t="shared" si="89"/>
        <v>41.381417730562205</v>
      </c>
      <c r="AL72" s="20">
        <f t="shared" si="58"/>
        <v>354.90418488072902</v>
      </c>
      <c r="AM72" s="59">
        <f t="shared" si="59"/>
        <v>620.83434523079563</v>
      </c>
      <c r="AN72" s="59">
        <f ca="1">AVERAGE(OFFSET($AM$3,0,0,'Données projet'!$E$10+1,1))-AVERAGE(OFFSET($H$3,0,0,'Données projet'!$E$10+1,1))</f>
        <v>374.38106339726073</v>
      </c>
      <c r="AO72" s="59">
        <f t="shared" si="90"/>
        <v>296.53283288925957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28.121100502214357</v>
      </c>
      <c r="AV72" s="21">
        <f>EXP(-LN(2)/25)*AV71+(1-EXP(-LN(2)/25))/(LN(2)/25)*Calculateur!AQ72*Calculateur!AS72*VLOOKUP('Données projet'!$B$10,Paramètres!$A$1:$I$89,3,0)*0.475*44/12</f>
        <v>18.814208507015849</v>
      </c>
      <c r="AW72" s="21">
        <f>EXP(-LN(2)/2)*AW71+(1-EXP(-LN(2)/2))/(LN(2)/2)*AQ72*AT72*VLOOKUP('Données projet'!$B$10,Paramètres!$A$1:$I$89,3,0)*0.475*44/12</f>
        <v>0.73978177930208933</v>
      </c>
      <c r="AX72" s="21">
        <f t="shared" si="60"/>
        <v>47.675090788532302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9.733749999999997</v>
      </c>
      <c r="BD72" s="12">
        <f>IF('Données projet'!$A$88&gt;35,BD71+BC72-BL71,IF(A72&lt;'Données projet'!$A$88,$BA$205^A72,IF(A72='Données projet'!$A$88,'Données projet'!$B$88,BD71+BC72-BL71)))</f>
        <v>262.29125000000033</v>
      </c>
      <c r="BE72" s="13">
        <f>BD72*VLOOKUP('Données projet'!$B$11,Paramètres!$A$1:$I$89,3,0)*VLOOKUP('Données projet'!$B$11,Paramètres!$A$1:$I$89,5,0)</f>
        <v>237.32112300000028</v>
      </c>
      <c r="BF72" s="13">
        <f t="shared" si="91"/>
        <v>57.862781053141006</v>
      </c>
      <c r="BG72" s="20">
        <f t="shared" si="61"/>
        <v>514.11196622588784</v>
      </c>
      <c r="BH72" s="59">
        <f t="shared" si="62"/>
        <v>780.0421265759544</v>
      </c>
      <c r="BI72" s="59">
        <f ca="1">AVERAGE(OFFSET($BH$3,0,0,'Données projet'!$E$11+1,1))-AVERAGE(OFFSET($H$3,0,0,'Données projet'!$E$11+1,1))</f>
        <v>681.47578137804555</v>
      </c>
      <c r="BJ72" s="59">
        <f t="shared" si="92"/>
        <v>300.88511065995885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7.6145832355561032</v>
      </c>
      <c r="BQ72" s="21">
        <f>EXP(-LN(2)/25)*BQ71+(1-EXP(-LN(2)/25))/(LN(2)/25)*Calculateur!BL72*Calculateur!BN72*VLOOKUP('Données projet'!$B$11,Paramètres!$A$1:$I$89,3,0)*0.475*44/12</f>
        <v>31.118784879284416</v>
      </c>
      <c r="BR72" s="21">
        <f>EXP(-LN(2)/2)*BR71+(1-EXP(-LN(2)/2))/(LN(2)/2)*BL72*BO72*VLOOKUP('Données projet'!$B$11,Paramètres!$A$1:$I$89,3,0)*0.475*44/12</f>
        <v>1.8100350889046914</v>
      </c>
      <c r="BS72" s="22">
        <f t="shared" si="63"/>
        <v>40.543403203745207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2.9487179487179476</v>
      </c>
      <c r="BY72" s="12">
        <f>IF('Données projet'!$A$114&gt;35,BY71+BX72-CG71,IF(A72&lt;'Données projet'!$A$114,$BV$205^A72,IF(A72='Données projet'!$A$114,'Données projet'!$B$114,BY71+BX72-CG71)))</f>
        <v>138.07692307692315</v>
      </c>
      <c r="BZ72" s="13">
        <f>BY72*VLOOKUP('Données projet'!$B$12,Paramètres!$A$1:$I$89,3,0)*VLOOKUP('Données projet'!$B$12,Paramètres!$A$1:$I$89,5,0)</f>
        <v>144.3180000000001</v>
      </c>
      <c r="CA72" s="13">
        <f t="shared" si="93"/>
        <v>37.284443058265509</v>
      </c>
      <c r="CB72" s="20">
        <f t="shared" si="64"/>
        <v>316.29092165981257</v>
      </c>
      <c r="CC72" s="59">
        <f t="shared" si="65"/>
        <v>582.22108200987918</v>
      </c>
      <c r="CD72" s="59">
        <f ca="1">AVERAGE(OFFSET($CC$3,0,0,'Données projet'!$E$12+1,1))-AVERAGE(OFFSET($H$3,0,0,'Données projet'!$E$12+1,1))</f>
        <v>290.69667785754848</v>
      </c>
      <c r="CE72" s="59">
        <f t="shared" si="94"/>
        <v>256.28124185489082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1.4626094386832118</v>
      </c>
      <c r="CL72" s="21">
        <f>EXP(-LN(2)/25)*CL71+(1-EXP(-LN(2)/25))/(LN(2)/25)*Calculateur!CG72*Calculateur!CI72*VLOOKUP('Données projet'!$B$12,Paramètres!$A$1:$I$89,3,0)*0.475*44/12</f>
        <v>17.70588790093667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19.168497339619883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4.5999999999999996</v>
      </c>
      <c r="CT72" s="12">
        <f>IF('Données projet'!$A$140&gt;35,CT71+CS72-DB71,IF(A72&lt;'Données projet'!$A$140,$CQ$205^A72,IF(A72='Données projet'!$A$140,'Données projet'!$B$140,CT71+CS72-DB71)))</f>
        <v>311.39999999999992</v>
      </c>
      <c r="CU72" s="17">
        <f>CT72*VLOOKUP('Données projet'!$B$13,Paramètres!$A$1:$I$89,3,0)*VLOOKUP('Données projet'!$B$13,Paramètres!$A$1:$I$89,5,0)</f>
        <v>272.03904</v>
      </c>
      <c r="CV72" s="13">
        <f t="shared" si="95"/>
        <v>65.281815371368268</v>
      </c>
      <c r="CW72" s="20">
        <f t="shared" si="67"/>
        <v>587.50048977179972</v>
      </c>
      <c r="CX72" s="59">
        <f t="shared" si="68"/>
        <v>853.43065012186628</v>
      </c>
      <c r="CY72" s="59">
        <f ca="1">AVERAGE(OFFSET($CX$3,0,0,'Données projet'!$E$13+1,1))-AVERAGE(OFFSET($H$3,0,0,'Données projet'!$E$13+1,1))</f>
        <v>408.246209980743</v>
      </c>
      <c r="CZ72" s="59">
        <f t="shared" si="96"/>
        <v>394.10236303013903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15.040191007640823</v>
      </c>
      <c r="DG72" s="21">
        <f>EXP(-LN(2)/25)*DG71+(1-EXP(-LN(2)/25))/(LN(2)/25)*Calculateur!DB72*Calculateur!DD72*VLOOKUP('Données projet'!$B$13,Paramètres!$A$1:$I$89,3,0)*0.475*44/12</f>
        <v>15.882587288290678</v>
      </c>
      <c r="DH72" s="21">
        <f>EXP(-LN(2)/2)*DH71+(1-EXP(-LN(2)/2))/(LN(2)/2)*DB72*DE72*VLOOKUP('Données projet'!$B$13,Paramètres!$A$1:$I$89,3,0)*0.475*44/12</f>
        <v>0.82996344974414726</v>
      </c>
      <c r="DI72" s="22">
        <f t="shared" si="69"/>
        <v>31.75274174567565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16.682857142857149</v>
      </c>
      <c r="DO72" s="12">
        <f>IF('Données projet'!$A$166&gt;35,DO71+DN72-DW71,IF(A72&lt;'Données projet'!$A$166,$DL$205^A72,IF(A72='Données projet'!$A$166,'Données projet'!$B$166,DO71+DN72-DW71)))</f>
        <v>570.17714285714339</v>
      </c>
      <c r="DP72" s="17">
        <f>DO72*VLOOKUP('Données projet'!$B$14,Paramètres!$A$1:$I$89,3,0)*VLOOKUP('Données projet'!$B$14,Paramètres!$A$1:$I$89,5,0)</f>
        <v>318.72902285714315</v>
      </c>
      <c r="DQ72" s="13">
        <f t="shared" si="97"/>
        <v>75.088840929664514</v>
      </c>
      <c r="DR72" s="20">
        <f t="shared" si="70"/>
        <v>685.89944609535667</v>
      </c>
      <c r="DS72" s="59">
        <f t="shared" si="71"/>
        <v>951.82960644542322</v>
      </c>
      <c r="DT72" s="59">
        <f ca="1">AVERAGE(OFFSET($DS$3,0,0,'Données projet'!$E$14+1,1))-AVERAGE(OFFSET($H$3,0,0,'Données projet'!$E$14+1,1))</f>
        <v>407.05634973057056</v>
      </c>
      <c r="DU72" s="59">
        <f t="shared" si="98"/>
        <v>375.32891954889965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88.880306351886361</v>
      </c>
      <c r="EB72" s="21">
        <f>EXP(-LN(2)/25)*EB71+(1-EXP(-LN(2)/25))/(LN(2)/25)*Calculateur!DW72*Calculateur!DY72*VLOOKUP('Données projet'!$B$14,Paramètres!$A$1:$I$89,3,0)*0.475*44/12</f>
        <v>29.892816682176431</v>
      </c>
      <c r="EC72" s="21">
        <f>EXP(-LN(2)/2)*EC71+(1-EXP(-LN(2)/2))/(LN(2)/2)*DW72*DZ72*VLOOKUP('Données projet'!$B$14,Paramètres!$A$1:$I$89,3,0)*0.475*44/12</f>
        <v>1.7234878215215701</v>
      </c>
      <c r="ED72" s="22">
        <f t="shared" si="72"/>
        <v>120.49661085558436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17.2</v>
      </c>
      <c r="EJ72" s="12">
        <f>IF('Données projet'!$A$192&gt;35,EJ71+EI72-ER71,IF(A72&lt;'Données projet'!$A$192,$EG$205^A72,IF(A72='Données projet'!$A$192,'Données projet'!$B$192,EJ71+EI72-ER71)))</f>
        <v>694.80000000000018</v>
      </c>
      <c r="EK72" s="17">
        <f>EJ72*VLOOKUP('Données projet'!$B$15,Paramètres!$A$1:$I$89,3,0)*VLOOKUP('Données projet'!$B$15,Paramètres!$A$1:$I$89,5,0)</f>
        <v>307.10160000000013</v>
      </c>
      <c r="EL72" s="13">
        <f t="shared" si="99"/>
        <v>72.663198365143572</v>
      </c>
      <c r="EM72" s="20">
        <f t="shared" si="73"/>
        <v>661.42369048595856</v>
      </c>
      <c r="EN72" s="59">
        <f t="shared" si="74"/>
        <v>927.35385083602512</v>
      </c>
      <c r="EO72" s="59">
        <f ca="1">AVERAGE(OFFSET($EN$3,0,0,'Données projet'!$E$15+1,1))-AVERAGE(OFFSET($H$3,0,0,'Données projet'!$E$15+1,1))</f>
        <v>418.28022549686278</v>
      </c>
      <c r="EP72" s="59">
        <f t="shared" si="100"/>
        <v>354.55070454517158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51.979806773175419</v>
      </c>
      <c r="EW72" s="21">
        <f>EXP(-LN(2)/25)*EW71+(1-EXP(-LN(2)/25))/(LN(2)/25)*Calculateur!ER72*Calculateur!ET72*VLOOKUP('Données projet'!$B$15,Paramètres!$A$1:$I$89,3,0)*0.475*44/12</f>
        <v>23.668763852106174</v>
      </c>
      <c r="EX72" s="21">
        <f>EXP(-LN(2)/2)*EX71+(1-EXP(-LN(2)/2))/(LN(2)/2)*ER72*EU72*VLOOKUP('Données projet'!$B$15,Paramètres!$A$1:$I$89,3,0)*0.475*44/12</f>
        <v>1.4933027554162184</v>
      </c>
      <c r="EY72" s="22">
        <f t="shared" si="75"/>
        <v>77.141873380697817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>
        <f>VLOOKUP(A72,'Données projet'!$A$217:$I$237,2,0)</f>
        <v>190.79</v>
      </c>
      <c r="FC72" s="12">
        <f>VLOOKUP(A72,'Données projet'!$A$217:$I$237,9,0)</f>
        <v>6.8933333333333326</v>
      </c>
      <c r="FD72" s="12">
        <f t="array" ref="FD72">INDEX(FC:FC,MIN(IF(ISNUMBER(FC72:FC268),ROW(FC72:FC268),"")))</f>
        <v>6.8933333333333326</v>
      </c>
      <c r="FE72" s="12">
        <f>IF('Données projet'!$A$218&gt;35,FE71+FD72-FM71,IF(A72&lt;'Données projet'!$A$218,$FB$205^A72,IF(A72='Données projet'!$A$218,'Données projet'!$B$218,FE71+FD72-FM71)))</f>
        <v>190.79</v>
      </c>
      <c r="FF72" s="17">
        <f>FE72*VLOOKUP('Données projet'!$B$16,Paramètres!$A$1:$I$89,3,0)*VLOOKUP('Données projet'!$B$16,Paramètres!$A$1:$I$89,5,0)</f>
        <v>217.27165199999996</v>
      </c>
      <c r="FG72" s="13">
        <f t="shared" si="101"/>
        <v>53.521462768957484</v>
      </c>
      <c r="FH72" s="20">
        <f t="shared" si="76"/>
        <v>471.63134155593411</v>
      </c>
      <c r="FI72" s="59">
        <f t="shared" si="77"/>
        <v>737.56150190600067</v>
      </c>
      <c r="FJ72" s="59">
        <f ca="1">AVERAGE(OFFSET($FI$3,0,0,'Données projet'!$E$16+1,1))-AVERAGE(OFFSET($H$3,0,0,'Données projet'!$E$16+1,1))</f>
        <v>640.05156427113661</v>
      </c>
      <c r="FK72" s="59">
        <f t="shared" si="102"/>
        <v>308.77220155372902</v>
      </c>
      <c r="FL72" s="15">
        <f>IF(ISNA(VLOOKUP(A72,'Données projet'!$A$217:$I$237,3,0)),0,VLOOKUP(A72,'Données projet'!$A$217:$I$237,3,0))</f>
        <v>2</v>
      </c>
      <c r="FM72" s="15">
        <f>IF(ISNA(VLOOKUP(A72,'Données projet'!$A$217:$I$237,4,0)),0,VLOOKUP(A72,'Données projet'!$A$217:$I$237,4,0))</f>
        <v>42.22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0.34400000000000003</v>
      </c>
      <c r="FP72" s="16">
        <f>IF(ISNA(VLOOKUP(A72,'Données projet'!$A$217:$I$237,7,0)),0%,VLOOKUP(A72,'Données projet'!$A$217:$I$237,7,0))</f>
        <v>0.2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42.703636399077894</v>
      </c>
      <c r="FS72" s="21">
        <f>EXP(-LN(2)/2)*FS71+(1-EXP(-LN(2)/2))/(LN(2)/2)*FM72*FP72*VLOOKUP('Données projet'!$B$16,Paramètres!$A$1:$I$89,3,0)*0.475*44/12</f>
        <v>9.7650433238797198</v>
      </c>
      <c r="FT72" s="22">
        <f t="shared" si="78"/>
        <v>52.468679722957617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1.1368683772161603E-13</v>
      </c>
      <c r="O73" s="13">
        <f>N73*VLOOKUP('Données projet'!$B$9,Paramètres!$A$1:$I$89,3,0)*VLOOKUP('Données projet'!$B$9,Paramètres!$A$1:$I$89,5,0)</f>
        <v>6.7984728957526396E-14</v>
      </c>
      <c r="P73" s="13">
        <f t="shared" si="87"/>
        <v>1.0682447123141398E-12</v>
      </c>
      <c r="Q73" s="20">
        <f t="shared" si="54"/>
        <v>1.978932943548152E-12</v>
      </c>
      <c r="R73" s="59">
        <f t="shared" si="55"/>
        <v>266.40554413701147</v>
      </c>
      <c r="S73" s="59">
        <f ca="1">AVERAGE(OFFSET($R$3,0,0,'Données projet'!$E$9+1,1))-AVERAGE(OFFSET($H$3,0,0,'Données projet'!$E$9+1,1))</f>
        <v>318.50474972254085</v>
      </c>
      <c r="T73" s="59">
        <f t="shared" si="88"/>
        <v>326.45858332753562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113.91923990391254</v>
      </c>
      <c r="AA73" s="21">
        <f>EXP(-LN(2)/25)*AA72+(1-EXP(-LN(2)/25))/(LN(2)/25)*Calculateur!V73*Calculateur!X73*VLOOKUP('Données projet'!$B$9,Paramètres!$A$1:$I$89,3,0)*0.475*44/12</f>
        <v>36.711047632506002</v>
      </c>
      <c r="AB73" s="21">
        <f>EXP(-LN(2)/2)*AB72+(1-EXP(-LN(2)/2))/(LN(2)/2)*V73*Y73*VLOOKUP('Données projet'!$B$9,Paramètres!$A$1:$I$89,3,0)*0.475*44/12</f>
        <v>1.873795088229794</v>
      </c>
      <c r="AC73" s="22">
        <f t="shared" si="57"/>
        <v>152.50408262464833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11.997500000000002</v>
      </c>
      <c r="AI73" s="13">
        <f>IF('Données projet'!$A$62&gt;35,AI72+AH73-AQ72,IF(A73&lt;'Données projet'!$A$62,$AF$205^A73,IF(A73='Données projet'!$A$62,'Données projet'!$B$62,AI72+AH73-AQ72)))</f>
        <v>358.9874999999999</v>
      </c>
      <c r="AJ73" s="13">
        <f>AI73*VLOOKUP('Données projet'!$B$10,Paramètres!$A$1:$I$89,3,0)*VLOOKUP('Données projet'!$B$10,Paramètres!$A$1:$I$89,5,0)</f>
        <v>168.00614999999993</v>
      </c>
      <c r="AK73" s="13">
        <f t="shared" si="89"/>
        <v>42.643161353938929</v>
      </c>
      <c r="AL73" s="20">
        <f t="shared" si="58"/>
        <v>366.88088394144347</v>
      </c>
      <c r="AM73" s="59">
        <f t="shared" si="59"/>
        <v>633.2864280784529</v>
      </c>
      <c r="AN73" s="59">
        <f ca="1">AVERAGE(OFFSET($AM$3,0,0,'Données projet'!$E$10+1,1))-AVERAGE(OFFSET($H$3,0,0,'Données projet'!$E$10+1,1))</f>
        <v>374.38106339726073</v>
      </c>
      <c r="AO73" s="59">
        <f t="shared" si="90"/>
        <v>296.53283288925957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27.569662873543603</v>
      </c>
      <c r="AV73" s="21">
        <f>EXP(-LN(2)/25)*AV72+(1-EXP(-LN(2)/25))/(LN(2)/25)*Calculateur!AQ73*Calculateur!AS73*VLOOKUP('Données projet'!$B$10,Paramètres!$A$1:$I$89,3,0)*0.475*44/12</f>
        <v>18.299732985995277</v>
      </c>
      <c r="AW73" s="21">
        <f>EXP(-LN(2)/2)*AW72+(1-EXP(-LN(2)/2))/(LN(2)/2)*AQ73*AT73*VLOOKUP('Données projet'!$B$10,Paramètres!$A$1:$I$89,3,0)*0.475*44/12</f>
        <v>0.52310471274275727</v>
      </c>
      <c r="AX73" s="21">
        <f t="shared" si="60"/>
        <v>46.392500572281641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9.733749999999997</v>
      </c>
      <c r="BD73" s="12">
        <f>IF('Données projet'!$A$88&gt;35,BD72+BC73-BL72,IF(A73&lt;'Données projet'!$A$88,$BA$205^A73,IF(A73='Données projet'!$A$88,'Données projet'!$B$88,BD72+BC73-BL72)))</f>
        <v>272.02500000000032</v>
      </c>
      <c r="BE73" s="13">
        <f>BD73*VLOOKUP('Données projet'!$B$11,Paramètres!$A$1:$I$89,3,0)*VLOOKUP('Données projet'!$B$11,Paramètres!$A$1:$I$89,5,0)</f>
        <v>246.12822000000025</v>
      </c>
      <c r="BF73" s="13">
        <f t="shared" si="91"/>
        <v>59.756105801003123</v>
      </c>
      <c r="BG73" s="20">
        <f t="shared" si="61"/>
        <v>532.74853410341427</v>
      </c>
      <c r="BH73" s="59">
        <f t="shared" si="62"/>
        <v>799.15407824042381</v>
      </c>
      <c r="BI73" s="59">
        <f ca="1">AVERAGE(OFFSET($BH$3,0,0,'Données projet'!$E$11+1,1))-AVERAGE(OFFSET($H$3,0,0,'Données projet'!$E$11+1,1))</f>
        <v>681.47578137804555</v>
      </c>
      <c r="BJ73" s="59">
        <f t="shared" si="92"/>
        <v>300.88511065995885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7.4652659027440214</v>
      </c>
      <c r="BQ73" s="21">
        <f>EXP(-LN(2)/25)*BQ72+(1-EXP(-LN(2)/25))/(LN(2)/25)*Calculateur!BL73*Calculateur!BN73*VLOOKUP('Données projet'!$B$11,Paramètres!$A$1:$I$89,3,0)*0.475*44/12</f>
        <v>30.267840070294611</v>
      </c>
      <c r="BR73" s="21">
        <f>EXP(-LN(2)/2)*BR72+(1-EXP(-LN(2)/2))/(LN(2)/2)*BL73*BO73*VLOOKUP('Données projet'!$B$11,Paramètres!$A$1:$I$89,3,0)*0.475*44/12</f>
        <v>1.2798880855501029</v>
      </c>
      <c r="BS73" s="22">
        <f t="shared" si="63"/>
        <v>39.012994058588738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141.02564102564102</v>
      </c>
      <c r="BW73" s="12">
        <f>VLOOKUP(A73,'Données projet'!$A$113:$I$133,9,0)</f>
        <v>2.9487179487179476</v>
      </c>
      <c r="BX73" s="12">
        <f t="array" ref="BX73">INDEX(BW:BW,MIN(IF(ISNUMBER(BW73:BW269),ROW(BW73:BW269),"")))</f>
        <v>2.9487179487179476</v>
      </c>
      <c r="BY73" s="12">
        <f>IF('Données projet'!$A$114&gt;35,BY72+BX73-CG72,IF(A73&lt;'Données projet'!$A$114,$BV$205^A73,IF(A73='Données projet'!$A$114,'Données projet'!$B$114,BY72+BX73-CG72)))</f>
        <v>141.02564102564111</v>
      </c>
      <c r="BZ73" s="13">
        <f>BY73*VLOOKUP('Données projet'!$B$12,Paramètres!$A$1:$I$89,3,0)*VLOOKUP('Données projet'!$B$12,Paramètres!$A$1:$I$89,5,0)</f>
        <v>147.40000000000009</v>
      </c>
      <c r="CA73" s="13">
        <f t="shared" si="93"/>
        <v>37.987126351804257</v>
      </c>
      <c r="CB73" s="20">
        <f t="shared" si="64"/>
        <v>322.88257839605922</v>
      </c>
      <c r="CC73" s="59">
        <f t="shared" si="65"/>
        <v>589.28812253306864</v>
      </c>
      <c r="CD73" s="59">
        <f ca="1">AVERAGE(OFFSET($CC$3,0,0,'Données projet'!$E$12+1,1))-AVERAGE(OFFSET($H$3,0,0,'Données projet'!$E$12+1,1))</f>
        <v>290.69667785754848</v>
      </c>
      <c r="CE73" s="59">
        <f t="shared" si="94"/>
        <v>256.28124185489082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10.256410256410255</v>
      </c>
      <c r="CH73" s="16">
        <f>IF(ISNA(VLOOKUP(A73,'Données projet'!$A$113:$I$133,5,0)),0%,VLOOKUP(A73,'Données projet'!$A$113:$I$133,5,0)*VLOOKUP('Données projet'!$B$12,Paramètres!$A$1:$I$89,7,0))</f>
        <v>4.3000000000000003E-2</v>
      </c>
      <c r="CI73" s="16">
        <f>IF(ISNA(VLOOKUP(A73,'Données projet'!$A$113:$I$133,6,0)),0%,VLOOKUP(A73,'Données projet'!$A$113:$I$133,6,0)*VLOOKUP('Données projet'!$B$12,Paramètres!$A$1:$I$89,7,0))</f>
        <v>0.215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1.9435061858438125</v>
      </c>
      <c r="CL73" s="21">
        <f>EXP(-LN(2)/25)*CL72+(1-EXP(-LN(2)/25))/(LN(2)/25)*Calculateur!CG73*Calculateur!CI73*VLOOKUP('Données projet'!$B$12,Paramètres!$A$1:$I$89,3,0)*0.475*44/12</f>
        <v>19.75957558952868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21.703081775372493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4.5999999999999996</v>
      </c>
      <c r="CS73" s="12">
        <f t="array" ref="CS73">INDEX(CR:CR,MIN(IF(ISNUMBER(CR73:CR269),ROW(CR73:CR269),"")))</f>
        <v>4.5999999999999996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276.05759999999998</v>
      </c>
      <c r="CV73" s="13">
        <f t="shared" si="95"/>
        <v>66.133180102831929</v>
      </c>
      <c r="CW73" s="20">
        <f t="shared" si="67"/>
        <v>595.98227534576563</v>
      </c>
      <c r="CX73" s="59">
        <f t="shared" si="68"/>
        <v>862.38781948277506</v>
      </c>
      <c r="CY73" s="59">
        <f ca="1">AVERAGE(OFFSET($CX$3,0,0,'Données projet'!$E$13+1,1))-AVERAGE(OFFSET($H$3,0,0,'Données projet'!$E$13+1,1))</f>
        <v>408.246209980743</v>
      </c>
      <c r="CZ73" s="59">
        <f t="shared" si="96"/>
        <v>394.10236303013903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13</v>
      </c>
      <c r="DC73" s="16">
        <f>IF(ISNA(VLOOKUP(A73,'Données projet'!$A$139:$I$159,5,0)),0%,VLOOKUP(A73,'Données projet'!$A$139:$I$159,5,0)*VLOOKUP('Données projet'!$B$13,Paramètres!$A$1:$I$89,7,0))</f>
        <v>0.13250000000000001</v>
      </c>
      <c r="DD73" s="16">
        <f>IF(ISNA(VLOOKUP(A73,'Données projet'!$A$139:$I$159,6,0)),0%,VLOOKUP(A73,'Données projet'!$A$139:$I$159,6,0)*VLOOKUP('Données projet'!$B$13,Paramètres!$A$1:$I$89,7,0))</f>
        <v>0.13250000000000001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16.408747331423758</v>
      </c>
      <c r="DG73" s="21">
        <f>EXP(-LN(2)/25)*DG72+(1-EXP(-LN(2)/25))/(LN(2)/25)*Calculateur!DB73*Calculateur!DD73*VLOOKUP('Données projet'!$B$13,Paramètres!$A$1:$I$89,3,0)*0.475*44/12</f>
        <v>17.1052126240482</v>
      </c>
      <c r="DH73" s="21">
        <f>EXP(-LN(2)/2)*DH72+(1-EXP(-LN(2)/2))/(LN(2)/2)*DB73*DE73*VLOOKUP('Données projet'!$B$13,Paramètres!$A$1:$I$89,3,0)*0.475*44/12</f>
        <v>3.2657343993986849</v>
      </c>
      <c r="DI73" s="22">
        <f t="shared" si="69"/>
        <v>36.779694354870642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586.86</v>
      </c>
      <c r="DM73" s="12">
        <f>VLOOKUP(A73,'Données projet'!$A$165:$I$185,9,0)</f>
        <v>16.682857142857149</v>
      </c>
      <c r="DN73" s="12">
        <f t="array" ref="DN73">INDEX(DM:DM,MIN(IF(ISNUMBER(DM73:DM269),ROW(DM73:DM269),"")))</f>
        <v>16.682857142857149</v>
      </c>
      <c r="DO73" s="12">
        <f>IF('Données projet'!$A$166&gt;35,DO72+DN73-DW72,IF(A73&lt;'Données projet'!$A$166,$DL$205^A73,IF(A73='Données projet'!$A$166,'Données projet'!$B$166,DO72+DN73-DW72)))</f>
        <v>586.86000000000058</v>
      </c>
      <c r="DP73" s="17">
        <f>DO73*VLOOKUP('Données projet'!$B$14,Paramètres!$A$1:$I$89,3,0)*VLOOKUP('Données projet'!$B$14,Paramètres!$A$1:$I$89,5,0)</f>
        <v>328.05474000000032</v>
      </c>
      <c r="DQ73" s="13">
        <f t="shared" si="97"/>
        <v>77.026866477102189</v>
      </c>
      <c r="DR73" s="20">
        <f t="shared" si="70"/>
        <v>705.51713128095355</v>
      </c>
      <c r="DS73" s="59">
        <f t="shared" si="71"/>
        <v>971.92267541796309</v>
      </c>
      <c r="DT73" s="59">
        <f ca="1">AVERAGE(OFFSET($DS$3,0,0,'Données projet'!$E$14+1,1))-AVERAGE(OFFSET($H$3,0,0,'Données projet'!$E$14+1,1))</f>
        <v>407.05634973057056</v>
      </c>
      <c r="DU73" s="59">
        <f t="shared" si="98"/>
        <v>375.32891954889965</v>
      </c>
      <c r="DV73" s="15">
        <f>IF(ISNA(VLOOKUP(A73,'Données projet'!$A$165:$I$185,3,0)),0,VLOOKUP(A73,'Données projet'!$A$165:$I$185,3,0))</f>
        <v>8</v>
      </c>
      <c r="DW73" s="15">
        <f>IF(ISNA(VLOOKUP(A73,'Données projet'!$A$165:$I$185,4,0)),0,VLOOKUP(A73,'Données projet'!$A$165:$I$185,4,0))</f>
        <v>586.86</v>
      </c>
      <c r="DX73" s="16">
        <f>IF(ISNA(VLOOKUP(A73,'Données projet'!$A$165:$I$185,5,0)),0%,VLOOKUP(A73,'Données projet'!$A$165:$I$185,5,0)*VLOOKUP('Données projet'!$B$14,Paramètres!$A$1:$I$89,7,0))</f>
        <v>0.33</v>
      </c>
      <c r="DY73" s="16">
        <f>IF(ISNA(VLOOKUP(A73,'Données projet'!$A$165:$I$185,6,0)),0%,VLOOKUP(A73,'Données projet'!$A$165:$I$185,6,0)*VLOOKUP('Données projet'!$B$14,Paramètres!$A$1:$I$89,7,0))</f>
        <v>0.11000000000000001</v>
      </c>
      <c r="DZ73" s="16">
        <f>IF(ISNA(VLOOKUP(A73,'Données projet'!$A$165:$I$185,7,0)),0%,VLOOKUP(A73,'Données projet'!$A$165:$I$185,7,0))</f>
        <v>0.2</v>
      </c>
      <c r="EA73" s="21">
        <f>EXP(-LN(2)/35)*EA72+(1-EXP(-LN(2)/35))/(LN(2)/35)*DW73*DX73*VLOOKUP('Données projet'!$B$14,Paramètres!$A$1:$I$89,3,0)*0.475*44/12</f>
        <v>230.74871773837151</v>
      </c>
      <c r="EB73" s="21">
        <f>EXP(-LN(2)/25)*EB72+(1-EXP(-LN(2)/25))/(LN(2)/25)*Calculateur!DW73*Calculateur!DY73*VLOOKUP('Données projet'!$B$14,Paramètres!$A$1:$I$89,3,0)*0.475*44/12</f>
        <v>76.757345229402674</v>
      </c>
      <c r="EC73" s="21">
        <f>EXP(-LN(2)/2)*EC72+(1-EXP(-LN(2)/2))/(LN(2)/2)*DW73*DZ73*VLOOKUP('Données projet'!$B$14,Paramètres!$A$1:$I$89,3,0)*0.475*44/12</f>
        <v>75.505524322819824</v>
      </c>
      <c r="ED73" s="22">
        <f t="shared" si="72"/>
        <v>383.01158729059404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712</v>
      </c>
      <c r="EH73" s="12">
        <f>VLOOKUP(A73,'Données projet'!$A$191:$I$211,9,0)</f>
        <v>17.2</v>
      </c>
      <c r="EI73" s="12">
        <f t="array" ref="EI73">INDEX(EH:EH,MIN(IF(ISNUMBER(EH73:EH269),ROW(EH73:EH269),"")))</f>
        <v>17.2</v>
      </c>
      <c r="EJ73" s="12">
        <f>IF('Données projet'!$A$192&gt;35,EJ72+EI73-ER72,IF(A73&lt;'Données projet'!$A$192,$EG$205^A73,IF(A73='Données projet'!$A$192,'Données projet'!$B$192,EJ72+EI73-ER72)))</f>
        <v>712.00000000000023</v>
      </c>
      <c r="EK73" s="17">
        <f>EJ73*VLOOKUP('Données projet'!$B$15,Paramètres!$A$1:$I$89,3,0)*VLOOKUP('Données projet'!$B$15,Paramètres!$A$1:$I$89,5,0)</f>
        <v>314.70400000000012</v>
      </c>
      <c r="EL73" s="13">
        <f t="shared" si="99"/>
        <v>74.250349876926123</v>
      </c>
      <c r="EM73" s="20">
        <f t="shared" si="73"/>
        <v>677.42882603564658</v>
      </c>
      <c r="EN73" s="59">
        <f t="shared" si="74"/>
        <v>943.83437017265601</v>
      </c>
      <c r="EO73" s="59">
        <f ca="1">AVERAGE(OFFSET($EN$3,0,0,'Données projet'!$E$15+1,1))-AVERAGE(OFFSET($H$3,0,0,'Données projet'!$E$15+1,1))</f>
        <v>418.28022549686278</v>
      </c>
      <c r="EP73" s="59">
        <f t="shared" si="100"/>
        <v>354.55070454517158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45</v>
      </c>
      <c r="ES73" s="16">
        <f>IF(ISNA(VLOOKUP(A73,'Données projet'!$A$191:$I$211,5,0)),0%,VLOOKUP(A73,'Données projet'!$A$191:$I$211,5,0)*VLOOKUP('Données projet'!$B$15,Paramètres!$A$1:$I$89,7,0))</f>
        <v>0.33</v>
      </c>
      <c r="ET73" s="16">
        <f>IF(ISNA(VLOOKUP(A73,'Données projet'!$A$191:$I$211,6,0)),0%,VLOOKUP(A73,'Données projet'!$A$191:$I$211,6,0)*VLOOKUP('Données projet'!$B$15,Paramètres!$A$1:$I$89,7,0))</f>
        <v>0.11000000000000001</v>
      </c>
      <c r="EU73" s="16">
        <f>IF(ISNA(VLOOKUP(A73,'Données projet'!$A$191:$I$211,7,0)),0%,VLOOKUP(A73,'Données projet'!$A$191:$I$211,7,0))</f>
        <v>0.2</v>
      </c>
      <c r="EV73" s="21">
        <f>EXP(-LN(2)/35)*EV72+(1-EXP(-LN(2)/35))/(LN(2)/35)*ER73*ES73*VLOOKUP('Données projet'!$B$15,Paramètres!$A$1:$I$89,3,0)*0.475*44/12</f>
        <v>59.667685583073528</v>
      </c>
      <c r="EW73" s="21">
        <f>EXP(-LN(2)/25)*EW72+(1-EXP(-LN(2)/25))/(LN(2)/25)*Calculateur!ER73*Calculateur!ET73*VLOOKUP('Données projet'!$B$15,Paramètres!$A$1:$I$89,3,0)*0.475*44/12</f>
        <v>25.912502815148091</v>
      </c>
      <c r="EX73" s="21">
        <f>EXP(-LN(2)/2)*EX72+(1-EXP(-LN(2)/2))/(LN(2)/2)*ER73*EU73*VLOOKUP('Données projet'!$B$15,Paramètres!$A$1:$I$89,3,0)*0.475*44/12</f>
        <v>5.5599445842796458</v>
      </c>
      <c r="EY73" s="22">
        <f t="shared" si="75"/>
        <v>91.140132982501271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6.7437500000000021</v>
      </c>
      <c r="FE73" s="12">
        <f>IF('Données projet'!$A$218&gt;35,FE72+FD73-FM72,IF(A73&lt;'Données projet'!$A$218,$FB$205^A73,IF(A73='Données projet'!$A$218,'Données projet'!$B$218,FE72+FD73-FM72)))</f>
        <v>155.31375</v>
      </c>
      <c r="FF73" s="17">
        <f>FE73*VLOOKUP('Données projet'!$B$16,Paramètres!$A$1:$I$89,3,0)*VLOOKUP('Données projet'!$B$16,Paramètres!$A$1:$I$89,5,0)</f>
        <v>176.87129849999999</v>
      </c>
      <c r="FG73" s="13">
        <f t="shared" si="101"/>
        <v>44.625398966300217</v>
      </c>
      <c r="FH73" s="20">
        <f t="shared" si="76"/>
        <v>385.77341475380621</v>
      </c>
      <c r="FI73" s="59">
        <f t="shared" si="77"/>
        <v>652.17895889081569</v>
      </c>
      <c r="FJ73" s="59">
        <f ca="1">AVERAGE(OFFSET($FI$3,0,0,'Données projet'!$E$16+1,1))-AVERAGE(OFFSET($H$3,0,0,'Données projet'!$E$16+1,1))</f>
        <v>640.05156427113661</v>
      </c>
      <c r="FK73" s="59">
        <f t="shared" si="102"/>
        <v>308.77220155372902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41.535903216058472</v>
      </c>
      <c r="FS73" s="21">
        <f>EXP(-LN(2)/2)*FS72+(1-EXP(-LN(2)/2))/(LN(2)/2)*FM73*FP73*VLOOKUP('Données projet'!$B$16,Paramètres!$A$1:$I$89,3,0)*0.475*44/12</f>
        <v>6.9049283528957739</v>
      </c>
      <c r="FT73" s="22">
        <f t="shared" si="78"/>
        <v>48.440831568954245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6.7984728957526396E-14</v>
      </c>
      <c r="P74" s="13">
        <f t="shared" si="87"/>
        <v>1.0682447123141398E-12</v>
      </c>
      <c r="Q74" s="20">
        <f t="shared" si="54"/>
        <v>1.978932943548152E-12</v>
      </c>
      <c r="R74" s="59">
        <f t="shared" si="55"/>
        <v>266.87268107804994</v>
      </c>
      <c r="S74" s="59">
        <f ca="1">AVERAGE(OFFSET($R$3,0,0,'Données projet'!$E$9+1,1))-AVERAGE(OFFSET($H$3,0,0,'Données projet'!$E$9+1,1))</f>
        <v>318.50474972254085</v>
      </c>
      <c r="T74" s="59">
        <f t="shared" si="88"/>
        <v>326.45858332753562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111.6853530932722</v>
      </c>
      <c r="AA74" s="21">
        <f>EXP(-LN(2)/25)*AA73+(1-EXP(-LN(2)/25))/(LN(2)/25)*Calculateur!V74*Calculateur!X74*VLOOKUP('Données projet'!$B$9,Paramètres!$A$1:$I$89,3,0)*0.475*44/12</f>
        <v>35.707182104445032</v>
      </c>
      <c r="AB74" s="21">
        <f>EXP(-LN(2)/2)*AB73+(1-EXP(-LN(2)/2))/(LN(2)/2)*V74*Y74*VLOOKUP('Données projet'!$B$9,Paramètres!$A$1:$I$89,3,0)*0.475*44/12</f>
        <v>1.3249732134413326</v>
      </c>
      <c r="AC74" s="22">
        <f t="shared" si="57"/>
        <v>148.71750841115855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11.997500000000002</v>
      </c>
      <c r="AI74" s="13">
        <f>IF('Données projet'!$A$62&gt;35,AI73+AH74-AQ73,IF(A74&lt;'Données projet'!$A$62,$AF$205^A74,IF(A74='Données projet'!$A$62,'Données projet'!$B$62,AI73+AH74-AQ73)))</f>
        <v>370.9849999999999</v>
      </c>
      <c r="AJ74" s="13">
        <f>AI74*VLOOKUP('Données projet'!$B$10,Paramètres!$A$1:$I$89,3,0)*VLOOKUP('Données projet'!$B$10,Paramètres!$A$1:$I$89,5,0)</f>
        <v>173.62097999999997</v>
      </c>
      <c r="AK74" s="13">
        <f t="shared" si="89"/>
        <v>43.900005198349035</v>
      </c>
      <c r="AL74" s="20">
        <f t="shared" si="58"/>
        <v>378.84904922045786</v>
      </c>
      <c r="AM74" s="59">
        <f t="shared" si="59"/>
        <v>645.7217302985058</v>
      </c>
      <c r="AN74" s="59">
        <f ca="1">AVERAGE(OFFSET($AM$3,0,0,'Données projet'!$E$10+1,1))-AVERAGE(OFFSET($H$3,0,0,'Données projet'!$E$10+1,1))</f>
        <v>374.38106339726073</v>
      </c>
      <c r="AO74" s="59">
        <f t="shared" si="90"/>
        <v>296.53283288925957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27.029038600427342</v>
      </c>
      <c r="AV74" s="21">
        <f>EXP(-LN(2)/25)*AV73+(1-EXP(-LN(2)/25))/(LN(2)/25)*Calculateur!AQ74*Calculateur!AS74*VLOOKUP('Données projet'!$B$10,Paramètres!$A$1:$I$89,3,0)*0.475*44/12</f>
        <v>17.799325825152103</v>
      </c>
      <c r="AW74" s="21">
        <f>EXP(-LN(2)/2)*AW73+(1-EXP(-LN(2)/2))/(LN(2)/2)*AQ74*AT74*VLOOKUP('Données projet'!$B$10,Paramètres!$A$1:$I$89,3,0)*0.475*44/12</f>
        <v>0.36989088965104466</v>
      </c>
      <c r="AX74" s="21">
        <f t="shared" si="60"/>
        <v>45.19825531523049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9.733749999999997</v>
      </c>
      <c r="BD74" s="12">
        <f>IF('Données projet'!$A$88&gt;35,BD73+BC74-BL73,IF(A74&lt;'Données projet'!$A$88,$BA$205^A74,IF(A74='Données projet'!$A$88,'Données projet'!$B$88,BD73+BC74-BL73)))</f>
        <v>281.7587500000003</v>
      </c>
      <c r="BE74" s="13">
        <f>BD74*VLOOKUP('Données projet'!$B$11,Paramètres!$A$1:$I$89,3,0)*VLOOKUP('Données projet'!$B$11,Paramètres!$A$1:$I$89,5,0)</f>
        <v>254.93531700000028</v>
      </c>
      <c r="BF74" s="13">
        <f t="shared" si="91"/>
        <v>61.641559307209917</v>
      </c>
      <c r="BG74" s="20">
        <f t="shared" si="61"/>
        <v>551.37139290172445</v>
      </c>
      <c r="BH74" s="59">
        <f t="shared" si="62"/>
        <v>818.24407397977234</v>
      </c>
      <c r="BI74" s="59">
        <f ca="1">AVERAGE(OFFSET($BH$3,0,0,'Données projet'!$E$11+1,1))-AVERAGE(OFFSET($H$3,0,0,'Données projet'!$E$11+1,1))</f>
        <v>681.47578137804555</v>
      </c>
      <c r="BJ74" s="59">
        <f t="shared" si="92"/>
        <v>300.88511065995885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7.3188765917538046</v>
      </c>
      <c r="BQ74" s="21">
        <f>EXP(-LN(2)/25)*BQ73+(1-EXP(-LN(2)/25))/(LN(2)/25)*Calculateur!BL74*Calculateur!BN74*VLOOKUP('Données projet'!$B$11,Paramètres!$A$1:$I$89,3,0)*0.475*44/12</f>
        <v>29.440164391855873</v>
      </c>
      <c r="BR74" s="21">
        <f>EXP(-LN(2)/2)*BR73+(1-EXP(-LN(2)/2))/(LN(2)/2)*BL74*BO74*VLOOKUP('Données projet'!$B$11,Paramètres!$A$1:$I$89,3,0)*0.475*44/12</f>
        <v>0.90501754445234595</v>
      </c>
      <c r="BS74" s="22">
        <f t="shared" si="63"/>
        <v>37.664058528062029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2.4358974358974366</v>
      </c>
      <c r="BY74" s="12">
        <f>IF('Données projet'!$A$114&gt;35,BY73+BX74-CG73,IF(A74&lt;'Données projet'!$A$114,$BV$205^A74,IF(A74='Données projet'!$A$114,'Données projet'!$B$114,BY73+BX74-CG73)))</f>
        <v>133.20512820512829</v>
      </c>
      <c r="BZ74" s="13">
        <f>BY74*VLOOKUP('Données projet'!$B$12,Paramètres!$A$1:$I$89,3,0)*VLOOKUP('Données projet'!$B$12,Paramètres!$A$1:$I$89,5,0)</f>
        <v>139.22600000000011</v>
      </c>
      <c r="CA74" s="13">
        <f t="shared" si="93"/>
        <v>36.119635793564029</v>
      </c>
      <c r="CB74" s="20">
        <f t="shared" si="64"/>
        <v>305.39364900712422</v>
      </c>
      <c r="CC74" s="59">
        <f t="shared" si="65"/>
        <v>572.26633008517217</v>
      </c>
      <c r="CD74" s="59">
        <f ca="1">AVERAGE(OFFSET($CC$3,0,0,'Données projet'!$E$12+1,1))-AVERAGE(OFFSET($H$3,0,0,'Données projet'!$E$12+1,1))</f>
        <v>290.69667785754848</v>
      </c>
      <c r="CE74" s="59">
        <f t="shared" si="94"/>
        <v>256.28124185489082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1.905395214961138</v>
      </c>
      <c r="CL74" s="21">
        <f>EXP(-LN(2)/25)*CL73+(1-EXP(-LN(2)/25))/(LN(2)/25)*Calculateur!CG74*Calculateur!CI74*VLOOKUP('Données projet'!$B$12,Paramètres!$A$1:$I$89,3,0)*0.475*44/12</f>
        <v>19.219248955922097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21.124644170883236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4.2</v>
      </c>
      <c r="CT74" s="12">
        <f>IF('Données projet'!$A$140&gt;35,CT73+CS74-DB73,IF(A74&lt;'Données projet'!$A$140,$CQ$205^A74,IF(A74='Données projet'!$A$140,'Données projet'!$B$140,CT73+CS74-DB73)))</f>
        <v>307.19999999999993</v>
      </c>
      <c r="CU74" s="17">
        <f>CT74*VLOOKUP('Données projet'!$B$13,Paramètres!$A$1:$I$89,3,0)*VLOOKUP('Données projet'!$B$13,Paramètres!$A$1:$I$89,5,0)</f>
        <v>268.36991999999998</v>
      </c>
      <c r="CV74" s="13">
        <f t="shared" si="95"/>
        <v>64.503203342054107</v>
      </c>
      <c r="CW74" s="20">
        <f t="shared" si="67"/>
        <v>579.75402315407757</v>
      </c>
      <c r="CX74" s="59">
        <f t="shared" si="68"/>
        <v>846.62670423212558</v>
      </c>
      <c r="CY74" s="59">
        <f ca="1">AVERAGE(OFFSET($CX$3,0,0,'Données projet'!$E$13+1,1))-AVERAGE(OFFSET($H$3,0,0,'Données projet'!$E$13+1,1))</f>
        <v>408.246209980743</v>
      </c>
      <c r="CZ74" s="59">
        <f t="shared" si="96"/>
        <v>394.10236303013903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16.086981804602168</v>
      </c>
      <c r="DG74" s="21">
        <f>EXP(-LN(2)/25)*DG73+(1-EXP(-LN(2)/25))/(LN(2)/25)*Calculateur!DB74*Calculateur!DD74*VLOOKUP('Données projet'!$B$13,Paramètres!$A$1:$I$89,3,0)*0.475*44/12</f>
        <v>16.637469685319566</v>
      </c>
      <c r="DH74" s="21">
        <f>EXP(-LN(2)/2)*DH73+(1-EXP(-LN(2)/2))/(LN(2)/2)*DB74*DE74*VLOOKUP('Données projet'!$B$13,Paramètres!$A$1:$I$89,3,0)*0.475*44/12</f>
        <v>2.3092229393689871</v>
      </c>
      <c r="DI74" s="22">
        <f t="shared" si="69"/>
        <v>35.03367442929072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5.6843418860808015E-13</v>
      </c>
      <c r="DP74" s="17">
        <f>DO74*VLOOKUP('Données projet'!$B$14,Paramètres!$A$1:$I$89,3,0)*VLOOKUP('Données projet'!$B$14,Paramètres!$A$1:$I$89,5,0)</f>
        <v>3.177547114319168E-13</v>
      </c>
      <c r="DQ74" s="13">
        <f t="shared" si="97"/>
        <v>4.1725404435445377E-12</v>
      </c>
      <c r="DR74" s="20">
        <f t="shared" si="70"/>
        <v>7.820597394917325E-12</v>
      </c>
      <c r="DS74" s="59">
        <f t="shared" si="71"/>
        <v>266.87268107805579</v>
      </c>
      <c r="DT74" s="59">
        <f ca="1">AVERAGE(OFFSET($DS$3,0,0,'Données projet'!$E$14+1,1))-AVERAGE(OFFSET($H$3,0,0,'Données projet'!$E$14+1,1))</f>
        <v>407.05634973057056</v>
      </c>
      <c r="DU74" s="59">
        <f t="shared" si="98"/>
        <v>375.32891954889965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226.22387612634267</v>
      </c>
      <c r="EB74" s="21">
        <f>EXP(-LN(2)/25)*EB73+(1-EXP(-LN(2)/25))/(LN(2)/25)*Calculateur!DW74*Calculateur!DY74*VLOOKUP('Données projet'!$B$14,Paramètres!$A$1:$I$89,3,0)*0.475*44/12</f>
        <v>74.658411587611297</v>
      </c>
      <c r="EC74" s="21">
        <f>EXP(-LN(2)/2)*EC73+(1-EXP(-LN(2)/2))/(LN(2)/2)*DW74*DZ74*VLOOKUP('Données projet'!$B$14,Paramètres!$A$1:$I$89,3,0)*0.475*44/12</f>
        <v>53.390468265711704</v>
      </c>
      <c r="ED74" s="22">
        <f t="shared" si="72"/>
        <v>354.2727559796657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15.8</v>
      </c>
      <c r="EJ74" s="12">
        <f>IF('Données projet'!$A$192&gt;35,EJ73+EI74-ER73,IF(A74&lt;'Données projet'!$A$192,$EG$205^A74,IF(A74='Données projet'!$A$192,'Données projet'!$B$192,EJ73+EI74-ER73)))</f>
        <v>682.80000000000018</v>
      </c>
      <c r="EK74" s="17">
        <f>EJ74*VLOOKUP('Données projet'!$B$15,Paramètres!$A$1:$I$89,3,0)*VLOOKUP('Données projet'!$B$15,Paramètres!$A$1:$I$89,5,0)</f>
        <v>301.7976000000001</v>
      </c>
      <c r="EL74" s="13">
        <f t="shared" si="99"/>
        <v>71.553178355215891</v>
      </c>
      <c r="EM74" s="20">
        <f t="shared" si="73"/>
        <v>650.25260563533459</v>
      </c>
      <c r="EN74" s="59">
        <f t="shared" si="74"/>
        <v>917.12528671338259</v>
      </c>
      <c r="EO74" s="59">
        <f ca="1">AVERAGE(OFFSET($EN$3,0,0,'Données projet'!$E$15+1,1))-AVERAGE(OFFSET($H$3,0,0,'Données projet'!$E$15+1,1))</f>
        <v>418.28022549686278</v>
      </c>
      <c r="EP74" s="59">
        <f t="shared" si="100"/>
        <v>354.55070454517158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58.497638662484086</v>
      </c>
      <c r="EW74" s="21">
        <f>EXP(-LN(2)/25)*EW73+(1-EXP(-LN(2)/25))/(LN(2)/25)*Calculateur!ER74*Calculateur!ET74*VLOOKUP('Données projet'!$B$15,Paramètres!$A$1:$I$89,3,0)*0.475*44/12</f>
        <v>25.203924062988566</v>
      </c>
      <c r="EX74" s="21">
        <f>EXP(-LN(2)/2)*EX73+(1-EXP(-LN(2)/2))/(LN(2)/2)*ER74*EU74*VLOOKUP('Données projet'!$B$15,Paramètres!$A$1:$I$89,3,0)*0.475*44/12</f>
        <v>3.9314745185655577</v>
      </c>
      <c r="EY74" s="22">
        <f t="shared" si="75"/>
        <v>87.633037244038206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6.7437500000000021</v>
      </c>
      <c r="FE74" s="12">
        <f>IF('Données projet'!$A$218&gt;35,FE73+FD74-FM73,IF(A74&lt;'Données projet'!$A$218,$FB$205^A74,IF(A74='Données projet'!$A$218,'Données projet'!$B$218,FE73+FD74-FM73)))</f>
        <v>162.0575</v>
      </c>
      <c r="FF74" s="17">
        <f>FE74*VLOOKUP('Données projet'!$B$16,Paramètres!$A$1:$I$89,3,0)*VLOOKUP('Données projet'!$B$16,Paramètres!$A$1:$I$89,5,0)</f>
        <v>184.55108100000001</v>
      </c>
      <c r="FG74" s="13">
        <f t="shared" si="101"/>
        <v>46.333241717897458</v>
      </c>
      <c r="FH74" s="20">
        <f t="shared" si="76"/>
        <v>402.12352873367144</v>
      </c>
      <c r="FI74" s="59">
        <f t="shared" si="77"/>
        <v>668.99620981171938</v>
      </c>
      <c r="FJ74" s="59">
        <f ca="1">AVERAGE(OFFSET($FI$3,0,0,'Données projet'!$E$16+1,1))-AVERAGE(OFFSET($H$3,0,0,'Données projet'!$E$16+1,1))</f>
        <v>640.05156427113661</v>
      </c>
      <c r="FK74" s="59">
        <f t="shared" si="102"/>
        <v>308.77220155372902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40.400101758337136</v>
      </c>
      <c r="FS74" s="21">
        <f>EXP(-LN(2)/2)*FS73+(1-EXP(-LN(2)/2))/(LN(2)/2)*FM74*FP74*VLOOKUP('Données projet'!$B$16,Paramètres!$A$1:$I$89,3,0)*0.475*44/12</f>
        <v>4.8825216619398599</v>
      </c>
      <c r="FT74" s="22">
        <f t="shared" si="78"/>
        <v>45.282623420276998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6.7984728957526396E-14</v>
      </c>
      <c r="P75" s="13">
        <f t="shared" si="87"/>
        <v>1.0682447123141398E-12</v>
      </c>
      <c r="Q75" s="20">
        <f t="shared" si="54"/>
        <v>1.978932943548152E-12</v>
      </c>
      <c r="R75" s="59">
        <f t="shared" si="55"/>
        <v>267.3317142375231</v>
      </c>
      <c r="S75" s="59">
        <f ca="1">AVERAGE(OFFSET($R$3,0,0,'Données projet'!$E$9+1,1))-AVERAGE(OFFSET($H$3,0,0,'Données projet'!$E$9+1,1))</f>
        <v>318.50474972254085</v>
      </c>
      <c r="T75" s="59">
        <f t="shared" si="88"/>
        <v>326.45858332753562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109.4952714404521</v>
      </c>
      <c r="AA75" s="21">
        <f>EXP(-LN(2)/25)*AA74+(1-EXP(-LN(2)/25))/(LN(2)/25)*Calculateur!V75*Calculateur!X75*VLOOKUP('Données projet'!$B$9,Paramètres!$A$1:$I$89,3,0)*0.475*44/12</f>
        <v>34.730767332039882</v>
      </c>
      <c r="AB75" s="21">
        <f>EXP(-LN(2)/2)*AB74+(1-EXP(-LN(2)/2))/(LN(2)/2)*V75*Y75*VLOOKUP('Données projet'!$B$9,Paramètres!$A$1:$I$89,3,0)*0.475*44/12</f>
        <v>0.93689754411489712</v>
      </c>
      <c r="AC75" s="22">
        <f t="shared" si="57"/>
        <v>145.16293631660687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11.997500000000002</v>
      </c>
      <c r="AI75" s="13">
        <f>IF('Données projet'!$A$62&gt;35,AI74+AH75-AQ74,IF(A75&lt;'Données projet'!$A$62,$AF$205^A75,IF(A75='Données projet'!$A$62,'Données projet'!$B$62,AI74+AH75-AQ74)))</f>
        <v>382.9824999999999</v>
      </c>
      <c r="AJ75" s="13">
        <f>AI75*VLOOKUP('Données projet'!$B$10,Paramètres!$A$1:$I$89,3,0)*VLOOKUP('Données projet'!$B$10,Paramètres!$A$1:$I$89,5,0)</f>
        <v>179.23580999999996</v>
      </c>
      <c r="AK75" s="13">
        <f t="shared" si="89"/>
        <v>45.152125894936496</v>
      </c>
      <c r="AL75" s="20">
        <f t="shared" si="58"/>
        <v>390.80898835034759</v>
      </c>
      <c r="AM75" s="59">
        <f t="shared" si="59"/>
        <v>658.14070258786865</v>
      </c>
      <c r="AN75" s="59">
        <f ca="1">AVERAGE(OFFSET($AM$3,0,0,'Données projet'!$E$10+1,1))-AVERAGE(OFFSET($H$3,0,0,'Données projet'!$E$10+1,1))</f>
        <v>374.38106339726073</v>
      </c>
      <c r="AO75" s="59">
        <f t="shared" si="90"/>
        <v>296.53283288925957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26.499015639558642</v>
      </c>
      <c r="AV75" s="21">
        <f>EXP(-LN(2)/25)*AV74+(1-EXP(-LN(2)/25))/(LN(2)/25)*Calculateur!AQ75*Calculateur!AS75*VLOOKUP('Données projet'!$B$10,Paramètres!$A$1:$I$89,3,0)*0.475*44/12</f>
        <v>17.312602324437453</v>
      </c>
      <c r="AW75" s="21">
        <f>EXP(-LN(2)/2)*AW74+(1-EXP(-LN(2)/2))/(LN(2)/2)*AQ75*AT75*VLOOKUP('Données projet'!$B$10,Paramètres!$A$1:$I$89,3,0)*0.475*44/12</f>
        <v>0.26155235637137864</v>
      </c>
      <c r="AX75" s="21">
        <f t="shared" si="60"/>
        <v>44.073170320367481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9.733749999999997</v>
      </c>
      <c r="BD75" s="12">
        <f>IF('Données projet'!$A$88&gt;35,BD74+BC75-BL74,IF(A75&lt;'Données projet'!$A$88,$BA$205^A75,IF(A75='Données projet'!$A$88,'Données projet'!$B$88,BD74+BC75-BL74)))</f>
        <v>291.49250000000029</v>
      </c>
      <c r="BE75" s="13">
        <f>BD75*VLOOKUP('Données projet'!$B$11,Paramètres!$A$1:$I$89,3,0)*VLOOKUP('Données projet'!$B$11,Paramètres!$A$1:$I$89,5,0)</f>
        <v>263.74241400000022</v>
      </c>
      <c r="BF75" s="13">
        <f t="shared" si="91"/>
        <v>63.519444659628142</v>
      </c>
      <c r="BG75" s="20">
        <f t="shared" si="61"/>
        <v>569.98107049885277</v>
      </c>
      <c r="BH75" s="59">
        <f t="shared" si="62"/>
        <v>837.31278473637394</v>
      </c>
      <c r="BI75" s="59">
        <f ca="1">AVERAGE(OFFSET($BH$3,0,0,'Données projet'!$E$11+1,1))-AVERAGE(OFFSET($H$3,0,0,'Données projet'!$E$11+1,1))</f>
        <v>681.47578137804555</v>
      </c>
      <c r="BJ75" s="59">
        <f t="shared" si="92"/>
        <v>300.88511065995885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7.175357885863443</v>
      </c>
      <c r="BQ75" s="21">
        <f>EXP(-LN(2)/25)*BQ74+(1-EXP(-LN(2)/25))/(LN(2)/25)*Calculateur!BL75*Calculateur!BN75*VLOOKUP('Données projet'!$B$11,Paramètres!$A$1:$I$89,3,0)*0.475*44/12</f>
        <v>28.635121548369614</v>
      </c>
      <c r="BR75" s="21">
        <f>EXP(-LN(2)/2)*BR74+(1-EXP(-LN(2)/2))/(LN(2)/2)*BL75*BO75*VLOOKUP('Données projet'!$B$11,Paramètres!$A$1:$I$89,3,0)*0.475*44/12</f>
        <v>0.63994404277505157</v>
      </c>
      <c r="BS75" s="22">
        <f t="shared" si="63"/>
        <v>36.450423477008108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2.4358974358974366</v>
      </c>
      <c r="BY75" s="12">
        <f>IF('Données projet'!$A$114&gt;35,BY74+BX75-CG74,IF(A75&lt;'Données projet'!$A$114,$BV$205^A75,IF(A75='Données projet'!$A$114,'Données projet'!$B$114,BY74+BX75-CG74)))</f>
        <v>135.64102564102572</v>
      </c>
      <c r="BZ75" s="13">
        <f>BY75*VLOOKUP('Données projet'!$B$12,Paramètres!$A$1:$I$89,3,0)*VLOOKUP('Données projet'!$B$12,Paramètres!$A$1:$I$89,5,0)</f>
        <v>141.77200000000011</v>
      </c>
      <c r="CA75" s="13">
        <f t="shared" si="93"/>
        <v>36.702648176707207</v>
      </c>
      <c r="CB75" s="20">
        <f t="shared" si="64"/>
        <v>310.84334557443191</v>
      </c>
      <c r="CC75" s="59">
        <f t="shared" si="65"/>
        <v>578.17505981195302</v>
      </c>
      <c r="CD75" s="59">
        <f ca="1">AVERAGE(OFFSET($CC$3,0,0,'Données projet'!$E$12+1,1))-AVERAGE(OFFSET($H$3,0,0,'Données projet'!$E$12+1,1))</f>
        <v>290.69667785754848</v>
      </c>
      <c r="CE75" s="59">
        <f t="shared" si="94"/>
        <v>256.28124185489082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1.8680315769720759</v>
      </c>
      <c r="CL75" s="21">
        <f>EXP(-LN(2)/25)*CL74+(1-EXP(-LN(2)/25))/(LN(2)/25)*Calculateur!CG75*Calculateur!CI75*VLOOKUP('Données projet'!$B$12,Paramètres!$A$1:$I$89,3,0)*0.475*44/12</f>
        <v>18.693697582526031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20.561729159498107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4.2</v>
      </c>
      <c r="CT75" s="12">
        <f>IF('Données projet'!$A$140&gt;35,CT74+CS75-DB74,IF(A75&lt;'Données projet'!$A$140,$CQ$205^A75,IF(A75='Données projet'!$A$140,'Données projet'!$B$140,CT74+CS75-DB74)))</f>
        <v>311.39999999999992</v>
      </c>
      <c r="CU75" s="17">
        <f>CT75*VLOOKUP('Données projet'!$B$13,Paramètres!$A$1:$I$89,3,0)*VLOOKUP('Données projet'!$B$13,Paramètres!$A$1:$I$89,5,0)</f>
        <v>272.03904</v>
      </c>
      <c r="CV75" s="13">
        <f t="shared" si="95"/>
        <v>65.281815371368268</v>
      </c>
      <c r="CW75" s="20">
        <f t="shared" si="67"/>
        <v>587.50048977179972</v>
      </c>
      <c r="CX75" s="59">
        <f t="shared" si="68"/>
        <v>854.83220400932078</v>
      </c>
      <c r="CY75" s="59">
        <f ca="1">AVERAGE(OFFSET($CX$3,0,0,'Données projet'!$E$13+1,1))-AVERAGE(OFFSET($H$3,0,0,'Données projet'!$E$13+1,1))</f>
        <v>408.246209980743</v>
      </c>
      <c r="CZ75" s="59">
        <f t="shared" si="96"/>
        <v>394.10236303013903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15.771525903503957</v>
      </c>
      <c r="DG75" s="21">
        <f>EXP(-LN(2)/25)*DG74+(1-EXP(-LN(2)/25))/(LN(2)/25)*Calculateur!DB75*Calculateur!DD75*VLOOKUP('Données projet'!$B$13,Paramètres!$A$1:$I$89,3,0)*0.475*44/12</f>
        <v>16.182517201847997</v>
      </c>
      <c r="DH75" s="21">
        <f>EXP(-LN(2)/2)*DH74+(1-EXP(-LN(2)/2))/(LN(2)/2)*DB75*DE75*VLOOKUP('Données projet'!$B$13,Paramètres!$A$1:$I$89,3,0)*0.475*44/12</f>
        <v>1.6328671996993427</v>
      </c>
      <c r="DI75" s="22">
        <f t="shared" si="69"/>
        <v>33.586910305051298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5.6843418860808015E-13</v>
      </c>
      <c r="DP75" s="17">
        <f>DO75*VLOOKUP('Données projet'!$B$14,Paramètres!$A$1:$I$89,3,0)*VLOOKUP('Données projet'!$B$14,Paramètres!$A$1:$I$89,5,0)</f>
        <v>3.177547114319168E-13</v>
      </c>
      <c r="DQ75" s="13">
        <f t="shared" si="97"/>
        <v>4.1725404435445377E-12</v>
      </c>
      <c r="DR75" s="20">
        <f t="shared" si="70"/>
        <v>7.820597394917325E-12</v>
      </c>
      <c r="DS75" s="59">
        <f t="shared" si="71"/>
        <v>267.33171423752896</v>
      </c>
      <c r="DT75" s="59">
        <f ca="1">AVERAGE(OFFSET($DS$3,0,0,'Données projet'!$E$14+1,1))-AVERAGE(OFFSET($H$3,0,0,'Données projet'!$E$14+1,1))</f>
        <v>407.05634973057056</v>
      </c>
      <c r="DU75" s="59">
        <f t="shared" si="98"/>
        <v>375.32891954889965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221.78776389844484</v>
      </c>
      <c r="EB75" s="21">
        <f>EXP(-LN(2)/25)*EB74+(1-EXP(-LN(2)/25))/(LN(2)/25)*Calculateur!DW75*Calculateur!DY75*VLOOKUP('Données projet'!$B$14,Paramètres!$A$1:$I$89,3,0)*0.475*44/12</f>
        <v>72.61687339663284</v>
      </c>
      <c r="EC75" s="21">
        <f>EXP(-LN(2)/2)*EC74+(1-EXP(-LN(2)/2))/(LN(2)/2)*DW75*DZ75*VLOOKUP('Données projet'!$B$14,Paramètres!$A$1:$I$89,3,0)*0.475*44/12</f>
        <v>37.752762161409919</v>
      </c>
      <c r="ED75" s="22">
        <f t="shared" si="72"/>
        <v>332.15739945648761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15.8</v>
      </c>
      <c r="EJ75" s="12">
        <f>IF('Données projet'!$A$192&gt;35,EJ74+EI75-ER74,IF(A75&lt;'Données projet'!$A$192,$EG$205^A75,IF(A75='Données projet'!$A$192,'Données projet'!$B$192,EJ74+EI75-ER74)))</f>
        <v>698.60000000000014</v>
      </c>
      <c r="EK75" s="17">
        <f>EJ75*VLOOKUP('Données projet'!$B$15,Paramètres!$A$1:$I$89,3,0)*VLOOKUP('Données projet'!$B$15,Paramètres!$A$1:$I$89,5,0)</f>
        <v>308.78120000000007</v>
      </c>
      <c r="EL75" s="13">
        <f t="shared" si="99"/>
        <v>73.014237894388074</v>
      </c>
      <c r="EM75" s="20">
        <f t="shared" si="73"/>
        <v>664.96038766605932</v>
      </c>
      <c r="EN75" s="59">
        <f t="shared" si="74"/>
        <v>932.29210190358049</v>
      </c>
      <c r="EO75" s="59">
        <f ca="1">AVERAGE(OFFSET($EN$3,0,0,'Données projet'!$E$15+1,1))-AVERAGE(OFFSET($H$3,0,0,'Données projet'!$E$15+1,1))</f>
        <v>418.28022549686278</v>
      </c>
      <c r="EP75" s="59">
        <f t="shared" si="100"/>
        <v>354.55070454517158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57.350535648349243</v>
      </c>
      <c r="EW75" s="21">
        <f>EXP(-LN(2)/25)*EW74+(1-EXP(-LN(2)/25))/(LN(2)/25)*Calculateur!ER75*Calculateur!ET75*VLOOKUP('Données projet'!$B$15,Paramètres!$A$1:$I$89,3,0)*0.475*44/12</f>
        <v>24.514721434069383</v>
      </c>
      <c r="EX75" s="21">
        <f>EXP(-LN(2)/2)*EX74+(1-EXP(-LN(2)/2))/(LN(2)/2)*ER75*EU75*VLOOKUP('Données projet'!$B$15,Paramètres!$A$1:$I$89,3,0)*0.475*44/12</f>
        <v>2.7799722921398233</v>
      </c>
      <c r="EY75" s="22">
        <f t="shared" si="75"/>
        <v>84.64522937455844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6.7437500000000021</v>
      </c>
      <c r="FE75" s="12">
        <f>IF('Données projet'!$A$218&gt;35,FE74+FD75-FM74,IF(A75&lt;'Données projet'!$A$218,$FB$205^A75,IF(A75='Données projet'!$A$218,'Données projet'!$B$218,FE74+FD75-FM74)))</f>
        <v>168.80125000000001</v>
      </c>
      <c r="FF75" s="17">
        <f>FE75*VLOOKUP('Données projet'!$B$16,Paramètres!$A$1:$I$89,3,0)*VLOOKUP('Données projet'!$B$16,Paramètres!$A$1:$I$89,5,0)</f>
        <v>192.2308635</v>
      </c>
      <c r="FG75" s="13">
        <f t="shared" si="101"/>
        <v>48.032829524396625</v>
      </c>
      <c r="FH75" s="20">
        <f t="shared" si="76"/>
        <v>418.45926535082413</v>
      </c>
      <c r="FI75" s="59">
        <f t="shared" si="77"/>
        <v>685.79097958834518</v>
      </c>
      <c r="FJ75" s="59">
        <f ca="1">AVERAGE(OFFSET($FI$3,0,0,'Données projet'!$E$16+1,1))-AVERAGE(OFFSET($H$3,0,0,'Données projet'!$E$16+1,1))</f>
        <v>640.05156427113661</v>
      </c>
      <c r="FK75" s="59">
        <f t="shared" si="102"/>
        <v>308.77220155372902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39.295358851206394</v>
      </c>
      <c r="FS75" s="21">
        <f>EXP(-LN(2)/2)*FS74+(1-EXP(-LN(2)/2))/(LN(2)/2)*FM75*FP75*VLOOKUP('Données projet'!$B$16,Paramètres!$A$1:$I$89,3,0)*0.475*44/12</f>
        <v>3.4524641764478869</v>
      </c>
      <c r="FT75" s="22">
        <f t="shared" si="78"/>
        <v>42.747823027654285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6.7984728957526396E-14</v>
      </c>
      <c r="P76" s="13">
        <f t="shared" si="87"/>
        <v>1.0682447123141398E-12</v>
      </c>
      <c r="Q76" s="20">
        <f t="shared" si="54"/>
        <v>1.978932943548152E-12</v>
      </c>
      <c r="R76" s="59">
        <f t="shared" si="55"/>
        <v>267.78278419792377</v>
      </c>
      <c r="S76" s="59">
        <f ca="1">AVERAGE(OFFSET($R$3,0,0,'Données projet'!$E$9+1,1))-AVERAGE(OFFSET($H$3,0,0,'Données projet'!$E$9+1,1))</f>
        <v>318.50474972254085</v>
      </c>
      <c r="T76" s="59">
        <f t="shared" si="88"/>
        <v>326.45858332753562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107.34813595302589</v>
      </c>
      <c r="AA76" s="21">
        <f>EXP(-LN(2)/25)*AA75+(1-EXP(-LN(2)/25))/(LN(2)/25)*Calculateur!V76*Calculateur!X76*VLOOKUP('Données projet'!$B$9,Paramètres!$A$1:$I$89,3,0)*0.475*44/12</f>
        <v>33.781052672933576</v>
      </c>
      <c r="AB76" s="21">
        <f>EXP(-LN(2)/2)*AB75+(1-EXP(-LN(2)/2))/(LN(2)/2)*V76*Y76*VLOOKUP('Données projet'!$B$9,Paramètres!$A$1:$I$89,3,0)*0.475*44/12</f>
        <v>0.66248660672066639</v>
      </c>
      <c r="AC76" s="22">
        <f t="shared" si="57"/>
        <v>141.79167523268015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>
        <f>VLOOKUP(A76,'Données projet'!$A$61:$I$81,2,0)</f>
        <v>394.98</v>
      </c>
      <c r="AG76" s="12">
        <f>VLOOKUP(A76,'Données projet'!$A$61:$I$81,9,0)</f>
        <v>11.997500000000002</v>
      </c>
      <c r="AH76" s="12">
        <f t="array" ref="AH76">INDEX(AG:AG,MIN(IF(ISNUMBER(AG76:AG272),ROW(AG76:AG272),"")))</f>
        <v>11.997500000000002</v>
      </c>
      <c r="AI76" s="13">
        <f>IF('Données projet'!$A$62&gt;35,AI75+AH76-AQ75,IF(A76&lt;'Données projet'!$A$62,$AF$205^A76,IF(A76='Données projet'!$A$62,'Données projet'!$B$62,AI75+AH76-AQ75)))</f>
        <v>394.9799999999999</v>
      </c>
      <c r="AJ76" s="13">
        <f>AI76*VLOOKUP('Données projet'!$B$10,Paramètres!$A$1:$I$89,3,0)*VLOOKUP('Données projet'!$B$10,Paramètres!$A$1:$I$89,5,0)</f>
        <v>184.85063999999994</v>
      </c>
      <c r="AK76" s="13">
        <f t="shared" si="89"/>
        <v>46.399688379827502</v>
      </c>
      <c r="AL76" s="20">
        <f t="shared" si="58"/>
        <v>402.76098859486609</v>
      </c>
      <c r="AM76" s="59">
        <f t="shared" si="59"/>
        <v>670.54377279278788</v>
      </c>
      <c r="AN76" s="59">
        <f ca="1">AVERAGE(OFFSET($AM$3,0,0,'Données projet'!$E$10+1,1))-AVERAGE(OFFSET($H$3,0,0,'Données projet'!$E$10+1,1))</f>
        <v>374.38106339726073</v>
      </c>
      <c r="AO76" s="59">
        <f t="shared" si="90"/>
        <v>296.53283288925957</v>
      </c>
      <c r="AP76" s="15">
        <f>IF(ISNA(VLOOKUP(A76,'Données projet'!$A$61:$I$81,3,0)),0,VLOOKUP(A76,'Données projet'!$A$61:$I$81,3,0))</f>
        <v>3</v>
      </c>
      <c r="AQ76" s="15">
        <f>IF(ISNA(VLOOKUP(A76,'Données projet'!$A$61:$I$81,4,0)),0,VLOOKUP(A76,'Données projet'!$A$61:$I$81,4,0))</f>
        <v>103.23000000000002</v>
      </c>
      <c r="AR76" s="16">
        <f>IF(ISNA(VLOOKUP(A76,'Données projet'!$A$61:$I$81,5,0)),0%,VLOOKUP(A76,'Données projet'!$A$61:$I$81,5,0)*VLOOKUP('Données projet'!$B$10,Paramètres!$A$1:$I$89,7,0))</f>
        <v>0.33</v>
      </c>
      <c r="AS76" s="16">
        <f>IF(ISNA(VLOOKUP(A76,'Données projet'!$A$61:$I$81,6,0)),0%,VLOOKUP(A76,'Données projet'!$A$61:$I$81,6,0)*VLOOKUP('Données projet'!$B$10,Paramètres!$A$1:$I$89,7,0))</f>
        <v>0.11000000000000001</v>
      </c>
      <c r="AT76" s="16">
        <f>IF(ISNA(VLOOKUP(A76,'Données projet'!$A$61:$I$81,7,0)),0%,VLOOKUP(A76,'Données projet'!$A$61:$I$81,7,0))</f>
        <v>0.2</v>
      </c>
      <c r="AU76" s="21">
        <f>EXP(-LN(2)/35)*AU75+(1-EXP(-LN(2)/35))/(LN(2)/35)*AQ76*AR76*VLOOKUP('Données projet'!$B$10,Paramètres!$A$1:$I$89,3,0)*0.475*44/12</f>
        <v>47.128592560307567</v>
      </c>
      <c r="AV76" s="21">
        <f>EXP(-LN(2)/25)*AV75+(1-EXP(-LN(2)/25))/(LN(2)/25)*Calculateur!AQ76*Calculateur!AS76*VLOOKUP('Données projet'!$B$10,Paramètres!$A$1:$I$89,3,0)*0.475*44/12</f>
        <v>23.861166293560768</v>
      </c>
      <c r="AW76" s="21">
        <f>EXP(-LN(2)/2)*AW75+(1-EXP(-LN(2)/2))/(LN(2)/2)*AQ76*AT76*VLOOKUP('Données projet'!$B$10,Paramètres!$A$1:$I$89,3,0)*0.475*44/12</f>
        <v>11.124945275719824</v>
      </c>
      <c r="AX76" s="21">
        <f t="shared" si="60"/>
        <v>82.114704129588162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9.733749999999997</v>
      </c>
      <c r="BD76" s="12">
        <f>IF('Données projet'!$A$88&gt;35,BD75+BC76-BL75,IF(A76&lt;'Données projet'!$A$88,$BA$205^A76,IF(A76='Données projet'!$A$88,'Données projet'!$B$88,BD75+BC76-BL75)))</f>
        <v>301.22625000000028</v>
      </c>
      <c r="BE76" s="13">
        <f>BD76*VLOOKUP('Données projet'!$B$11,Paramètres!$A$1:$I$89,3,0)*VLOOKUP('Données projet'!$B$11,Paramètres!$A$1:$I$89,5,0)</f>
        <v>272.54951100000028</v>
      </c>
      <c r="BF76" s="13">
        <f t="shared" si="91"/>
        <v>65.390043555628168</v>
      </c>
      <c r="BG76" s="20">
        <f t="shared" si="61"/>
        <v>588.57805751771946</v>
      </c>
      <c r="BH76" s="59">
        <f t="shared" si="62"/>
        <v>856.3608417156413</v>
      </c>
      <c r="BI76" s="59">
        <f ca="1">AVERAGE(OFFSET($BH$3,0,0,'Données projet'!$E$11+1,1))-AVERAGE(OFFSET($H$3,0,0,'Données projet'!$E$11+1,1))</f>
        <v>681.47578137804555</v>
      </c>
      <c r="BJ76" s="59">
        <f t="shared" si="92"/>
        <v>300.88511065995885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7.0346534942578245</v>
      </c>
      <c r="BQ76" s="21">
        <f>EXP(-LN(2)/25)*BQ75+(1-EXP(-LN(2)/25))/(LN(2)/25)*Calculateur!BL76*Calculateur!BN76*VLOOKUP('Données projet'!$B$11,Paramètres!$A$1:$I$89,3,0)*0.475*44/12</f>
        <v>27.852092643773851</v>
      </c>
      <c r="BR76" s="21">
        <f>EXP(-LN(2)/2)*BR75+(1-EXP(-LN(2)/2))/(LN(2)/2)*BL76*BO76*VLOOKUP('Données projet'!$B$11,Paramètres!$A$1:$I$89,3,0)*0.475*44/12</f>
        <v>0.45250877222617303</v>
      </c>
      <c r="BS76" s="22">
        <f t="shared" si="63"/>
        <v>35.33925491025785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2.4358974358974366</v>
      </c>
      <c r="BY76" s="12">
        <f>IF('Données projet'!$A$114&gt;35,BY75+BX76-CG75,IF(A76&lt;'Données projet'!$A$114,$BV$205^A76,IF(A76='Données projet'!$A$114,'Données projet'!$B$114,BY75+BX76-CG75)))</f>
        <v>138.07692307692315</v>
      </c>
      <c r="BZ76" s="13">
        <f>BY76*VLOOKUP('Données projet'!$B$12,Paramètres!$A$1:$I$89,3,0)*VLOOKUP('Données projet'!$B$12,Paramètres!$A$1:$I$89,5,0)</f>
        <v>144.3180000000001</v>
      </c>
      <c r="CA76" s="13">
        <f t="shared" si="93"/>
        <v>37.284443058265509</v>
      </c>
      <c r="CB76" s="20">
        <f t="shared" si="64"/>
        <v>316.29092165981257</v>
      </c>
      <c r="CC76" s="59">
        <f t="shared" si="65"/>
        <v>584.07370585773435</v>
      </c>
      <c r="CD76" s="59">
        <f ca="1">AVERAGE(OFFSET($CC$3,0,0,'Données projet'!$E$12+1,1))-AVERAGE(OFFSET($H$3,0,0,'Données projet'!$E$12+1,1))</f>
        <v>290.69667785754848</v>
      </c>
      <c r="CE76" s="59">
        <f t="shared" si="94"/>
        <v>256.28124185489082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1.8314006171344104</v>
      </c>
      <c r="CL76" s="21">
        <f>EXP(-LN(2)/25)*CL75+(1-EXP(-LN(2)/25))/(LN(2)/25)*Calculateur!CG76*Calculateur!CI76*VLOOKUP('Données projet'!$B$12,Paramètres!$A$1:$I$89,3,0)*0.475*44/12</f>
        <v>18.182517439073028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20.013918056207437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4.2</v>
      </c>
      <c r="CT76" s="12">
        <f>IF('Données projet'!$A$140&gt;35,CT75+CS76-DB75,IF(A76&lt;'Données projet'!$A$140,$CQ$205^A76,IF(A76='Données projet'!$A$140,'Données projet'!$B$140,CT75+CS76-DB75)))</f>
        <v>315.59999999999991</v>
      </c>
      <c r="CU76" s="17">
        <f>CT76*VLOOKUP('Données projet'!$B$13,Paramètres!$A$1:$I$89,3,0)*VLOOKUP('Données projet'!$B$13,Paramètres!$A$1:$I$89,5,0)</f>
        <v>275.70815999999996</v>
      </c>
      <c r="CV76" s="13">
        <f t="shared" si="95"/>
        <v>66.05920594467139</v>
      </c>
      <c r="CW76" s="20">
        <f t="shared" si="67"/>
        <v>595.24482902030275</v>
      </c>
      <c r="CX76" s="59">
        <f t="shared" si="68"/>
        <v>863.02761321822459</v>
      </c>
      <c r="CY76" s="59">
        <f ca="1">AVERAGE(OFFSET($CX$3,0,0,'Données projet'!$E$13+1,1))-AVERAGE(OFFSET($H$3,0,0,'Données projet'!$E$13+1,1))</f>
        <v>408.246209980743</v>
      </c>
      <c r="CZ76" s="59">
        <f t="shared" si="96"/>
        <v>394.10236303013903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15.46225590021718</v>
      </c>
      <c r="DG76" s="21">
        <f>EXP(-LN(2)/25)*DG75+(1-EXP(-LN(2)/25))/(LN(2)/25)*Calculateur!DB76*Calculateur!DD76*VLOOKUP('Données projet'!$B$13,Paramètres!$A$1:$I$89,3,0)*0.475*44/12</f>
        <v>15.74000541796187</v>
      </c>
      <c r="DH76" s="21">
        <f>EXP(-LN(2)/2)*DH75+(1-EXP(-LN(2)/2))/(LN(2)/2)*DB76*DE76*VLOOKUP('Données projet'!$B$13,Paramètres!$A$1:$I$89,3,0)*0.475*44/12</f>
        <v>1.1546114696844938</v>
      </c>
      <c r="DI76" s="22">
        <f t="shared" si="69"/>
        <v>32.356872787863544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5.6843418860808015E-13</v>
      </c>
      <c r="DP76" s="17">
        <f>DO76*VLOOKUP('Données projet'!$B$14,Paramètres!$A$1:$I$89,3,0)*VLOOKUP('Données projet'!$B$14,Paramètres!$A$1:$I$89,5,0)</f>
        <v>3.177547114319168E-13</v>
      </c>
      <c r="DQ76" s="13">
        <f t="shared" si="97"/>
        <v>4.1725404435445377E-12</v>
      </c>
      <c r="DR76" s="20">
        <f t="shared" si="70"/>
        <v>7.820597394917325E-12</v>
      </c>
      <c r="DS76" s="59">
        <f t="shared" si="71"/>
        <v>267.78278419792963</v>
      </c>
      <c r="DT76" s="59">
        <f ca="1">AVERAGE(OFFSET($DS$3,0,0,'Données projet'!$E$14+1,1))-AVERAGE(OFFSET($H$3,0,0,'Données projet'!$E$14+1,1))</f>
        <v>407.05634973057056</v>
      </c>
      <c r="DU76" s="59">
        <f t="shared" si="98"/>
        <v>375.32891954889965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217.4386411255748</v>
      </c>
      <c r="EB76" s="21">
        <f>EXP(-LN(2)/25)*EB75+(1-EXP(-LN(2)/25))/(LN(2)/25)*Calculateur!DW76*Calculateur!DY76*VLOOKUP('Données projet'!$B$14,Paramètres!$A$1:$I$89,3,0)*0.475*44/12</f>
        <v>70.631161174846511</v>
      </c>
      <c r="EC76" s="21">
        <f>EXP(-LN(2)/2)*EC75+(1-EXP(-LN(2)/2))/(LN(2)/2)*DW76*DZ76*VLOOKUP('Données projet'!$B$14,Paramètres!$A$1:$I$89,3,0)*0.475*44/12</f>
        <v>26.695234132855855</v>
      </c>
      <c r="ED76" s="22">
        <f t="shared" si="72"/>
        <v>314.76503643327715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15.8</v>
      </c>
      <c r="EJ76" s="12">
        <f>IF('Données projet'!$A$192&gt;35,EJ75+EI76-ER75,IF(A76&lt;'Données projet'!$A$192,$EG$205^A76,IF(A76='Données projet'!$A$192,'Données projet'!$B$192,EJ75+EI76-ER75)))</f>
        <v>714.40000000000009</v>
      </c>
      <c r="EK76" s="17">
        <f>EJ76*VLOOKUP('Données projet'!$B$15,Paramètres!$A$1:$I$89,3,0)*VLOOKUP('Données projet'!$B$15,Paramètres!$A$1:$I$89,5,0)</f>
        <v>315.76480000000009</v>
      </c>
      <c r="EL76" s="13">
        <f t="shared" si="99"/>
        <v>74.471455790571639</v>
      </c>
      <c r="EM76" s="20">
        <f t="shared" si="73"/>
        <v>679.6614788352457</v>
      </c>
      <c r="EN76" s="59">
        <f t="shared" si="74"/>
        <v>947.44426303316754</v>
      </c>
      <c r="EO76" s="59">
        <f ca="1">AVERAGE(OFFSET($EN$3,0,0,'Données projet'!$E$15+1,1))-AVERAGE(OFFSET($H$3,0,0,'Données projet'!$E$15+1,1))</f>
        <v>418.28022549686278</v>
      </c>
      <c r="EP76" s="59">
        <f t="shared" si="100"/>
        <v>354.55070454517158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56.225926624657838</v>
      </c>
      <c r="EW76" s="21">
        <f>EXP(-LN(2)/25)*EW75+(1-EXP(-LN(2)/25))/(LN(2)/25)*Calculateur!ER76*Calculateur!ET76*VLOOKUP('Données projet'!$B$15,Paramètres!$A$1:$I$89,3,0)*0.475*44/12</f>
        <v>23.844365087281584</v>
      </c>
      <c r="EX76" s="21">
        <f>EXP(-LN(2)/2)*EX75+(1-EXP(-LN(2)/2))/(LN(2)/2)*ER76*EU76*VLOOKUP('Données projet'!$B$15,Paramètres!$A$1:$I$89,3,0)*0.475*44/12</f>
        <v>1.9657372592827791</v>
      </c>
      <c r="EY76" s="22">
        <f t="shared" si="75"/>
        <v>82.036028971222194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6.7437500000000021</v>
      </c>
      <c r="FE76" s="12">
        <f>IF('Données projet'!$A$218&gt;35,FE75+FD76-FM75,IF(A76&lt;'Données projet'!$A$218,$FB$205^A76,IF(A76='Données projet'!$A$218,'Données projet'!$B$218,FE75+FD76-FM75)))</f>
        <v>175.54500000000002</v>
      </c>
      <c r="FF76" s="17">
        <f>FE76*VLOOKUP('Données projet'!$B$16,Paramètres!$A$1:$I$89,3,0)*VLOOKUP('Données projet'!$B$16,Paramètres!$A$1:$I$89,5,0)</f>
        <v>199.91064600000001</v>
      </c>
      <c r="FG76" s="13">
        <f t="shared" si="101"/>
        <v>49.724529909965376</v>
      </c>
      <c r="FH76" s="20">
        <f t="shared" si="76"/>
        <v>434.78126470985643</v>
      </c>
      <c r="FI76" s="59">
        <f t="shared" si="77"/>
        <v>702.56404890777821</v>
      </c>
      <c r="FJ76" s="59">
        <f ca="1">AVERAGE(OFFSET($FI$3,0,0,'Données projet'!$E$16+1,1))-AVERAGE(OFFSET($H$3,0,0,'Données projet'!$E$16+1,1))</f>
        <v>640.05156427113661</v>
      </c>
      <c r="FK76" s="59">
        <f t="shared" si="102"/>
        <v>308.77220155372902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38.220825196967041</v>
      </c>
      <c r="FS76" s="21">
        <f>EXP(-LN(2)/2)*FS75+(1-EXP(-LN(2)/2))/(LN(2)/2)*FM76*FP76*VLOOKUP('Données projet'!$B$16,Paramètres!$A$1:$I$89,3,0)*0.475*44/12</f>
        <v>2.44126083096993</v>
      </c>
      <c r="FT76" s="22">
        <f t="shared" si="78"/>
        <v>40.662086027936972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6.7984728957526396E-14</v>
      </c>
      <c r="P77" s="13">
        <f t="shared" si="87"/>
        <v>1.0682447123141398E-12</v>
      </c>
      <c r="Q77" s="20">
        <f t="shared" si="54"/>
        <v>1.978932943548152E-12</v>
      </c>
      <c r="R77" s="59">
        <f t="shared" si="55"/>
        <v>268.22602910295285</v>
      </c>
      <c r="S77" s="59">
        <f ca="1">AVERAGE(OFFSET($R$3,0,0,'Données projet'!$E$9+1,1))-AVERAGE(OFFSET($H$3,0,0,'Données projet'!$E$9+1,1))</f>
        <v>318.50474972254085</v>
      </c>
      <c r="T77" s="59">
        <f t="shared" si="88"/>
        <v>326.45858332753562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105.24310448288477</v>
      </c>
      <c r="AA77" s="21">
        <f>EXP(-LN(2)/25)*AA76+(1-EXP(-LN(2)/25))/(LN(2)/25)*Calculateur!V77*Calculateur!X77*VLOOKUP('Données projet'!$B$9,Paramètres!$A$1:$I$89,3,0)*0.475*44/12</f>
        <v>32.857308011123855</v>
      </c>
      <c r="AB77" s="21">
        <f>EXP(-LN(2)/2)*AB76+(1-EXP(-LN(2)/2))/(LN(2)/2)*V77*Y77*VLOOKUP('Données projet'!$B$9,Paramètres!$A$1:$I$89,3,0)*0.475*44/12</f>
        <v>0.46844877205744867</v>
      </c>
      <c r="AC77" s="22">
        <f t="shared" si="57"/>
        <v>138.56886126606608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11.117500000000001</v>
      </c>
      <c r="AI77" s="13">
        <f>IF('Données projet'!$A$62&gt;35,AI76+AH77-AQ76,IF(A77&lt;'Données projet'!$A$62,$AF$205^A77,IF(A77='Données projet'!$A$62,'Données projet'!$B$62,AI76+AH77-AQ76)))</f>
        <v>302.86749999999989</v>
      </c>
      <c r="AJ77" s="13">
        <f>AI77*VLOOKUP('Données projet'!$B$10,Paramètres!$A$1:$I$89,3,0)*VLOOKUP('Données projet'!$B$10,Paramètres!$A$1:$I$89,5,0)</f>
        <v>141.74198999999996</v>
      </c>
      <c r="AK77" s="13">
        <f t="shared" si="89"/>
        <v>36.695783280300503</v>
      </c>
      <c r="AL77" s="20">
        <f t="shared" si="58"/>
        <v>310.77912179652327</v>
      </c>
      <c r="AM77" s="59">
        <f t="shared" si="59"/>
        <v>579.00515089947407</v>
      </c>
      <c r="AN77" s="59">
        <f ca="1">AVERAGE(OFFSET($AM$3,0,0,'Données projet'!$E$10+1,1))-AVERAGE(OFFSET($H$3,0,0,'Données projet'!$E$10+1,1))</f>
        <v>374.38106339726073</v>
      </c>
      <c r="AO77" s="59">
        <f t="shared" si="90"/>
        <v>296.53283288925957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46.204429605803007</v>
      </c>
      <c r="AV77" s="21">
        <f>EXP(-LN(2)/25)*AV76+(1-EXP(-LN(2)/25))/(LN(2)/25)*Calculateur!AQ77*Calculateur!AS77*VLOOKUP('Données projet'!$B$10,Paramètres!$A$1:$I$89,3,0)*0.475*44/12</f>
        <v>23.208681446459149</v>
      </c>
      <c r="AW77" s="21">
        <f>EXP(-LN(2)/2)*AW76+(1-EXP(-LN(2)/2))/(LN(2)/2)*AQ77*AT77*VLOOKUP('Données projet'!$B$10,Paramètres!$A$1:$I$89,3,0)*0.475*44/12</f>
        <v>7.8665242447907335</v>
      </c>
      <c r="AX77" s="21">
        <f t="shared" si="60"/>
        <v>77.279635297052891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9.733749999999997</v>
      </c>
      <c r="BC77" s="12">
        <f t="array" ref="BC77">INDEX(BB:BB,MIN(IF(ISNUMBER(BB77:BB273),ROW(BB77:BB273),"")))</f>
        <v>9.733749999999997</v>
      </c>
      <c r="BD77" s="12">
        <f>IF('Données projet'!$A$88&gt;35,BD76+BC77-BL76,IF(A77&lt;'Données projet'!$A$88,$BA$205^A77,IF(A77='Données projet'!$A$88,'Données projet'!$B$88,BD76+BC77-BL76)))</f>
        <v>310.96000000000026</v>
      </c>
      <c r="BE77" s="13">
        <f>BD77*VLOOKUP('Données projet'!$B$11,Paramètres!$A$1:$I$89,3,0)*VLOOKUP('Données projet'!$B$11,Paramètres!$A$1:$I$89,5,0)</f>
        <v>281.35660800000022</v>
      </c>
      <c r="BF77" s="13">
        <f t="shared" si="91"/>
        <v>67.253618453644265</v>
      </c>
      <c r="BG77" s="20">
        <f t="shared" si="61"/>
        <v>607.16281107343082</v>
      </c>
      <c r="BH77" s="59">
        <f t="shared" si="62"/>
        <v>875.38884017638168</v>
      </c>
      <c r="BI77" s="59">
        <f ca="1">AVERAGE(OFFSET($BH$3,0,0,'Données projet'!$E$11+1,1))-AVERAGE(OFFSET($H$3,0,0,'Données projet'!$E$11+1,1))</f>
        <v>681.47578137804555</v>
      </c>
      <c r="BJ77" s="59">
        <f t="shared" si="92"/>
        <v>300.88511065995885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51.339999999999975</v>
      </c>
      <c r="BM77" s="16">
        <f>IF(ISNA(VLOOKUP(A77,'Données projet'!$A$87:$I$107,5,0)),0%,VLOOKUP(A77,'Données projet'!$A$87:$I$107,5,0)*VLOOKUP('Données projet'!$B$11,Paramètres!$A$1:$I$89,7,0))</f>
        <v>0.15049999999999999</v>
      </c>
      <c r="BN77" s="16">
        <f>IF(ISNA(VLOOKUP(A77,'Données projet'!$A$87:$I$107,6,0)),0%,VLOOKUP(A77,'Données projet'!$A$87:$I$107,6,0)*VLOOKUP('Données projet'!$B$11,Paramètres!$A$1:$I$89,7,0))</f>
        <v>8.6000000000000007E-2</v>
      </c>
      <c r="BO77" s="16">
        <f>IF(ISNA(VLOOKUP(A77,'Données projet'!$A$87:$I$107,7,0)),0%,VLOOKUP(A77,'Données projet'!$A$87:$I$107,7,0))</f>
        <v>0.1</v>
      </c>
      <c r="BP77" s="21">
        <f>EXP(-LN(2)/35)*BP76+(1-EXP(-LN(2)/35))/(LN(2)/35)*BL77*BM77*VLOOKUP('Données projet'!$B$11,Paramètres!$A$1:$I$89,3,0)*0.475*44/12</f>
        <v>14.625152268757301</v>
      </c>
      <c r="BQ77" s="21">
        <f>EXP(-LN(2)/25)*BQ76+(1-EXP(-LN(2)/25))/(LN(2)/25)*Calculateur!BL77*Calculateur!BN77*VLOOKUP('Données projet'!$B$11,Paramètres!$A$1:$I$89,3,0)*0.475*44/12</f>
        <v>31.489340968528012</v>
      </c>
      <c r="BR77" s="21">
        <f>EXP(-LN(2)/2)*BR76+(1-EXP(-LN(2)/2))/(LN(2)/2)*BL77*BO77*VLOOKUP('Données projet'!$B$11,Paramètres!$A$1:$I$89,3,0)*0.475*44/12</f>
        <v>4.7028840054751821</v>
      </c>
      <c r="BS77" s="22">
        <f t="shared" si="63"/>
        <v>50.8173772427605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2.4358974358974366</v>
      </c>
      <c r="BY77" s="12">
        <f>IF('Données projet'!$A$114&gt;35,BY76+BX77-CG76,IF(A77&lt;'Données projet'!$A$114,$BV$205^A77,IF(A77='Données projet'!$A$114,'Données projet'!$B$114,BY76+BX77-CG76)))</f>
        <v>140.51282051282058</v>
      </c>
      <c r="BZ77" s="13">
        <f>BY77*VLOOKUP('Données projet'!$B$12,Paramètres!$A$1:$I$89,3,0)*VLOOKUP('Données projet'!$B$12,Paramètres!$A$1:$I$89,5,0)</f>
        <v>146.86400000000009</v>
      </c>
      <c r="CA77" s="13">
        <f t="shared" si="93"/>
        <v>37.865044394930777</v>
      </c>
      <c r="CB77" s="20">
        <f t="shared" si="64"/>
        <v>321.73641898783791</v>
      </c>
      <c r="CC77" s="59">
        <f t="shared" si="65"/>
        <v>589.96244809078871</v>
      </c>
      <c r="CD77" s="59">
        <f ca="1">AVERAGE(OFFSET($CC$3,0,0,'Données projet'!$E$12+1,1))-AVERAGE(OFFSET($H$3,0,0,'Données projet'!$E$12+1,1))</f>
        <v>290.69667785754848</v>
      </c>
      <c r="CE77" s="59">
        <f t="shared" si="94"/>
        <v>256.28124185489082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1.7954879680764821</v>
      </c>
      <c r="CL77" s="21">
        <f>EXP(-LN(2)/25)*CL76+(1-EXP(-LN(2)/25))/(LN(2)/25)*Calculateur!CG77*Calculateur!CI77*VLOOKUP('Données projet'!$B$12,Paramètres!$A$1:$I$89,3,0)*0.475*44/12</f>
        <v>17.685315543524542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19.480803511601025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4.2</v>
      </c>
      <c r="CT77" s="12">
        <f>IF('Données projet'!$A$140&gt;35,CT76+CS77-DB76,IF(A77&lt;'Données projet'!$A$140,$CQ$205^A77,IF(A77='Données projet'!$A$140,'Données projet'!$B$140,CT76+CS77-DB76)))</f>
        <v>319.7999999999999</v>
      </c>
      <c r="CU77" s="17">
        <f>CT77*VLOOKUP('Données projet'!$B$13,Paramètres!$A$1:$I$89,3,0)*VLOOKUP('Données projet'!$B$13,Paramètres!$A$1:$I$89,5,0)</f>
        <v>279.37727999999993</v>
      </c>
      <c r="CV77" s="13">
        <f t="shared" si="95"/>
        <v>66.835393196206056</v>
      </c>
      <c r="CW77" s="20">
        <f t="shared" si="67"/>
        <v>602.98707248339201</v>
      </c>
      <c r="CX77" s="59">
        <f t="shared" si="68"/>
        <v>871.21310158634287</v>
      </c>
      <c r="CY77" s="59">
        <f ca="1">AVERAGE(OFFSET($CX$3,0,0,'Données projet'!$E$13+1,1))-AVERAGE(OFFSET($H$3,0,0,'Données projet'!$E$13+1,1))</f>
        <v>408.246209980743</v>
      </c>
      <c r="CZ77" s="59">
        <f t="shared" si="96"/>
        <v>394.10236303013903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15.159050493058782</v>
      </c>
      <c r="DG77" s="21">
        <f>EXP(-LN(2)/25)*DG76+(1-EXP(-LN(2)/25))/(LN(2)/25)*Calculateur!DB77*Calculateur!DD77*VLOOKUP('Données projet'!$B$13,Paramètres!$A$1:$I$89,3,0)*0.475*44/12</f>
        <v>15.309594142076792</v>
      </c>
      <c r="DH77" s="21">
        <f>EXP(-LN(2)/2)*DH76+(1-EXP(-LN(2)/2))/(LN(2)/2)*DB77*DE77*VLOOKUP('Données projet'!$B$13,Paramètres!$A$1:$I$89,3,0)*0.475*44/12</f>
        <v>0.81643359984967145</v>
      </c>
      <c r="DI77" s="22">
        <f t="shared" si="69"/>
        <v>31.285078234985246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5.6843418860808015E-13</v>
      </c>
      <c r="DP77" s="17">
        <f>DO77*VLOOKUP('Données projet'!$B$14,Paramètres!$A$1:$I$89,3,0)*VLOOKUP('Données projet'!$B$14,Paramètres!$A$1:$I$89,5,0)</f>
        <v>3.177547114319168E-13</v>
      </c>
      <c r="DQ77" s="13">
        <f t="shared" si="97"/>
        <v>4.1725404435445377E-12</v>
      </c>
      <c r="DR77" s="20">
        <f t="shared" si="70"/>
        <v>7.820597394917325E-12</v>
      </c>
      <c r="DS77" s="59">
        <f t="shared" si="71"/>
        <v>268.22602910295871</v>
      </c>
      <c r="DT77" s="59">
        <f ca="1">AVERAGE(OFFSET($DS$3,0,0,'Données projet'!$E$14+1,1))-AVERAGE(OFFSET($H$3,0,0,'Données projet'!$E$14+1,1))</f>
        <v>407.05634973057056</v>
      </c>
      <c r="DU77" s="59">
        <f t="shared" si="98"/>
        <v>375.32891954889965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213.17480199757779</v>
      </c>
      <c r="EB77" s="21">
        <f>EXP(-LN(2)/25)*EB76+(1-EXP(-LN(2)/25))/(LN(2)/25)*Calculateur!DW77*Calculateur!DY77*VLOOKUP('Données projet'!$B$14,Paramètres!$A$1:$I$89,3,0)*0.475*44/12</f>
        <v>68.699748358188998</v>
      </c>
      <c r="EC77" s="21">
        <f>EXP(-LN(2)/2)*EC76+(1-EXP(-LN(2)/2))/(LN(2)/2)*DW77*DZ77*VLOOKUP('Données projet'!$B$14,Paramètres!$A$1:$I$89,3,0)*0.475*44/12</f>
        <v>18.876381080704963</v>
      </c>
      <c r="ED77" s="22">
        <f t="shared" si="72"/>
        <v>300.75093143647177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15.8</v>
      </c>
      <c r="EJ77" s="12">
        <f>IF('Données projet'!$A$192&gt;35,EJ76+EI77-ER76,IF(A77&lt;'Données projet'!$A$192,$EG$205^A77,IF(A77='Données projet'!$A$192,'Données projet'!$B$192,EJ76+EI77-ER76)))</f>
        <v>730.2</v>
      </c>
      <c r="EK77" s="17">
        <f>EJ77*VLOOKUP('Données projet'!$B$15,Paramètres!$A$1:$I$89,3,0)*VLOOKUP('Données projet'!$B$15,Paramètres!$A$1:$I$89,5,0)</f>
        <v>322.74840000000006</v>
      </c>
      <c r="EL77" s="13">
        <f t="shared" si="99"/>
        <v>75.924926790688417</v>
      </c>
      <c r="EM77" s="20">
        <f t="shared" si="73"/>
        <v>694.35604416044907</v>
      </c>
      <c r="EN77" s="59">
        <f t="shared" si="74"/>
        <v>962.58207326339993</v>
      </c>
      <c r="EO77" s="59">
        <f ca="1">AVERAGE(OFFSET($EN$3,0,0,'Données projet'!$E$15+1,1))-AVERAGE(OFFSET($H$3,0,0,'Données projet'!$E$15+1,1))</f>
        <v>418.28022549686278</v>
      </c>
      <c r="EP77" s="59">
        <f t="shared" si="100"/>
        <v>354.55070454517158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55.123370497977248</v>
      </c>
      <c r="EW77" s="21">
        <f>EXP(-LN(2)/25)*EW76+(1-EXP(-LN(2)/25))/(LN(2)/25)*Calculateur!ER77*Calculateur!ET77*VLOOKUP('Données projet'!$B$15,Paramètres!$A$1:$I$89,3,0)*0.475*44/12</f>
        <v>23.192339670049208</v>
      </c>
      <c r="EX77" s="21">
        <f>EXP(-LN(2)/2)*EX76+(1-EXP(-LN(2)/2))/(LN(2)/2)*ER77*EU77*VLOOKUP('Données projet'!$B$15,Paramètres!$A$1:$I$89,3,0)*0.475*44/12</f>
        <v>1.3899861460699119</v>
      </c>
      <c r="EY77" s="22">
        <f t="shared" si="75"/>
        <v>79.705696314096372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6.7437500000000021</v>
      </c>
      <c r="FE77" s="12">
        <f>IF('Données projet'!$A$218&gt;35,FE76+FD77-FM76,IF(A77&lt;'Données projet'!$A$218,$FB$205^A77,IF(A77='Données projet'!$A$218,'Données projet'!$B$218,FE76+FD77-FM76)))</f>
        <v>182.28875000000002</v>
      </c>
      <c r="FF77" s="17">
        <f>FE77*VLOOKUP('Données projet'!$B$16,Paramètres!$A$1:$I$89,3,0)*VLOOKUP('Données projet'!$B$16,Paramètres!$A$1:$I$89,5,0)</f>
        <v>207.59042850000003</v>
      </c>
      <c r="FG77" s="13">
        <f t="shared" si="101"/>
        <v>51.408680561939029</v>
      </c>
      <c r="FH77" s="20">
        <f t="shared" si="76"/>
        <v>451.09011494954387</v>
      </c>
      <c r="FI77" s="59">
        <f t="shared" si="77"/>
        <v>719.31614405249479</v>
      </c>
      <c r="FJ77" s="59">
        <f ca="1">AVERAGE(OFFSET($FI$3,0,0,'Données projet'!$E$16+1,1))-AVERAGE(OFFSET($H$3,0,0,'Données projet'!$E$16+1,1))</f>
        <v>640.05156427113661</v>
      </c>
      <c r="FK77" s="59">
        <f t="shared" si="102"/>
        <v>308.77220155372902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37.175674722010136</v>
      </c>
      <c r="FS77" s="21">
        <f>EXP(-LN(2)/2)*FS76+(1-EXP(-LN(2)/2))/(LN(2)/2)*FM77*FP77*VLOOKUP('Données projet'!$B$16,Paramètres!$A$1:$I$89,3,0)*0.475*44/12</f>
        <v>1.7262320882239435</v>
      </c>
      <c r="FT77" s="22">
        <f t="shared" si="78"/>
        <v>38.901906810234081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6.7984728957526396E-14</v>
      </c>
      <c r="P78" s="13">
        <f t="shared" si="87"/>
        <v>1.0682447123141398E-12</v>
      </c>
      <c r="Q78" s="20">
        <f t="shared" si="54"/>
        <v>1.978932943548152E-12</v>
      </c>
      <c r="R78" s="59">
        <f t="shared" si="55"/>
        <v>268.66158469982679</v>
      </c>
      <c r="S78" s="59">
        <f ca="1">AVERAGE(OFFSET($R$3,0,0,'Données projet'!$E$9+1,1))-AVERAGE(OFFSET($H$3,0,0,'Données projet'!$E$9+1,1))</f>
        <v>318.50474972254085</v>
      </c>
      <c r="T78" s="59">
        <f t="shared" si="88"/>
        <v>326.45858332753562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103.17935139593071</v>
      </c>
      <c r="AA78" s="21">
        <f>EXP(-LN(2)/25)*AA77+(1-EXP(-LN(2)/25))/(LN(2)/25)*Calculateur!V78*Calculateur!X78*VLOOKUP('Données projet'!$B$9,Paramètres!$A$1:$I$89,3,0)*0.475*44/12</f>
        <v>31.958823195668941</v>
      </c>
      <c r="AB78" s="21">
        <f>EXP(-LN(2)/2)*AB77+(1-EXP(-LN(2)/2))/(LN(2)/2)*V78*Y78*VLOOKUP('Données projet'!$B$9,Paramètres!$A$1:$I$89,3,0)*0.475*44/12</f>
        <v>0.33124330336033325</v>
      </c>
      <c r="AC78" s="22">
        <f t="shared" si="57"/>
        <v>135.46941789495997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11.117500000000001</v>
      </c>
      <c r="AI78" s="13">
        <f>IF('Données projet'!$A$62&gt;35,AI77+AH78-AQ77,IF(A78&lt;'Données projet'!$A$62,$AF$205^A78,IF(A78='Données projet'!$A$62,'Données projet'!$B$62,AI77+AH78-AQ77)))</f>
        <v>313.9849999999999</v>
      </c>
      <c r="AJ78" s="13">
        <f>AI78*VLOOKUP('Données projet'!$B$10,Paramètres!$A$1:$I$89,3,0)*VLOOKUP('Données projet'!$B$10,Paramètres!$A$1:$I$89,5,0)</f>
        <v>146.94497999999996</v>
      </c>
      <c r="AK78" s="13">
        <f t="shared" si="89"/>
        <v>37.883492113436546</v>
      </c>
      <c r="AL78" s="20">
        <f t="shared" si="58"/>
        <v>321.90958893090192</v>
      </c>
      <c r="AM78" s="59">
        <f t="shared" si="59"/>
        <v>590.57117363072666</v>
      </c>
      <c r="AN78" s="59">
        <f ca="1">AVERAGE(OFFSET($AM$3,0,0,'Données projet'!$E$10+1,1))-AVERAGE(OFFSET($H$3,0,0,'Données projet'!$E$10+1,1))</f>
        <v>374.38106339726073</v>
      </c>
      <c r="AO78" s="59">
        <f t="shared" si="90"/>
        <v>296.53283288925957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45.298388923152537</v>
      </c>
      <c r="AV78" s="21">
        <f>EXP(-LN(2)/25)*AV77+(1-EXP(-LN(2)/25))/(LN(2)/25)*Calculateur!AQ78*Calculateur!AS78*VLOOKUP('Données projet'!$B$10,Paramètres!$A$1:$I$89,3,0)*0.475*44/12</f>
        <v>22.57403883181421</v>
      </c>
      <c r="AW78" s="21">
        <f>EXP(-LN(2)/2)*AW77+(1-EXP(-LN(2)/2))/(LN(2)/2)*AQ78*AT78*VLOOKUP('Données projet'!$B$10,Paramètres!$A$1:$I$89,3,0)*0.475*44/12</f>
        <v>5.562472637859913</v>
      </c>
      <c r="AX78" s="21">
        <f t="shared" si="60"/>
        <v>73.434900392826663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9.546999999999997</v>
      </c>
      <c r="BD78" s="12">
        <f>IF('Données projet'!$A$88&gt;35,BD77+BC78-BL77,IF(A78&lt;'Données projet'!$A$88,$BA$205^A78,IF(A78='Données projet'!$A$88,'Données projet'!$B$88,BD77+BC78-BL77)))</f>
        <v>269.16700000000031</v>
      </c>
      <c r="BE78" s="13">
        <f>BD78*VLOOKUP('Données projet'!$B$11,Paramètres!$A$1:$I$89,3,0)*VLOOKUP('Données projet'!$B$11,Paramètres!$A$1:$I$89,5,0)</f>
        <v>243.54230160000029</v>
      </c>
      <c r="BF78" s="13">
        <f t="shared" si="91"/>
        <v>59.201022808040776</v>
      </c>
      <c r="BG78" s="20">
        <f t="shared" si="61"/>
        <v>527.27795667733812</v>
      </c>
      <c r="BH78" s="59">
        <f t="shared" si="62"/>
        <v>795.93954137716287</v>
      </c>
      <c r="BI78" s="59">
        <f ca="1">AVERAGE(OFFSET($BH$3,0,0,'Données projet'!$E$11+1,1))-AVERAGE(OFFSET($H$3,0,0,'Données projet'!$E$11+1,1))</f>
        <v>681.47578137804555</v>
      </c>
      <c r="BJ78" s="59">
        <f t="shared" si="92"/>
        <v>300.88511065995885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14.338361953229031</v>
      </c>
      <c r="BQ78" s="21">
        <f>EXP(-LN(2)/25)*BQ77+(1-EXP(-LN(2)/25))/(LN(2)/25)*Calculateur!BL78*Calculateur!BN78*VLOOKUP('Données projet'!$B$11,Paramètres!$A$1:$I$89,3,0)*0.475*44/12</f>
        <v>30.628263283791142</v>
      </c>
      <c r="BR78" s="21">
        <f>EXP(-LN(2)/2)*BR77+(1-EXP(-LN(2)/2))/(LN(2)/2)*BL78*BO78*VLOOKUP('Données projet'!$B$11,Paramètres!$A$1:$I$89,3,0)*0.475*44/12</f>
        <v>3.3254411714052541</v>
      </c>
      <c r="BS78" s="22">
        <f t="shared" si="63"/>
        <v>48.292066408425427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142.94871794871796</v>
      </c>
      <c r="BW78" s="12">
        <f>VLOOKUP(A78,'Données projet'!$A$113:$I$133,9,0)</f>
        <v>2.4358974358974366</v>
      </c>
      <c r="BX78" s="12">
        <f t="array" ref="BX78">INDEX(BW:BW,MIN(IF(ISNUMBER(BW78:BW274),ROW(BW78:BW274),"")))</f>
        <v>2.4358974358974366</v>
      </c>
      <c r="BY78" s="12">
        <f>IF('Données projet'!$A$114&gt;35,BY77+BX78-CG77,IF(A78&lt;'Données projet'!$A$114,$BV$205^A78,IF(A78='Données projet'!$A$114,'Données projet'!$B$114,BY77+BX78-CG77)))</f>
        <v>142.94871794871801</v>
      </c>
      <c r="BZ78" s="13">
        <f>BY78*VLOOKUP('Données projet'!$B$12,Paramètres!$A$1:$I$89,3,0)*VLOOKUP('Données projet'!$B$12,Paramètres!$A$1:$I$89,5,0)</f>
        <v>149.41000000000008</v>
      </c>
      <c r="CA78" s="13">
        <f t="shared" si="93"/>
        <v>38.444475265192452</v>
      </c>
      <c r="CB78" s="20">
        <f t="shared" si="64"/>
        <v>327.17987775354368</v>
      </c>
      <c r="CC78" s="59">
        <f t="shared" si="65"/>
        <v>595.84146245336842</v>
      </c>
      <c r="CD78" s="59">
        <f ca="1">AVERAGE(OFFSET($CC$3,0,0,'Données projet'!$E$12+1,1))-AVERAGE(OFFSET($H$3,0,0,'Données projet'!$E$12+1,1))</f>
        <v>290.69667785754848</v>
      </c>
      <c r="CE78" s="59">
        <f t="shared" si="94"/>
        <v>256.28124185489082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8.9743589743589745</v>
      </c>
      <c r="CH78" s="16">
        <f>IF(ISNA(VLOOKUP(A78,'Données projet'!$A$113:$I$133,5,0)),0%,VLOOKUP(A78,'Données projet'!$A$113:$I$133,5,0)*VLOOKUP('Données projet'!$B$12,Paramètres!$A$1:$I$89,7,0))</f>
        <v>4.3000000000000003E-2</v>
      </c>
      <c r="CI78" s="16">
        <f>IF(ISNA(VLOOKUP(A78,'Données projet'!$A$113:$I$133,6,0)),0%,VLOOKUP(A78,'Données projet'!$A$113:$I$133,6,0)*VLOOKUP('Données projet'!$B$12,Paramètres!$A$1:$I$89,7,0))</f>
        <v>0.215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2.2061599670428471</v>
      </c>
      <c r="CL78" s="21">
        <f>EXP(-LN(2)/25)*CL77+(1-EXP(-LN(2)/25))/(LN(2)/25)*Calculateur!CG78*Calculateur!CI78*VLOOKUP('Données projet'!$B$12,Paramètres!$A$1:$I$89,3,0)*0.475*44/12</f>
        <v>19.422333768767427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21.628493735810274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324</v>
      </c>
      <c r="CR78" s="12">
        <f>VLOOKUP(A78,'Données projet'!$A$139:$I$159,9,0)</f>
        <v>4.2</v>
      </c>
      <c r="CS78" s="12">
        <f t="array" ref="CS78">INDEX(CR:CR,MIN(IF(ISNUMBER(CR78:CR274),ROW(CR78:CR274),"")))</f>
        <v>4.2</v>
      </c>
      <c r="CT78" s="12">
        <f>IF('Données projet'!$A$140&gt;35,CT77+CS78-DB77,IF(A78&lt;'Données projet'!$A$140,$CQ$205^A78,IF(A78='Données projet'!$A$140,'Données projet'!$B$140,CT77+CS78-DB77)))</f>
        <v>323.99999999999989</v>
      </c>
      <c r="CU78" s="17">
        <f>CT78*VLOOKUP('Données projet'!$B$13,Paramètres!$A$1:$I$89,3,0)*VLOOKUP('Données projet'!$B$13,Paramètres!$A$1:$I$89,5,0)</f>
        <v>283.04639999999989</v>
      </c>
      <c r="CV78" s="13">
        <f t="shared" si="95"/>
        <v>67.610394756513259</v>
      </c>
      <c r="CW78" s="20">
        <f t="shared" si="67"/>
        <v>610.72725086759363</v>
      </c>
      <c r="CX78" s="59">
        <f t="shared" si="68"/>
        <v>879.38883556741848</v>
      </c>
      <c r="CY78" s="59">
        <f ca="1">AVERAGE(OFFSET($CX$3,0,0,'Données projet'!$E$13+1,1))-AVERAGE(OFFSET($H$3,0,0,'Données projet'!$E$13+1,1))</f>
        <v>408.246209980743</v>
      </c>
      <c r="CZ78" s="59">
        <f t="shared" si="96"/>
        <v>394.10236303013903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12</v>
      </c>
      <c r="DC78" s="16">
        <f>IF(ISNA(VLOOKUP(A78,'Données projet'!$A$139:$I$159,5,0)),0%,VLOOKUP(A78,'Données projet'!$A$139:$I$159,5,0)*VLOOKUP('Données projet'!$B$13,Paramètres!$A$1:$I$89,7,0))</f>
        <v>0.13250000000000001</v>
      </c>
      <c r="DD78" s="16">
        <f>IF(ISNA(VLOOKUP(A78,'Données projet'!$A$139:$I$159,6,0)),0%,VLOOKUP(A78,'Données projet'!$A$139:$I$159,6,0)*VLOOKUP('Données projet'!$B$13,Paramètres!$A$1:$I$89,7,0))</f>
        <v>0.13250000000000001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16.3973156474581</v>
      </c>
      <c r="DG78" s="21">
        <f>EXP(-LN(2)/25)*DG77+(1-EXP(-LN(2)/25))/(LN(2)/25)*Calculateur!DB78*Calculateur!DD78*VLOOKUP('Données projet'!$B$13,Paramètres!$A$1:$I$89,3,0)*0.475*44/12</f>
        <v>16.420431427058794</v>
      </c>
      <c r="DH78" s="21">
        <f>EXP(-LN(2)/2)*DH77+(1-EXP(-LN(2)/2))/(LN(2)/2)*DB78*DE78*VLOOKUP('Données projet'!$B$13,Paramètres!$A$1:$I$89,3,0)*0.475*44/12</f>
        <v>3.0501010726400488</v>
      </c>
      <c r="DI78" s="22">
        <f t="shared" si="69"/>
        <v>35.867848147156941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5.6843418860808015E-13</v>
      </c>
      <c r="DP78" s="17">
        <f>DO78*VLOOKUP('Données projet'!$B$14,Paramètres!$A$1:$I$89,3,0)*VLOOKUP('Données projet'!$B$14,Paramètres!$A$1:$I$89,5,0)</f>
        <v>3.177547114319168E-13</v>
      </c>
      <c r="DQ78" s="13">
        <f t="shared" si="97"/>
        <v>4.1725404435445377E-12</v>
      </c>
      <c r="DR78" s="20">
        <f t="shared" si="70"/>
        <v>7.820597394917325E-12</v>
      </c>
      <c r="DS78" s="59">
        <f t="shared" si="71"/>
        <v>268.66158469983264</v>
      </c>
      <c r="DT78" s="59">
        <f ca="1">AVERAGE(OFFSET($DS$3,0,0,'Données projet'!$E$14+1,1))-AVERAGE(OFFSET($H$3,0,0,'Données projet'!$E$14+1,1))</f>
        <v>407.05634973057056</v>
      </c>
      <c r="DU78" s="59">
        <f t="shared" si="98"/>
        <v>375.32891954889965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208.99457415419573</v>
      </c>
      <c r="EB78" s="21">
        <f>EXP(-LN(2)/25)*EB77+(1-EXP(-LN(2)/25))/(LN(2)/25)*Calculateur!DW78*Calculateur!DY78*VLOOKUP('Données projet'!$B$14,Paramètres!$A$1:$I$89,3,0)*0.475*44/12</f>
        <v>66.821150126571567</v>
      </c>
      <c r="EC78" s="21">
        <f>EXP(-LN(2)/2)*EC77+(1-EXP(-LN(2)/2))/(LN(2)/2)*DW78*DZ78*VLOOKUP('Données projet'!$B$14,Paramètres!$A$1:$I$89,3,0)*0.475*44/12</f>
        <v>13.347617066427931</v>
      </c>
      <c r="ED78" s="22">
        <f t="shared" si="72"/>
        <v>289.16334134719523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746</v>
      </c>
      <c r="EH78" s="12">
        <f>VLOOKUP(A78,'Données projet'!$A$191:$I$211,9,0)</f>
        <v>15.8</v>
      </c>
      <c r="EI78" s="12">
        <f t="array" ref="EI78">INDEX(EH:EH,MIN(IF(ISNUMBER(EH78:EH274),ROW(EH78:EH274),"")))</f>
        <v>15.8</v>
      </c>
      <c r="EJ78" s="12">
        <f>IF('Données projet'!$A$192&gt;35,EJ77+EI78-ER77,IF(A78&lt;'Données projet'!$A$192,$EG$205^A78,IF(A78='Données projet'!$A$192,'Données projet'!$B$192,EJ77+EI78-ER77)))</f>
        <v>746</v>
      </c>
      <c r="EK78" s="17">
        <f>EJ78*VLOOKUP('Données projet'!$B$15,Paramètres!$A$1:$I$89,3,0)*VLOOKUP('Données projet'!$B$15,Paramètres!$A$1:$I$89,5,0)</f>
        <v>329.73200000000003</v>
      </c>
      <c r="EL78" s="13">
        <f t="shared" si="99"/>
        <v>77.374741307218997</v>
      </c>
      <c r="EM78" s="20">
        <f t="shared" si="73"/>
        <v>709.04424111007302</v>
      </c>
      <c r="EN78" s="59">
        <f t="shared" si="74"/>
        <v>977.70582580989776</v>
      </c>
      <c r="EO78" s="59">
        <f ca="1">AVERAGE(OFFSET($EN$3,0,0,'Données projet'!$E$15+1,1))-AVERAGE(OFFSET($H$3,0,0,'Données projet'!$E$15+1,1))</f>
        <v>418.28022549686278</v>
      </c>
      <c r="EP78" s="59">
        <f t="shared" si="100"/>
        <v>354.55070454517158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43</v>
      </c>
      <c r="ES78" s="16">
        <f>IF(ISNA(VLOOKUP(A78,'Données projet'!$A$191:$I$211,5,0)),0%,VLOOKUP(A78,'Données projet'!$A$191:$I$211,5,0)*VLOOKUP('Données projet'!$B$15,Paramètres!$A$1:$I$89,7,0))</f>
        <v>0.33</v>
      </c>
      <c r="ET78" s="16">
        <f>IF(ISNA(VLOOKUP(A78,'Données projet'!$A$191:$I$211,6,0)),0%,VLOOKUP(A78,'Données projet'!$A$191:$I$211,6,0)*VLOOKUP('Données projet'!$B$15,Paramètres!$A$1:$I$89,7,0))</f>
        <v>0.11000000000000001</v>
      </c>
      <c r="EU78" s="16">
        <f>IF(ISNA(VLOOKUP(A78,'Données projet'!$A$191:$I$211,7,0)),0%,VLOOKUP(A78,'Données projet'!$A$191:$I$211,7,0))</f>
        <v>0.2</v>
      </c>
      <c r="EV78" s="21">
        <f>EXP(-LN(2)/35)*EV77+(1-EXP(-LN(2)/35))/(LN(2)/35)*ER78*ES78*VLOOKUP('Données projet'!$B$15,Paramètres!$A$1:$I$89,3,0)*0.475*44/12</f>
        <v>62.362620557675719</v>
      </c>
      <c r="EW78" s="21">
        <f>EXP(-LN(2)/25)*EW77+(1-EXP(-LN(2)/25))/(LN(2)/25)*Calculateur!ER78*Calculateur!ET78*VLOOKUP('Données projet'!$B$15,Paramètres!$A$1:$I$89,3,0)*0.475*44/12</f>
        <v>25.32061925272513</v>
      </c>
      <c r="EX78" s="21">
        <f>EXP(-LN(2)/2)*EX77+(1-EXP(-LN(2)/2))/(LN(2)/2)*ER78*EU78*VLOOKUP('Données projet'!$B$15,Paramètres!$A$1:$I$89,3,0)*0.475*44/12</f>
        <v>5.2867100389989927</v>
      </c>
      <c r="EY78" s="22">
        <f t="shared" si="75"/>
        <v>92.969949849399839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6.7437500000000021</v>
      </c>
      <c r="FE78" s="12">
        <f>IF('Données projet'!$A$218&gt;35,FE77+FD78-FM77,IF(A78&lt;'Données projet'!$A$218,$FB$205^A78,IF(A78='Données projet'!$A$218,'Données projet'!$B$218,FE77+FD78-FM77)))</f>
        <v>189.03250000000003</v>
      </c>
      <c r="FF78" s="17">
        <f>FE78*VLOOKUP('Données projet'!$B$16,Paramètres!$A$1:$I$89,3,0)*VLOOKUP('Données projet'!$B$16,Paramètres!$A$1:$I$89,5,0)</f>
        <v>215.27021100000002</v>
      </c>
      <c r="FG78" s="13">
        <f t="shared" si="101"/>
        <v>53.085592766561511</v>
      </c>
      <c r="FH78" s="20">
        <f t="shared" si="76"/>
        <v>467.38635822676127</v>
      </c>
      <c r="FI78" s="59">
        <f t="shared" si="77"/>
        <v>736.04794292658607</v>
      </c>
      <c r="FJ78" s="59">
        <f ca="1">AVERAGE(OFFSET($FI$3,0,0,'Données projet'!$E$16+1,1))-AVERAGE(OFFSET($H$3,0,0,'Données projet'!$E$16+1,1))</f>
        <v>640.05156427113661</v>
      </c>
      <c r="FK78" s="59">
        <f t="shared" si="102"/>
        <v>308.77220155372902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36.159103941753003</v>
      </c>
      <c r="FS78" s="21">
        <f>EXP(-LN(2)/2)*FS77+(1-EXP(-LN(2)/2))/(LN(2)/2)*FM78*FP78*VLOOKUP('Données projet'!$B$16,Paramètres!$A$1:$I$89,3,0)*0.475*44/12</f>
        <v>1.220630415484965</v>
      </c>
      <c r="FT78" s="22">
        <f t="shared" si="78"/>
        <v>37.379734357237965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6.7984728957526396E-14</v>
      </c>
      <c r="P79" s="13">
        <f t="shared" si="87"/>
        <v>1.0682447123141398E-12</v>
      </c>
      <c r="Q79" s="20">
        <f t="shared" si="54"/>
        <v>1.978932943548152E-12</v>
      </c>
      <c r="R79" s="59">
        <f t="shared" si="55"/>
        <v>269.08958438085142</v>
      </c>
      <c r="S79" s="59">
        <f ca="1">AVERAGE(OFFSET($R$3,0,0,'Données projet'!$E$9+1,1))-AVERAGE(OFFSET($H$3,0,0,'Données projet'!$E$9+1,1))</f>
        <v>318.50474972254085</v>
      </c>
      <c r="T79" s="59">
        <f t="shared" si="88"/>
        <v>326.45858332753562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101.15606724824673</v>
      </c>
      <c r="AA79" s="21">
        <f>EXP(-LN(2)/25)*AA78+(1-EXP(-LN(2)/25))/(LN(2)/25)*Calculateur!V79*Calculateur!X79*VLOOKUP('Données projet'!$B$9,Paramètres!$A$1:$I$89,3,0)*0.475*44/12</f>
        <v>31.084907494741906</v>
      </c>
      <c r="AB79" s="21">
        <f>EXP(-LN(2)/2)*AB78+(1-EXP(-LN(2)/2))/(LN(2)/2)*V79*Y79*VLOOKUP('Données projet'!$B$9,Paramètres!$A$1:$I$89,3,0)*0.475*44/12</f>
        <v>0.23422438602872436</v>
      </c>
      <c r="AC79" s="22">
        <f t="shared" si="57"/>
        <v>132.47519912901737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11.117500000000001</v>
      </c>
      <c r="AI79" s="13">
        <f>IF('Données projet'!$A$62&gt;35,AI78+AH79-AQ78,IF(A79&lt;'Données projet'!$A$62,$AF$205^A79,IF(A79='Données projet'!$A$62,'Données projet'!$B$62,AI78+AH79-AQ78)))</f>
        <v>325.10249999999991</v>
      </c>
      <c r="AJ79" s="13">
        <f>AI79*VLOOKUP('Données projet'!$B$10,Paramètres!$A$1:$I$89,3,0)*VLOOKUP('Données projet'!$B$10,Paramètres!$A$1:$I$89,5,0)</f>
        <v>152.14796999999996</v>
      </c>
      <c r="AK79" s="13">
        <f t="shared" si="89"/>
        <v>39.066314845830235</v>
      </c>
      <c r="AL79" s="20">
        <f t="shared" si="58"/>
        <v>333.03154610648761</v>
      </c>
      <c r="AM79" s="59">
        <f t="shared" si="59"/>
        <v>602.12113048733704</v>
      </c>
      <c r="AN79" s="59">
        <f ca="1">AVERAGE(OFFSET($AM$3,0,0,'Données projet'!$E$10+1,1))-AVERAGE(OFFSET($H$3,0,0,'Données projet'!$E$10+1,1))</f>
        <v>374.38106339726073</v>
      </c>
      <c r="AO79" s="59">
        <f t="shared" si="90"/>
        <v>296.53283288925957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44.410115145658594</v>
      </c>
      <c r="AV79" s="21">
        <f>EXP(-LN(2)/25)*AV78+(1-EXP(-LN(2)/25))/(LN(2)/25)*Calculateur!AQ79*Calculateur!AS79*VLOOKUP('Données projet'!$B$10,Paramètres!$A$1:$I$89,3,0)*0.475*44/12</f>
        <v>21.956750552841143</v>
      </c>
      <c r="AW79" s="21">
        <f>EXP(-LN(2)/2)*AW78+(1-EXP(-LN(2)/2))/(LN(2)/2)*AQ79*AT79*VLOOKUP('Données projet'!$B$10,Paramètres!$A$1:$I$89,3,0)*0.475*44/12</f>
        <v>3.9332621223953677</v>
      </c>
      <c r="AX79" s="21">
        <f t="shared" si="60"/>
        <v>70.300127820895099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9.546999999999997</v>
      </c>
      <c r="BD79" s="12">
        <f>IF('Données projet'!$A$88&gt;35,BD78+BC79-BL78,IF(A79&lt;'Données projet'!$A$88,$BA$205^A79,IF(A79='Données projet'!$A$88,'Données projet'!$B$88,BD78+BC79-BL78)))</f>
        <v>278.71400000000028</v>
      </c>
      <c r="BE79" s="13">
        <f>BD79*VLOOKUP('Données projet'!$B$11,Paramètres!$A$1:$I$89,3,0)*VLOOKUP('Données projet'!$B$11,Paramètres!$A$1:$I$89,5,0)</f>
        <v>252.18042720000025</v>
      </c>
      <c r="BF79" s="13">
        <f t="shared" si="91"/>
        <v>61.052610283141384</v>
      </c>
      <c r="BG79" s="20">
        <f t="shared" si="61"/>
        <v>545.54754028313835</v>
      </c>
      <c r="BH79" s="59">
        <f t="shared" si="62"/>
        <v>814.63712466398783</v>
      </c>
      <c r="BI79" s="59">
        <f ca="1">AVERAGE(OFFSET($BH$3,0,0,'Données projet'!$E$11+1,1))-AVERAGE(OFFSET($H$3,0,0,'Données projet'!$E$11+1,1))</f>
        <v>681.47578137804555</v>
      </c>
      <c r="BJ79" s="59">
        <f t="shared" si="92"/>
        <v>300.88511065995885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14.057195420863451</v>
      </c>
      <c r="BQ79" s="21">
        <f>EXP(-LN(2)/25)*BQ78+(1-EXP(-LN(2)/25))/(LN(2)/25)*Calculateur!BL79*Calculateur!BN79*VLOOKUP('Données projet'!$B$11,Paramètres!$A$1:$I$89,3,0)*0.475*44/12</f>
        <v>29.790731813625509</v>
      </c>
      <c r="BR79" s="21">
        <f>EXP(-LN(2)/2)*BR78+(1-EXP(-LN(2)/2))/(LN(2)/2)*BL79*BO79*VLOOKUP('Données projet'!$B$11,Paramètres!$A$1:$I$89,3,0)*0.475*44/12</f>
        <v>2.3514420027375915</v>
      </c>
      <c r="BS79" s="22">
        <f t="shared" si="63"/>
        <v>46.199369237226556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2.3076923076923093</v>
      </c>
      <c r="BY79" s="12">
        <f>IF('Données projet'!$A$114&gt;35,BY78+BX79-CG78,IF(A79&lt;'Données projet'!$A$114,$BV$205^A79,IF(A79='Données projet'!$A$114,'Données projet'!$B$114,BY78+BX79-CG78)))</f>
        <v>136.28205128205136</v>
      </c>
      <c r="BZ79" s="13">
        <f>BY79*VLOOKUP('Données projet'!$B$12,Paramètres!$A$1:$I$89,3,0)*VLOOKUP('Données projet'!$B$12,Paramètres!$A$1:$I$89,5,0)</f>
        <v>142.44200000000009</v>
      </c>
      <c r="CA79" s="13">
        <f t="shared" si="93"/>
        <v>36.855869139220644</v>
      </c>
      <c r="CB79" s="20">
        <f t="shared" si="64"/>
        <v>312.27712208414272</v>
      </c>
      <c r="CC79" s="59">
        <f t="shared" si="65"/>
        <v>581.36670646499215</v>
      </c>
      <c r="CD79" s="59">
        <f ca="1">AVERAGE(OFFSET($CC$3,0,0,'Données projet'!$E$12+1,1))-AVERAGE(OFFSET($H$3,0,0,'Données projet'!$E$12+1,1))</f>
        <v>290.69667785754848</v>
      </c>
      <c r="CE79" s="59">
        <f t="shared" si="94"/>
        <v>256.28124185489082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2.1628985157138474</v>
      </c>
      <c r="CL79" s="21">
        <f>EXP(-LN(2)/25)*CL78+(1-EXP(-LN(2)/25))/(LN(2)/25)*Calculateur!CG79*Calculateur!CI79*VLOOKUP('Données projet'!$B$12,Paramètres!$A$1:$I$89,3,0)*0.475*44/12</f>
        <v>18.89122903048434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21.054127546198188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3.6</v>
      </c>
      <c r="CT79" s="12">
        <f>IF('Données projet'!$A$140&gt;35,CT78+CS79-DB78,IF(A79&lt;'Données projet'!$A$140,$CQ$205^A79,IF(A79='Données projet'!$A$140,'Données projet'!$B$140,CT78+CS79-DB78)))</f>
        <v>315.59999999999991</v>
      </c>
      <c r="CU79" s="17">
        <f>CT79*VLOOKUP('Données projet'!$B$13,Paramètres!$A$1:$I$89,3,0)*VLOOKUP('Données projet'!$B$13,Paramètres!$A$1:$I$89,5,0)</f>
        <v>275.70815999999996</v>
      </c>
      <c r="CV79" s="13">
        <f t="shared" si="95"/>
        <v>66.05920594467139</v>
      </c>
      <c r="CW79" s="20">
        <f t="shared" si="67"/>
        <v>595.24482902030275</v>
      </c>
      <c r="CX79" s="59">
        <f t="shared" si="68"/>
        <v>864.33441340115223</v>
      </c>
      <c r="CY79" s="59">
        <f ca="1">AVERAGE(OFFSET($CX$3,0,0,'Données projet'!$E$13+1,1))-AVERAGE(OFFSET($H$3,0,0,'Données projet'!$E$13+1,1))</f>
        <v>408.246209980743</v>
      </c>
      <c r="CZ79" s="59">
        <f t="shared" si="96"/>
        <v>394.10236303013903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16.075774288986437</v>
      </c>
      <c r="DG79" s="21">
        <f>EXP(-LN(2)/25)*DG78+(1-EXP(-LN(2)/25))/(LN(2)/25)*Calculateur!DB79*Calculateur!DD79*VLOOKUP('Données projet'!$B$13,Paramètres!$A$1:$I$89,3,0)*0.475*44/12</f>
        <v>15.971413866172913</v>
      </c>
      <c r="DH79" s="21">
        <f>EXP(-LN(2)/2)*DH78+(1-EXP(-LN(2)/2))/(LN(2)/2)*DB79*DE79*VLOOKUP('Données projet'!$B$13,Paramètres!$A$1:$I$89,3,0)*0.475*44/12</f>
        <v>2.1567471517681409</v>
      </c>
      <c r="DI79" s="22">
        <f t="shared" si="69"/>
        <v>34.203935306927491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5.6843418860808015E-13</v>
      </c>
      <c r="DP79" s="17">
        <f>DO79*VLOOKUP('Données projet'!$B$14,Paramètres!$A$1:$I$89,3,0)*VLOOKUP('Données projet'!$B$14,Paramètres!$A$1:$I$89,5,0)</f>
        <v>3.177547114319168E-13</v>
      </c>
      <c r="DQ79" s="13">
        <f t="shared" si="97"/>
        <v>4.1725404435445377E-12</v>
      </c>
      <c r="DR79" s="20">
        <f t="shared" si="70"/>
        <v>7.820597394917325E-12</v>
      </c>
      <c r="DS79" s="59">
        <f t="shared" si="71"/>
        <v>269.08958438085727</v>
      </c>
      <c r="DT79" s="59">
        <f ca="1">AVERAGE(OFFSET($DS$3,0,0,'Données projet'!$E$14+1,1))-AVERAGE(OFFSET($H$3,0,0,'Données projet'!$E$14+1,1))</f>
        <v>407.05634973057056</v>
      </c>
      <c r="DU79" s="59">
        <f t="shared" si="98"/>
        <v>375.32891954889965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204.89631802913516</v>
      </c>
      <c r="EB79" s="21">
        <f>EXP(-LN(2)/25)*EB78+(1-EXP(-LN(2)/25))/(LN(2)/25)*Calculateur!DW79*Calculateur!DY79*VLOOKUP('Données projet'!$B$14,Paramètres!$A$1:$I$89,3,0)*0.475*44/12</f>
        <v>64.993922262388907</v>
      </c>
      <c r="EC79" s="21">
        <f>EXP(-LN(2)/2)*EC78+(1-EXP(-LN(2)/2))/(LN(2)/2)*DW79*DZ79*VLOOKUP('Données projet'!$B$14,Paramètres!$A$1:$I$89,3,0)*0.475*44/12</f>
        <v>9.4381905403524833</v>
      </c>
      <c r="ED79" s="22">
        <f t="shared" si="72"/>
        <v>279.32843083187652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14.6</v>
      </c>
      <c r="EJ79" s="12">
        <f>IF('Données projet'!$A$192&gt;35,EJ78+EI79-ER78,IF(A79&lt;'Données projet'!$A$192,$EG$205^A79,IF(A79='Données projet'!$A$192,'Données projet'!$B$192,EJ78+EI79-ER78)))</f>
        <v>717.6</v>
      </c>
      <c r="EK79" s="17">
        <f>EJ79*VLOOKUP('Données projet'!$B$15,Paramètres!$A$1:$I$89,3,0)*VLOOKUP('Données projet'!$B$15,Paramètres!$A$1:$I$89,5,0)</f>
        <v>317.17920000000004</v>
      </c>
      <c r="EL79" s="13">
        <f t="shared" si="99"/>
        <v>74.766129261581426</v>
      </c>
      <c r="EM79" s="20">
        <f t="shared" si="73"/>
        <v>682.63811513058772</v>
      </c>
      <c r="EN79" s="59">
        <f t="shared" si="74"/>
        <v>951.72769951143709</v>
      </c>
      <c r="EO79" s="59">
        <f ca="1">AVERAGE(OFFSET($EN$3,0,0,'Données projet'!$E$15+1,1))-AVERAGE(OFFSET($H$3,0,0,'Données projet'!$E$15+1,1))</f>
        <v>418.28022549686278</v>
      </c>
      <c r="EP79" s="59">
        <f t="shared" si="100"/>
        <v>354.55070454517158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61.139727605982351</v>
      </c>
      <c r="EW79" s="21">
        <f>EXP(-LN(2)/25)*EW78+(1-EXP(-LN(2)/25))/(LN(2)/25)*Calculateur!ER79*Calculateur!ET79*VLOOKUP('Données projet'!$B$15,Paramètres!$A$1:$I$89,3,0)*0.475*44/12</f>
        <v>24.628225587705867</v>
      </c>
      <c r="EX79" s="21">
        <f>EXP(-LN(2)/2)*EX78+(1-EXP(-LN(2)/2))/(LN(2)/2)*ER79*EU79*VLOOKUP('Données projet'!$B$15,Paramètres!$A$1:$I$89,3,0)*0.475*44/12</f>
        <v>3.738268518743185</v>
      </c>
      <c r="EY79" s="22">
        <f t="shared" si="75"/>
        <v>89.506221712431397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6.7437500000000021</v>
      </c>
      <c r="FE79" s="12">
        <f>IF('Données projet'!$A$218&gt;35,FE78+FD79-FM78,IF(A79&lt;'Données projet'!$A$218,$FB$205^A79,IF(A79='Données projet'!$A$218,'Données projet'!$B$218,FE78+FD79-FM78)))</f>
        <v>195.77625000000003</v>
      </c>
      <c r="FF79" s="17">
        <f>FE79*VLOOKUP('Données projet'!$B$16,Paramètres!$A$1:$I$89,3,0)*VLOOKUP('Données projet'!$B$16,Paramètres!$A$1:$I$89,5,0)</f>
        <v>222.94999350000006</v>
      </c>
      <c r="FG79" s="13">
        <f t="shared" si="101"/>
        <v>54.755554340667125</v>
      </c>
      <c r="FH79" s="20">
        <f t="shared" si="76"/>
        <v>483.67049582249541</v>
      </c>
      <c r="FI79" s="59">
        <f t="shared" si="77"/>
        <v>752.76008020334484</v>
      </c>
      <c r="FJ79" s="59">
        <f ca="1">AVERAGE(OFFSET($FI$3,0,0,'Données projet'!$E$16+1,1))-AVERAGE(OFFSET($H$3,0,0,'Données projet'!$E$16+1,1))</f>
        <v>640.05156427113661</v>
      </c>
      <c r="FK79" s="59">
        <f t="shared" si="102"/>
        <v>308.77220155372902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35.170331342941132</v>
      </c>
      <c r="FS79" s="21">
        <f>EXP(-LN(2)/2)*FS78+(1-EXP(-LN(2)/2))/(LN(2)/2)*FM79*FP79*VLOOKUP('Données projet'!$B$16,Paramètres!$A$1:$I$89,3,0)*0.475*44/12</f>
        <v>0.86311604411197174</v>
      </c>
      <c r="FT79" s="22">
        <f t="shared" si="78"/>
        <v>36.033447387053101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6.7984728957526396E-14</v>
      </c>
      <c r="P80" s="13">
        <f t="shared" si="87"/>
        <v>1.0682447123141398E-12</v>
      </c>
      <c r="Q80" s="20">
        <f t="shared" si="54"/>
        <v>1.978932943548152E-12</v>
      </c>
      <c r="R80" s="59">
        <f t="shared" si="55"/>
        <v>269.51015922427428</v>
      </c>
      <c r="S80" s="59">
        <f ca="1">AVERAGE(OFFSET($R$3,0,0,'Données projet'!$E$9+1,1))-AVERAGE(OFFSET($H$3,0,0,'Données projet'!$E$9+1,1))</f>
        <v>318.50474972254085</v>
      </c>
      <c r="T80" s="59">
        <f t="shared" si="88"/>
        <v>326.45858332753562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99.17245846861735</v>
      </c>
      <c r="AA80" s="21">
        <f>EXP(-LN(2)/25)*AA79+(1-EXP(-LN(2)/25))/(LN(2)/25)*Calculateur!V80*Calculateur!X80*VLOOKUP('Données projet'!$B$9,Paramètres!$A$1:$I$89,3,0)*0.475*44/12</f>
        <v>30.234889064613949</v>
      </c>
      <c r="AB80" s="21">
        <f>EXP(-LN(2)/2)*AB79+(1-EXP(-LN(2)/2))/(LN(2)/2)*V80*Y80*VLOOKUP('Données projet'!$B$9,Paramètres!$A$1:$I$89,3,0)*0.475*44/12</f>
        <v>0.16562165168016665</v>
      </c>
      <c r="AC80" s="22">
        <f t="shared" si="57"/>
        <v>129.57296918491147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11.117500000000001</v>
      </c>
      <c r="AI80" s="13">
        <f>IF('Données projet'!$A$62&gt;35,AI79+AH80-AQ79,IF(A80&lt;'Données projet'!$A$62,$AF$205^A80,IF(A80='Données projet'!$A$62,'Données projet'!$B$62,AI79+AH80-AQ79)))</f>
        <v>336.21999999999991</v>
      </c>
      <c r="AJ80" s="13">
        <f>AI80*VLOOKUP('Données projet'!$B$10,Paramètres!$A$1:$I$89,3,0)*VLOOKUP('Données projet'!$B$10,Paramètres!$A$1:$I$89,5,0)</f>
        <v>157.35095999999996</v>
      </c>
      <c r="AK80" s="13">
        <f t="shared" si="89"/>
        <v>40.24443771922904</v>
      </c>
      <c r="AL80" s="20">
        <f t="shared" si="58"/>
        <v>344.14531769432386</v>
      </c>
      <c r="AM80" s="59">
        <f t="shared" si="59"/>
        <v>613.65547691859615</v>
      </c>
      <c r="AN80" s="59">
        <f ca="1">AVERAGE(OFFSET($AM$3,0,0,'Données projet'!$E$10+1,1))-AVERAGE(OFFSET($H$3,0,0,'Données projet'!$E$10+1,1))</f>
        <v>374.38106339726073</v>
      </c>
      <c r="AO80" s="59">
        <f t="shared" si="90"/>
        <v>296.53283288925957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43.539259875147799</v>
      </c>
      <c r="AV80" s="21">
        <f>EXP(-LN(2)/25)*AV79+(1-EXP(-LN(2)/25))/(LN(2)/25)*Calculateur!AQ80*Calculateur!AS80*VLOOKUP('Données projet'!$B$10,Paramètres!$A$1:$I$89,3,0)*0.475*44/12</f>
        <v>21.356342054318372</v>
      </c>
      <c r="AW80" s="21">
        <f>EXP(-LN(2)/2)*AW79+(1-EXP(-LN(2)/2))/(LN(2)/2)*AQ80*AT80*VLOOKUP('Données projet'!$B$10,Paramètres!$A$1:$I$89,3,0)*0.475*44/12</f>
        <v>2.7812363189299569</v>
      </c>
      <c r="AX80" s="21">
        <f t="shared" si="60"/>
        <v>67.676838248396123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9.546999999999997</v>
      </c>
      <c r="BD80" s="12">
        <f>IF('Données projet'!$A$88&gt;35,BD79+BC80-BL79,IF(A80&lt;'Données projet'!$A$88,$BA$205^A80,IF(A80='Données projet'!$A$88,'Données projet'!$B$88,BD79+BC80-BL79)))</f>
        <v>288.26100000000031</v>
      </c>
      <c r="BE80" s="13">
        <f>BD80*VLOOKUP('Données projet'!$B$11,Paramètres!$A$1:$I$89,3,0)*VLOOKUP('Données projet'!$B$11,Paramètres!$A$1:$I$89,5,0)</f>
        <v>260.8185528000003</v>
      </c>
      <c r="BF80" s="13">
        <f t="shared" si="91"/>
        <v>62.896828401660521</v>
      </c>
      <c r="BG80" s="20">
        <f t="shared" si="61"/>
        <v>563.80428892622592</v>
      </c>
      <c r="BH80" s="59">
        <f t="shared" si="62"/>
        <v>833.31444815049827</v>
      </c>
      <c r="BI80" s="59">
        <f ca="1">AVERAGE(OFFSET($BH$3,0,0,'Données projet'!$E$11+1,1))-AVERAGE(OFFSET($H$3,0,0,'Données projet'!$E$11+1,1))</f>
        <v>681.47578137804555</v>
      </c>
      <c r="BJ80" s="59">
        <f t="shared" si="92"/>
        <v>300.88511065995885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13.781542392702908</v>
      </c>
      <c r="BQ80" s="21">
        <f>EXP(-LN(2)/25)*BQ79+(1-EXP(-LN(2)/25))/(LN(2)/25)*Calculateur!BL80*Calculateur!BN80*VLOOKUP('Données projet'!$B$11,Paramètres!$A$1:$I$89,3,0)*0.475*44/12</f>
        <v>28.976102685555421</v>
      </c>
      <c r="BR80" s="21">
        <f>EXP(-LN(2)/2)*BR79+(1-EXP(-LN(2)/2))/(LN(2)/2)*BL80*BO80*VLOOKUP('Données projet'!$B$11,Paramètres!$A$1:$I$89,3,0)*0.475*44/12</f>
        <v>1.6627205857026273</v>
      </c>
      <c r="BS80" s="22">
        <f t="shared" si="63"/>
        <v>44.420365663960958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2.3076923076923093</v>
      </c>
      <c r="BY80" s="12">
        <f>IF('Données projet'!$A$114&gt;35,BY79+BX80-CG79,IF(A80&lt;'Données projet'!$A$114,$BV$205^A80,IF(A80='Données projet'!$A$114,'Données projet'!$B$114,BY79+BX80-CG79)))</f>
        <v>138.58974358974368</v>
      </c>
      <c r="BZ80" s="13">
        <f>BY80*VLOOKUP('Données projet'!$B$12,Paramètres!$A$1:$I$89,3,0)*VLOOKUP('Données projet'!$B$12,Paramètres!$A$1:$I$89,5,0)</f>
        <v>144.8540000000001</v>
      </c>
      <c r="CA80" s="13">
        <f t="shared" si="93"/>
        <v>37.406773318436038</v>
      </c>
      <c r="CB80" s="20">
        <f t="shared" si="64"/>
        <v>317.43751352960959</v>
      </c>
      <c r="CC80" s="59">
        <f t="shared" si="65"/>
        <v>586.94767275388187</v>
      </c>
      <c r="CD80" s="59">
        <f ca="1">AVERAGE(OFFSET($CC$3,0,0,'Données projet'!$E$12+1,1))-AVERAGE(OFFSET($H$3,0,0,'Données projet'!$E$12+1,1))</f>
        <v>290.69667785754848</v>
      </c>
      <c r="CE80" s="59">
        <f t="shared" si="94"/>
        <v>256.28124185489082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2.1204853950585294</v>
      </c>
      <c r="CL80" s="21">
        <f>EXP(-LN(2)/25)*CL79+(1-EXP(-LN(2)/25))/(LN(2)/25)*Calculateur!CG80*Calculateur!CI80*VLOOKUP('Données projet'!$B$12,Paramètres!$A$1:$I$89,3,0)*0.475*44/12</f>
        <v>18.374647379199185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20.495132774257716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3.6</v>
      </c>
      <c r="CT80" s="12">
        <f>IF('Données projet'!$A$140&gt;35,CT79+CS80-DB79,IF(A80&lt;'Données projet'!$A$140,$CQ$205^A80,IF(A80='Données projet'!$A$140,'Données projet'!$B$140,CT79+CS80-DB79)))</f>
        <v>319.19999999999993</v>
      </c>
      <c r="CU80" s="17">
        <f>CT80*VLOOKUP('Données projet'!$B$13,Paramètres!$A$1:$I$89,3,0)*VLOOKUP('Données projet'!$B$13,Paramètres!$A$1:$I$89,5,0)</f>
        <v>278.85311999999999</v>
      </c>
      <c r="CV80" s="13">
        <f t="shared" si="95"/>
        <v>66.724582302351905</v>
      </c>
      <c r="CW80" s="20">
        <f t="shared" si="67"/>
        <v>601.88116484326292</v>
      </c>
      <c r="CX80" s="59">
        <f t="shared" si="68"/>
        <v>871.39132406753515</v>
      </c>
      <c r="CY80" s="59">
        <f ca="1">AVERAGE(OFFSET($CX$3,0,0,'Données projet'!$E$13+1,1))-AVERAGE(OFFSET($H$3,0,0,'Données projet'!$E$13+1,1))</f>
        <v>408.246209980743</v>
      </c>
      <c r="CZ80" s="59">
        <f t="shared" si="96"/>
        <v>394.10236303013903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15.760538160433541</v>
      </c>
      <c r="DG80" s="21">
        <f>EXP(-LN(2)/25)*DG79+(1-EXP(-LN(2)/25))/(LN(2)/25)*Calculateur!DB80*Calculateur!DD80*VLOOKUP('Données projet'!$B$13,Paramètres!$A$1:$I$89,3,0)*0.475*44/12</f>
        <v>15.534674714102263</v>
      </c>
      <c r="DH80" s="21">
        <f>EXP(-LN(2)/2)*DH79+(1-EXP(-LN(2)/2))/(LN(2)/2)*DB80*DE80*VLOOKUP('Données projet'!$B$13,Paramètres!$A$1:$I$89,3,0)*0.475*44/12</f>
        <v>1.5250505363200246</v>
      </c>
      <c r="DI80" s="22">
        <f t="shared" si="69"/>
        <v>32.82026341085583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5.6843418860808015E-13</v>
      </c>
      <c r="DP80" s="17">
        <f>DO80*VLOOKUP('Données projet'!$B$14,Paramètres!$A$1:$I$89,3,0)*VLOOKUP('Données projet'!$B$14,Paramètres!$A$1:$I$89,5,0)</f>
        <v>3.177547114319168E-13</v>
      </c>
      <c r="DQ80" s="13">
        <f t="shared" si="97"/>
        <v>4.1725404435445377E-12</v>
      </c>
      <c r="DR80" s="20">
        <f t="shared" si="70"/>
        <v>7.820597394917325E-12</v>
      </c>
      <c r="DS80" s="59">
        <f t="shared" si="71"/>
        <v>269.51015922428013</v>
      </c>
      <c r="DT80" s="59">
        <f ca="1">AVERAGE(OFFSET($DS$3,0,0,'Données projet'!$E$14+1,1))-AVERAGE(OFFSET($H$3,0,0,'Données projet'!$E$14+1,1))</f>
        <v>407.05634973057056</v>
      </c>
      <c r="DU80" s="59">
        <f t="shared" si="98"/>
        <v>375.32891954889965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200.87842620699763</v>
      </c>
      <c r="EB80" s="21">
        <f>EXP(-LN(2)/25)*EB79+(1-EXP(-LN(2)/25))/(LN(2)/25)*Calculateur!DW80*Calculateur!DY80*VLOOKUP('Données projet'!$B$14,Paramètres!$A$1:$I$89,3,0)*0.475*44/12</f>
        <v>63.216660040242054</v>
      </c>
      <c r="EC80" s="21">
        <f>EXP(-LN(2)/2)*EC79+(1-EXP(-LN(2)/2))/(LN(2)/2)*DW80*DZ80*VLOOKUP('Données projet'!$B$14,Paramètres!$A$1:$I$89,3,0)*0.475*44/12</f>
        <v>6.6738085332139665</v>
      </c>
      <c r="ED80" s="22">
        <f t="shared" si="72"/>
        <v>270.76889478045365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14.6</v>
      </c>
      <c r="EJ80" s="12">
        <f>IF('Données projet'!$A$192&gt;35,EJ79+EI80-ER79,IF(A80&lt;'Données projet'!$A$192,$EG$205^A80,IF(A80='Données projet'!$A$192,'Données projet'!$B$192,EJ79+EI80-ER79)))</f>
        <v>732.2</v>
      </c>
      <c r="EK80" s="17">
        <f>EJ80*VLOOKUP('Données projet'!$B$15,Paramètres!$A$1:$I$89,3,0)*VLOOKUP('Données projet'!$B$15,Paramètres!$A$1:$I$89,5,0)</f>
        <v>323.63240000000008</v>
      </c>
      <c r="EL80" s="13">
        <f t="shared" si="99"/>
        <v>76.108647913461411</v>
      </c>
      <c r="EM80" s="20">
        <f t="shared" si="73"/>
        <v>696.21565844927864</v>
      </c>
      <c r="EN80" s="59">
        <f t="shared" si="74"/>
        <v>965.72581767355086</v>
      </c>
      <c r="EO80" s="59">
        <f ca="1">AVERAGE(OFFSET($EN$3,0,0,'Données projet'!$E$15+1,1))-AVERAGE(OFFSET($H$3,0,0,'Données projet'!$E$15+1,1))</f>
        <v>418.28022549686278</v>
      </c>
      <c r="EP80" s="59">
        <f t="shared" si="100"/>
        <v>354.55070454517158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59.940814839180639</v>
      </c>
      <c r="EW80" s="21">
        <f>EXP(-LN(2)/25)*EW79+(1-EXP(-LN(2)/25))/(LN(2)/25)*Calculateur!ER80*Calculateur!ET80*VLOOKUP('Données projet'!$B$15,Paramètres!$A$1:$I$89,3,0)*0.475*44/12</f>
        <v>23.954765463867954</v>
      </c>
      <c r="EX80" s="21">
        <f>EXP(-LN(2)/2)*EX79+(1-EXP(-LN(2)/2))/(LN(2)/2)*ER80*EU80*VLOOKUP('Données projet'!$B$15,Paramètres!$A$1:$I$89,3,0)*0.475*44/12</f>
        <v>2.6433550194994968</v>
      </c>
      <c r="EY80" s="22">
        <f t="shared" si="75"/>
        <v>86.538935322548085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>
        <f>VLOOKUP(A80,'Données projet'!$A$217:$I$237,2,0)</f>
        <v>202.52</v>
      </c>
      <c r="FC80" s="12">
        <f>VLOOKUP(A80,'Données projet'!$A$217:$I$237,9,0)</f>
        <v>6.7437500000000021</v>
      </c>
      <c r="FD80" s="12">
        <f t="array" ref="FD80">INDEX(FC:FC,MIN(IF(ISNUMBER(FC80:FC276),ROW(FC80:FC276),"")))</f>
        <v>6.7437500000000021</v>
      </c>
      <c r="FE80" s="12">
        <f>IF('Données projet'!$A$218&gt;35,FE79+FD80-FM79,IF(A80&lt;'Données projet'!$A$218,$FB$205^A80,IF(A80='Données projet'!$A$218,'Données projet'!$B$218,FE79+FD80-FM79)))</f>
        <v>202.52000000000004</v>
      </c>
      <c r="FF80" s="17">
        <f>FE80*VLOOKUP('Données projet'!$B$16,Paramètres!$A$1:$I$89,3,0)*VLOOKUP('Données projet'!$B$16,Paramètres!$A$1:$I$89,5,0)</f>
        <v>230.62977600000005</v>
      </c>
      <c r="FG80" s="13">
        <f t="shared" si="101"/>
        <v>56.418832148072731</v>
      </c>
      <c r="FH80" s="20">
        <f t="shared" si="76"/>
        <v>499.94299252456011</v>
      </c>
      <c r="FI80" s="59">
        <f t="shared" si="77"/>
        <v>769.4531517488324</v>
      </c>
      <c r="FJ80" s="59">
        <f ca="1">AVERAGE(OFFSET($FI$3,0,0,'Données projet'!$E$16+1,1))-AVERAGE(OFFSET($H$3,0,0,'Données projet'!$E$16+1,1))</f>
        <v>640.05156427113661</v>
      </c>
      <c r="FK80" s="59">
        <f t="shared" si="102"/>
        <v>308.77220155372902</v>
      </c>
      <c r="FL80" s="15">
        <f>IF(ISNA(VLOOKUP(A80,'Données projet'!$A$217:$I$237,3,0)),0,VLOOKUP(A80,'Données projet'!$A$217:$I$237,3,0))</f>
        <v>3</v>
      </c>
      <c r="FM80" s="15">
        <f>IF(ISNA(VLOOKUP(A80,'Données projet'!$A$217:$I$237,4,0)),0,VLOOKUP(A80,'Données projet'!$A$217:$I$237,4,0))</f>
        <v>33.950000000000017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0.34400000000000003</v>
      </c>
      <c r="FP80" s="16">
        <f>IF(ISNA(VLOOKUP(A80,'Données projet'!$A$217:$I$237,7,0)),0%,VLOOKUP(A80,'Données projet'!$A$217:$I$237,7,0))</f>
        <v>0.2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48.853261457828687</v>
      </c>
      <c r="FS80" s="21">
        <f>EXP(-LN(2)/2)*FS79+(1-EXP(-LN(2)/2))/(LN(2)/2)*FM80*FP80*VLOOKUP('Données projet'!$B$16,Paramètres!$A$1:$I$89,3,0)*0.475*44/12</f>
        <v>7.9060917856367512</v>
      </c>
      <c r="FT80" s="22">
        <f t="shared" si="78"/>
        <v>56.759353243465441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6.7984728957526396E-14</v>
      </c>
      <c r="P81" s="13">
        <f t="shared" si="87"/>
        <v>1.0682447123141398E-12</v>
      </c>
      <c r="Q81" s="20">
        <f t="shared" si="54"/>
        <v>1.978932943548152E-12</v>
      </c>
      <c r="R81" s="59">
        <f t="shared" si="55"/>
        <v>269.92343803442822</v>
      </c>
      <c r="S81" s="59">
        <f ca="1">AVERAGE(OFFSET($R$3,0,0,'Données projet'!$E$9+1,1))-AVERAGE(OFFSET($H$3,0,0,'Données projet'!$E$9+1,1))</f>
        <v>318.50474972254085</v>
      </c>
      <c r="T81" s="59">
        <f t="shared" si="88"/>
        <v>326.45858332753562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97.227747047274619</v>
      </c>
      <c r="AA81" s="21">
        <f>EXP(-LN(2)/25)*AA80+(1-EXP(-LN(2)/25))/(LN(2)/25)*Calculateur!V81*Calculateur!X81*VLOOKUP('Données projet'!$B$9,Paramètres!$A$1:$I$89,3,0)*0.475*44/12</f>
        <v>29.408114433158367</v>
      </c>
      <c r="AB81" s="21">
        <f>EXP(-LN(2)/2)*AB80+(1-EXP(-LN(2)/2))/(LN(2)/2)*V81*Y81*VLOOKUP('Données projet'!$B$9,Paramètres!$A$1:$I$89,3,0)*0.475*44/12</f>
        <v>0.1171121930143622</v>
      </c>
      <c r="AC81" s="22">
        <f t="shared" si="57"/>
        <v>126.75297367344736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11.117500000000001</v>
      </c>
      <c r="AI81" s="13">
        <f>IF('Données projet'!$A$62&gt;35,AI80+AH81-AQ80,IF(A81&lt;'Données projet'!$A$62,$AF$205^A81,IF(A81='Données projet'!$A$62,'Données projet'!$B$62,AI80+AH81-AQ80)))</f>
        <v>347.33749999999992</v>
      </c>
      <c r="AJ81" s="13">
        <f>AI81*VLOOKUP('Données projet'!$B$10,Paramètres!$A$1:$I$89,3,0)*VLOOKUP('Données projet'!$B$10,Paramètres!$A$1:$I$89,5,0)</f>
        <v>162.55394999999996</v>
      </c>
      <c r="AK81" s="13">
        <f t="shared" si="89"/>
        <v>41.418033959800411</v>
      </c>
      <c r="AL81" s="20">
        <f t="shared" si="58"/>
        <v>355.25120539665227</v>
      </c>
      <c r="AM81" s="59">
        <f t="shared" si="59"/>
        <v>625.17464343107849</v>
      </c>
      <c r="AN81" s="59">
        <f ca="1">AVERAGE(OFFSET($AM$3,0,0,'Données projet'!$E$10+1,1))-AVERAGE(OFFSET($H$3,0,0,'Données projet'!$E$10+1,1))</f>
        <v>374.38106339726073</v>
      </c>
      <c r="AO81" s="59">
        <f t="shared" si="90"/>
        <v>296.53283288925957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42.685481545322453</v>
      </c>
      <c r="AV81" s="21">
        <f>EXP(-LN(2)/25)*AV80+(1-EXP(-LN(2)/25))/(LN(2)/25)*Calculateur!AQ81*Calculateur!AS81*VLOOKUP('Données projet'!$B$10,Paramètres!$A$1:$I$89,3,0)*0.475*44/12</f>
        <v>20.772351757761818</v>
      </c>
      <c r="AW81" s="21">
        <f>EXP(-LN(2)/2)*AW80+(1-EXP(-LN(2)/2))/(LN(2)/2)*AQ81*AT81*VLOOKUP('Données projet'!$B$10,Paramètres!$A$1:$I$89,3,0)*0.475*44/12</f>
        <v>1.966631061197684</v>
      </c>
      <c r="AX81" s="21">
        <f t="shared" si="60"/>
        <v>65.42446436428196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9.546999999999997</v>
      </c>
      <c r="BD81" s="12">
        <f>IF('Données projet'!$A$88&gt;35,BD80+BC81-BL80,IF(A81&lt;'Données projet'!$A$88,$BA$205^A81,IF(A81='Données projet'!$A$88,'Données projet'!$B$88,BD80+BC81-BL80)))</f>
        <v>297.80800000000033</v>
      </c>
      <c r="BE81" s="13">
        <f>BD81*VLOOKUP('Données projet'!$B$11,Paramètres!$A$1:$I$89,3,0)*VLOOKUP('Données projet'!$B$11,Paramètres!$A$1:$I$89,5,0)</f>
        <v>269.45667840000027</v>
      </c>
      <c r="BF81" s="13">
        <f t="shared" si="91"/>
        <v>64.733949217436958</v>
      </c>
      <c r="BG81" s="20">
        <f t="shared" si="61"/>
        <v>582.04867643370324</v>
      </c>
      <c r="BH81" s="59">
        <f t="shared" si="62"/>
        <v>851.97211446812946</v>
      </c>
      <c r="BI81" s="59">
        <f ca="1">AVERAGE(OFFSET($BH$3,0,0,'Données projet'!$E$11+1,1))-AVERAGE(OFFSET($H$3,0,0,'Données projet'!$E$11+1,1))</f>
        <v>681.47578137804555</v>
      </c>
      <c r="BJ81" s="59">
        <f t="shared" si="92"/>
        <v>300.88511065995885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13.51129475229285</v>
      </c>
      <c r="BQ81" s="21">
        <f>EXP(-LN(2)/25)*BQ80+(1-EXP(-LN(2)/25))/(LN(2)/25)*Calculateur!BL81*Calculateur!BN81*VLOOKUP('Données projet'!$B$11,Paramètres!$A$1:$I$89,3,0)*0.475*44/12</f>
        <v>28.183749633831894</v>
      </c>
      <c r="BR81" s="21">
        <f>EXP(-LN(2)/2)*BR80+(1-EXP(-LN(2)/2))/(LN(2)/2)*BL81*BO81*VLOOKUP('Données projet'!$B$11,Paramètres!$A$1:$I$89,3,0)*0.475*44/12</f>
        <v>1.175721001368796</v>
      </c>
      <c r="BS81" s="22">
        <f t="shared" si="63"/>
        <v>42.870765387493535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2.3076923076923093</v>
      </c>
      <c r="BY81" s="12">
        <f>IF('Données projet'!$A$114&gt;35,BY80+BX81-CG80,IF(A81&lt;'Données projet'!$A$114,$BV$205^A81,IF(A81='Données projet'!$A$114,'Données projet'!$B$114,BY80+BX81-CG80)))</f>
        <v>140.897435897436</v>
      </c>
      <c r="BZ81" s="13">
        <f>BY81*VLOOKUP('Données projet'!$B$12,Paramètres!$A$1:$I$89,3,0)*VLOOKUP('Données projet'!$B$12,Paramètres!$A$1:$I$89,5,0)</f>
        <v>147.2660000000001</v>
      </c>
      <c r="CA81" s="13">
        <f t="shared" si="93"/>
        <v>37.95661071420276</v>
      </c>
      <c r="CB81" s="20">
        <f t="shared" si="64"/>
        <v>322.59604699390326</v>
      </c>
      <c r="CC81" s="59">
        <f t="shared" si="65"/>
        <v>592.51948502832943</v>
      </c>
      <c r="CD81" s="59">
        <f ca="1">AVERAGE(OFFSET($CC$3,0,0,'Données projet'!$E$12+1,1))-AVERAGE(OFFSET($H$3,0,0,'Données projet'!$E$12+1,1))</f>
        <v>290.69667785754848</v>
      </c>
      <c r="CE81" s="59">
        <f t="shared" si="94"/>
        <v>256.28124185489082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2.0789039698298133</v>
      </c>
      <c r="CL81" s="21">
        <f>EXP(-LN(2)/25)*CL80+(1-EXP(-LN(2)/25))/(LN(2)/25)*Calculateur!CG81*Calculateur!CI81*VLOOKUP('Données projet'!$B$12,Paramètres!$A$1:$I$89,3,0)*0.475*44/12</f>
        <v>17.872191680334275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19.951095650164088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3.6</v>
      </c>
      <c r="CT81" s="12">
        <f>IF('Données projet'!$A$140&gt;35,CT80+CS81-DB80,IF(A81&lt;'Données projet'!$A$140,$CQ$205^A81,IF(A81='Données projet'!$A$140,'Données projet'!$B$140,CT80+CS81-DB80)))</f>
        <v>322.79999999999995</v>
      </c>
      <c r="CU81" s="17">
        <f>CT81*VLOOKUP('Données projet'!$B$13,Paramètres!$A$1:$I$89,3,0)*VLOOKUP('Données projet'!$B$13,Paramètres!$A$1:$I$89,5,0)</f>
        <v>281.99808000000002</v>
      </c>
      <c r="CV81" s="13">
        <f t="shared" si="95"/>
        <v>67.389085719488818</v>
      </c>
      <c r="CW81" s="20">
        <f t="shared" si="67"/>
        <v>608.51598029477634</v>
      </c>
      <c r="CX81" s="59">
        <f t="shared" si="68"/>
        <v>878.43941832920257</v>
      </c>
      <c r="CY81" s="59">
        <f ca="1">AVERAGE(OFFSET($CX$3,0,0,'Données projet'!$E$13+1,1))-AVERAGE(OFFSET($H$3,0,0,'Données projet'!$E$13+1,1))</f>
        <v>408.246209980743</v>
      </c>
      <c r="CZ81" s="59">
        <f t="shared" si="96"/>
        <v>394.10236303013903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15.451483620086513</v>
      </c>
      <c r="DG81" s="21">
        <f>EXP(-LN(2)/25)*DG80+(1-EXP(-LN(2)/25))/(LN(2)/25)*Calculateur!DB81*Calculateur!DD81*VLOOKUP('Données projet'!$B$13,Paramètres!$A$1:$I$89,3,0)*0.475*44/12</f>
        <v>15.109878217112097</v>
      </c>
      <c r="DH81" s="21">
        <f>EXP(-LN(2)/2)*DH80+(1-EXP(-LN(2)/2))/(LN(2)/2)*DB81*DE81*VLOOKUP('Données projet'!$B$13,Paramètres!$A$1:$I$89,3,0)*0.475*44/12</f>
        <v>1.0783735758840707</v>
      </c>
      <c r="DI81" s="22">
        <f t="shared" si="69"/>
        <v>31.639735413082683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5.6843418860808015E-13</v>
      </c>
      <c r="DP81" s="17">
        <f>DO81*VLOOKUP('Données projet'!$B$14,Paramètres!$A$1:$I$89,3,0)*VLOOKUP('Données projet'!$B$14,Paramètres!$A$1:$I$89,5,0)</f>
        <v>3.177547114319168E-13</v>
      </c>
      <c r="DQ81" s="13">
        <f t="shared" si="97"/>
        <v>4.1725404435445377E-12</v>
      </c>
      <c r="DR81" s="20">
        <f t="shared" si="70"/>
        <v>7.820597394917325E-12</v>
      </c>
      <c r="DS81" s="59">
        <f t="shared" si="71"/>
        <v>269.92343803443407</v>
      </c>
      <c r="DT81" s="59">
        <f ca="1">AVERAGE(OFFSET($DS$3,0,0,'Données projet'!$E$14+1,1))-AVERAGE(OFFSET($H$3,0,0,'Données projet'!$E$14+1,1))</f>
        <v>407.05634973057056</v>
      </c>
      <c r="DU81" s="59">
        <f t="shared" si="98"/>
        <v>375.32891954889965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196.93932279282018</v>
      </c>
      <c r="EB81" s="21">
        <f>EXP(-LN(2)/25)*EB80+(1-EXP(-LN(2)/25))/(LN(2)/25)*Calculateur!DW81*Calculateur!DY81*VLOOKUP('Données projet'!$B$14,Paramètres!$A$1:$I$89,3,0)*0.475*44/12</f>
        <v>61.487997147021964</v>
      </c>
      <c r="EC81" s="21">
        <f>EXP(-LN(2)/2)*EC80+(1-EXP(-LN(2)/2))/(LN(2)/2)*DW81*DZ81*VLOOKUP('Données projet'!$B$14,Paramètres!$A$1:$I$89,3,0)*0.475*44/12</f>
        <v>4.7190952701762425</v>
      </c>
      <c r="ED81" s="22">
        <f t="shared" si="72"/>
        <v>263.1464152100184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14.6</v>
      </c>
      <c r="EJ81" s="12">
        <f>IF('Données projet'!$A$192&gt;35,EJ80+EI81-ER80,IF(A81&lt;'Données projet'!$A$192,$EG$205^A81,IF(A81='Données projet'!$A$192,'Données projet'!$B$192,EJ80+EI81-ER80)))</f>
        <v>746.80000000000007</v>
      </c>
      <c r="EK81" s="17">
        <f>EJ81*VLOOKUP('Données projet'!$B$15,Paramètres!$A$1:$I$89,3,0)*VLOOKUP('Données projet'!$B$15,Paramètres!$A$1:$I$89,5,0)</f>
        <v>330.08560000000006</v>
      </c>
      <c r="EL81" s="13">
        <f t="shared" si="99"/>
        <v>77.448053967870919</v>
      </c>
      <c r="EM81" s="20">
        <f t="shared" si="73"/>
        <v>709.78778066070856</v>
      </c>
      <c r="EN81" s="59">
        <f t="shared" si="74"/>
        <v>979.71121869513479</v>
      </c>
      <c r="EO81" s="59">
        <f ca="1">AVERAGE(OFFSET($EN$3,0,0,'Données projet'!$E$15+1,1))-AVERAGE(OFFSET($H$3,0,0,'Données projet'!$E$15+1,1))</f>
        <v>418.28022549686278</v>
      </c>
      <c r="EP81" s="59">
        <f t="shared" si="100"/>
        <v>354.55070454517158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58.765412020471331</v>
      </c>
      <c r="EW81" s="21">
        <f>EXP(-LN(2)/25)*EW80+(1-EXP(-LN(2)/25))/(LN(2)/25)*Calculateur!ER81*Calculateur!ET81*VLOOKUP('Données projet'!$B$15,Paramètres!$A$1:$I$89,3,0)*0.475*44/12</f>
        <v>23.299721142532118</v>
      </c>
      <c r="EX81" s="21">
        <f>EXP(-LN(2)/2)*EX80+(1-EXP(-LN(2)/2))/(LN(2)/2)*ER81*EU81*VLOOKUP('Données projet'!$B$15,Paramètres!$A$1:$I$89,3,0)*0.475*44/12</f>
        <v>1.8691342593715929</v>
      </c>
      <c r="EY81" s="22">
        <f t="shared" si="75"/>
        <v>83.934267422375044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6.7444444444444462</v>
      </c>
      <c r="FE81" s="12">
        <f>IF('Données projet'!$A$218&gt;35,FE80+FD81-FM80,IF(A81&lt;'Données projet'!$A$218,$FB$205^A81,IF(A81='Données projet'!$A$218,'Données projet'!$B$218,FE80+FD81-FM80)))</f>
        <v>175.31444444444446</v>
      </c>
      <c r="FF81" s="17">
        <f>FE81*VLOOKUP('Données projet'!$B$16,Paramètres!$A$1:$I$89,3,0)*VLOOKUP('Données projet'!$B$16,Paramètres!$A$1:$I$89,5,0)</f>
        <v>199.64808933333336</v>
      </c>
      <c r="FG81" s="13">
        <f t="shared" si="101"/>
        <v>49.666820486925445</v>
      </c>
      <c r="FH81" s="20">
        <f t="shared" si="76"/>
        <v>434.22346793695078</v>
      </c>
      <c r="FI81" s="59">
        <f t="shared" si="77"/>
        <v>704.14690597137701</v>
      </c>
      <c r="FJ81" s="59">
        <f ca="1">AVERAGE(OFFSET($FI$3,0,0,'Données projet'!$E$16+1,1))-AVERAGE(OFFSET($H$3,0,0,'Données projet'!$E$16+1,1))</f>
        <v>640.05156427113661</v>
      </c>
      <c r="FK81" s="59">
        <f t="shared" si="102"/>
        <v>308.77220155372902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47.517366454182998</v>
      </c>
      <c r="FS81" s="21">
        <f>EXP(-LN(2)/2)*FS80+(1-EXP(-LN(2)/2))/(LN(2)/2)*FM81*FP81*VLOOKUP('Données projet'!$B$16,Paramètres!$A$1:$I$89,3,0)*0.475*44/12</f>
        <v>5.5904511143070073</v>
      </c>
      <c r="FT81" s="22">
        <f t="shared" si="78"/>
        <v>53.107817568490006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6.7984728957526396E-14</v>
      </c>
      <c r="P82" s="13">
        <f t="shared" si="87"/>
        <v>1.0682447123141398E-12</v>
      </c>
      <c r="Q82" s="20">
        <f t="shared" si="54"/>
        <v>1.978932943548152E-12</v>
      </c>
      <c r="R82" s="59">
        <f t="shared" si="55"/>
        <v>270.32954738117894</v>
      </c>
      <c r="S82" s="59">
        <f ca="1">AVERAGE(OFFSET($R$3,0,0,'Données projet'!$E$9+1,1))-AVERAGE(OFFSET($H$3,0,0,'Données projet'!$E$9+1,1))</f>
        <v>318.50474972254085</v>
      </c>
      <c r="T82" s="59">
        <f t="shared" si="88"/>
        <v>326.45858332753562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95.321170230747569</v>
      </c>
      <c r="AA82" s="21">
        <f>EXP(-LN(2)/25)*AA81+(1-EXP(-LN(2)/25))/(LN(2)/25)*Calculateur!V82*Calculateur!X82*VLOOKUP('Données projet'!$B$9,Paramètres!$A$1:$I$89,3,0)*0.475*44/12</f>
        <v>28.603947997478127</v>
      </c>
      <c r="AB82" s="21">
        <f>EXP(-LN(2)/2)*AB81+(1-EXP(-LN(2)/2))/(LN(2)/2)*V82*Y82*VLOOKUP('Données projet'!$B$9,Paramètres!$A$1:$I$89,3,0)*0.475*44/12</f>
        <v>8.2810825840083341E-2</v>
      </c>
      <c r="AC82" s="22">
        <f t="shared" si="57"/>
        <v>124.00792905406578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11.117500000000001</v>
      </c>
      <c r="AI82" s="13">
        <f>IF('Données projet'!$A$62&gt;35,AI81+AH82-AQ81,IF(A82&lt;'Données projet'!$A$62,$AF$205^A82,IF(A82='Données projet'!$A$62,'Données projet'!$B$62,AI81+AH82-AQ81)))</f>
        <v>358.45499999999993</v>
      </c>
      <c r="AJ82" s="13">
        <f>AI82*VLOOKUP('Données projet'!$B$10,Paramètres!$A$1:$I$89,3,0)*VLOOKUP('Données projet'!$B$10,Paramètres!$A$1:$I$89,5,0)</f>
        <v>167.75693999999999</v>
      </c>
      <c r="AK82" s="13">
        <f t="shared" si="89"/>
        <v>42.587265074910924</v>
      </c>
      <c r="AL82" s="20">
        <f t="shared" si="58"/>
        <v>366.34949050546987</v>
      </c>
      <c r="AM82" s="59">
        <f t="shared" si="59"/>
        <v>636.67903788664682</v>
      </c>
      <c r="AN82" s="59">
        <f ca="1">AVERAGE(OFFSET($AM$3,0,0,'Données projet'!$E$10+1,1))-AVERAGE(OFFSET($H$3,0,0,'Données projet'!$E$10+1,1))</f>
        <v>374.38106339726073</v>
      </c>
      <c r="AO82" s="59">
        <f t="shared" si="90"/>
        <v>296.53283288925957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41.84844528779162</v>
      </c>
      <c r="AV82" s="21">
        <f>EXP(-LN(2)/25)*AV81+(1-EXP(-LN(2)/25))/(LN(2)/25)*Calculateur!AQ82*Calculateur!AS82*VLOOKUP('Données projet'!$B$10,Paramètres!$A$1:$I$89,3,0)*0.475*44/12</f>
        <v>20.20433070657532</v>
      </c>
      <c r="AW82" s="21">
        <f>EXP(-LN(2)/2)*AW81+(1-EXP(-LN(2)/2))/(LN(2)/2)*AQ82*AT82*VLOOKUP('Données projet'!$B$10,Paramètres!$A$1:$I$89,3,0)*0.475*44/12</f>
        <v>1.3906181594649787</v>
      </c>
      <c r="AX82" s="21">
        <f t="shared" si="60"/>
        <v>63.443394153831917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9.546999999999997</v>
      </c>
      <c r="BD82" s="12">
        <f>IF('Données projet'!$A$88&gt;35,BD81+BC82-BL81,IF(A82&lt;'Données projet'!$A$88,$BA$205^A82,IF(A82='Données projet'!$A$88,'Données projet'!$B$88,BD81+BC82-BL81)))</f>
        <v>307.35500000000036</v>
      </c>
      <c r="BE82" s="13">
        <f>BD82*VLOOKUP('Données projet'!$B$11,Paramètres!$A$1:$I$89,3,0)*VLOOKUP('Données projet'!$B$11,Paramètres!$A$1:$I$89,5,0)</f>
        <v>278.09480400000029</v>
      </c>
      <c r="BF82" s="13">
        <f t="shared" si="91"/>
        <v>66.564226351179173</v>
      </c>
      <c r="BG82" s="20">
        <f t="shared" si="61"/>
        <v>600.28114452830425</v>
      </c>
      <c r="BH82" s="59">
        <f t="shared" si="62"/>
        <v>870.61069190948115</v>
      </c>
      <c r="BI82" s="59">
        <f ca="1">AVERAGE(OFFSET($BH$3,0,0,'Données projet'!$E$11+1,1))-AVERAGE(OFFSET($H$3,0,0,'Données projet'!$E$11+1,1))</f>
        <v>681.47578137804555</v>
      </c>
      <c r="BJ82" s="59">
        <f t="shared" si="92"/>
        <v>300.88511065995885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13.246346503276447</v>
      </c>
      <c r="BQ82" s="21">
        <f>EXP(-LN(2)/25)*BQ81+(1-EXP(-LN(2)/25))/(LN(2)/25)*Calculateur!BL82*Calculateur!BN82*VLOOKUP('Données projet'!$B$11,Paramètres!$A$1:$I$89,3,0)*0.475*44/12</f>
        <v>27.413063517975782</v>
      </c>
      <c r="BR82" s="21">
        <f>EXP(-LN(2)/2)*BR81+(1-EXP(-LN(2)/2))/(LN(2)/2)*BL82*BO82*VLOOKUP('Données projet'!$B$11,Paramètres!$A$1:$I$89,3,0)*0.475*44/12</f>
        <v>0.83136029285131385</v>
      </c>
      <c r="BS82" s="22">
        <f t="shared" si="63"/>
        <v>41.490770314103543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2.3076923076923093</v>
      </c>
      <c r="BY82" s="12">
        <f>IF('Données projet'!$A$114&gt;35,BY81+BX82-CG81,IF(A82&lt;'Données projet'!$A$114,$BV$205^A82,IF(A82='Données projet'!$A$114,'Données projet'!$B$114,BY81+BX82-CG81)))</f>
        <v>143.20512820512832</v>
      </c>
      <c r="BZ82" s="13">
        <f>BY82*VLOOKUP('Données projet'!$B$12,Paramètres!$A$1:$I$89,3,0)*VLOOKUP('Données projet'!$B$12,Paramètres!$A$1:$I$89,5,0)</f>
        <v>149.67800000000014</v>
      </c>
      <c r="CA82" s="13">
        <f t="shared" si="93"/>
        <v>38.505400815815293</v>
      </c>
      <c r="CB82" s="20">
        <f t="shared" si="64"/>
        <v>327.7527564208786</v>
      </c>
      <c r="CC82" s="59">
        <f t="shared" si="65"/>
        <v>598.08230380205555</v>
      </c>
      <c r="CD82" s="59">
        <f ca="1">AVERAGE(OFFSET($CC$3,0,0,'Données projet'!$E$12+1,1))-AVERAGE(OFFSET($H$3,0,0,'Données projet'!$E$12+1,1))</f>
        <v>290.69667785754848</v>
      </c>
      <c r="CE82" s="59">
        <f t="shared" si="94"/>
        <v>256.28124185489082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2.0381379309876668</v>
      </c>
      <c r="CL82" s="21">
        <f>EXP(-LN(2)/25)*CL81+(1-EXP(-LN(2)/25))/(LN(2)/25)*Calculateur!CG82*Calculateur!CI82*VLOOKUP('Données projet'!$B$12,Paramètres!$A$1:$I$89,3,0)*0.475*44/12</f>
        <v>17.383475658977822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19.421613589965489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3.6</v>
      </c>
      <c r="CT82" s="12">
        <f>IF('Données projet'!$A$140&gt;35,CT81+CS82-DB81,IF(A82&lt;'Données projet'!$A$140,$CQ$205^A82,IF(A82='Données projet'!$A$140,'Données projet'!$B$140,CT81+CS82-DB81)))</f>
        <v>326.39999999999998</v>
      </c>
      <c r="CU82" s="17">
        <f>CT82*VLOOKUP('Données projet'!$B$13,Paramètres!$A$1:$I$89,3,0)*VLOOKUP('Données projet'!$B$13,Paramètres!$A$1:$I$89,5,0)</f>
        <v>285.14303999999998</v>
      </c>
      <c r="CV82" s="13">
        <f t="shared" si="95"/>
        <v>68.052727058079924</v>
      </c>
      <c r="CW82" s="20">
        <f t="shared" si="67"/>
        <v>615.14929429282256</v>
      </c>
      <c r="CX82" s="59">
        <f t="shared" si="68"/>
        <v>885.47884167399957</v>
      </c>
      <c r="CY82" s="59">
        <f ca="1">AVERAGE(OFFSET($CX$3,0,0,'Données projet'!$E$13+1,1))-AVERAGE(OFFSET($H$3,0,0,'Données projet'!$E$13+1,1))</f>
        <v>408.246209980743</v>
      </c>
      <c r="CZ82" s="59">
        <f t="shared" si="96"/>
        <v>394.10236303013903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15.148489450771036</v>
      </c>
      <c r="DG82" s="21">
        <f>EXP(-LN(2)/25)*DG81+(1-EXP(-LN(2)/25))/(LN(2)/25)*Calculateur!DB82*Calculateur!DD82*VLOOKUP('Données projet'!$B$13,Paramètres!$A$1:$I$89,3,0)*0.475*44/12</f>
        <v>14.696697802671206</v>
      </c>
      <c r="DH82" s="21">
        <f>EXP(-LN(2)/2)*DH81+(1-EXP(-LN(2)/2))/(LN(2)/2)*DB82*DE82*VLOOKUP('Données projet'!$B$13,Paramètres!$A$1:$I$89,3,0)*0.475*44/12</f>
        <v>0.76252526816001243</v>
      </c>
      <c r="DI82" s="22">
        <f t="shared" si="69"/>
        <v>30.607712521602252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5.6843418860808015E-13</v>
      </c>
      <c r="DP82" s="17">
        <f>DO82*VLOOKUP('Données projet'!$B$14,Paramètres!$A$1:$I$89,3,0)*VLOOKUP('Données projet'!$B$14,Paramètres!$A$1:$I$89,5,0)</f>
        <v>3.177547114319168E-13</v>
      </c>
      <c r="DQ82" s="13">
        <f t="shared" si="97"/>
        <v>4.1725404435445377E-12</v>
      </c>
      <c r="DR82" s="20">
        <f t="shared" si="70"/>
        <v>7.820597394917325E-12</v>
      </c>
      <c r="DS82" s="59">
        <f t="shared" si="71"/>
        <v>270.3295473811848</v>
      </c>
      <c r="DT82" s="59">
        <f ca="1">AVERAGE(OFFSET($DS$3,0,0,'Données projet'!$E$14+1,1))-AVERAGE(OFFSET($H$3,0,0,'Données projet'!$E$14+1,1))</f>
        <v>407.05634973057056</v>
      </c>
      <c r="DU82" s="59">
        <f t="shared" si="98"/>
        <v>375.32891954889965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193.0774627939789</v>
      </c>
      <c r="EB82" s="21">
        <f>EXP(-LN(2)/25)*EB81+(1-EXP(-LN(2)/25))/(LN(2)/25)*Calculateur!DW82*Calculateur!DY82*VLOOKUP('Données projet'!$B$14,Paramètres!$A$1:$I$89,3,0)*0.475*44/12</f>
        <v>59.806604631523413</v>
      </c>
      <c r="EC82" s="21">
        <f>EXP(-LN(2)/2)*EC81+(1-EXP(-LN(2)/2))/(LN(2)/2)*DW82*DZ82*VLOOKUP('Données projet'!$B$14,Paramètres!$A$1:$I$89,3,0)*0.475*44/12</f>
        <v>3.3369042666069841</v>
      </c>
      <c r="ED82" s="22">
        <f t="shared" si="72"/>
        <v>256.22097169210929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14.6</v>
      </c>
      <c r="EJ82" s="12">
        <f>IF('Données projet'!$A$192&gt;35,EJ81+EI82-ER81,IF(A82&lt;'Données projet'!$A$192,$EG$205^A82,IF(A82='Données projet'!$A$192,'Données projet'!$B$192,EJ81+EI82-ER81)))</f>
        <v>761.40000000000009</v>
      </c>
      <c r="EK82" s="17">
        <f>EJ82*VLOOKUP('Données projet'!$B$15,Paramètres!$A$1:$I$89,3,0)*VLOOKUP('Données projet'!$B$15,Paramètres!$A$1:$I$89,5,0)</f>
        <v>336.53880000000004</v>
      </c>
      <c r="EL82" s="13">
        <f t="shared" si="99"/>
        <v>78.784415290943599</v>
      </c>
      <c r="EM82" s="20">
        <f t="shared" si="73"/>
        <v>723.35459996506006</v>
      </c>
      <c r="EN82" s="59">
        <f t="shared" si="74"/>
        <v>993.68414734623707</v>
      </c>
      <c r="EO82" s="59">
        <f ca="1">AVERAGE(OFFSET($EN$3,0,0,'Données projet'!$E$15+1,1))-AVERAGE(OFFSET($H$3,0,0,'Données projet'!$E$15+1,1))</f>
        <v>418.28022549686278</v>
      </c>
      <c r="EP82" s="59">
        <f t="shared" si="100"/>
        <v>354.55070454517158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57.613058134111981</v>
      </c>
      <c r="EW82" s="21">
        <f>EXP(-LN(2)/25)*EW81+(1-EXP(-LN(2)/25))/(LN(2)/25)*Calculateur!ER82*Calculateur!ET82*VLOOKUP('Données projet'!$B$15,Paramètres!$A$1:$I$89,3,0)*0.475*44/12</f>
        <v>22.662589042610495</v>
      </c>
      <c r="EX82" s="21">
        <f>EXP(-LN(2)/2)*EX81+(1-EXP(-LN(2)/2))/(LN(2)/2)*ER82*EU82*VLOOKUP('Données projet'!$B$15,Paramètres!$A$1:$I$89,3,0)*0.475*44/12</f>
        <v>1.3216775097497486</v>
      </c>
      <c r="EY82" s="22">
        <f t="shared" si="75"/>
        <v>81.59732468647222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6.7444444444444462</v>
      </c>
      <c r="FE82" s="12">
        <f>IF('Données projet'!$A$218&gt;35,FE81+FD82-FM81,IF(A82&lt;'Données projet'!$A$218,$FB$205^A82,IF(A82='Données projet'!$A$218,'Données projet'!$B$218,FE81+FD82-FM81)))</f>
        <v>182.0588888888889</v>
      </c>
      <c r="FF82" s="17">
        <f>FE82*VLOOKUP('Données projet'!$B$16,Paramètres!$A$1:$I$89,3,0)*VLOOKUP('Données projet'!$B$16,Paramètres!$A$1:$I$89,5,0)</f>
        <v>207.3286626666667</v>
      </c>
      <c r="FG82" s="13">
        <f t="shared" si="101"/>
        <v>51.351397043436535</v>
      </c>
      <c r="FH82" s="20">
        <f t="shared" si="76"/>
        <v>450.53443732842976</v>
      </c>
      <c r="FI82" s="59">
        <f t="shared" si="77"/>
        <v>720.86398470960671</v>
      </c>
      <c r="FJ82" s="59">
        <f ca="1">AVERAGE(OFFSET($FI$3,0,0,'Données projet'!$E$16+1,1))-AVERAGE(OFFSET($H$3,0,0,'Données projet'!$E$16+1,1))</f>
        <v>640.05156427113661</v>
      </c>
      <c r="FK82" s="59">
        <f t="shared" si="102"/>
        <v>308.77220155372902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46.218001569663663</v>
      </c>
      <c r="FS82" s="21">
        <f>EXP(-LN(2)/2)*FS81+(1-EXP(-LN(2)/2))/(LN(2)/2)*FM82*FP82*VLOOKUP('Données projet'!$B$16,Paramètres!$A$1:$I$89,3,0)*0.475*44/12</f>
        <v>3.953045892818376</v>
      </c>
      <c r="FT82" s="22">
        <f t="shared" si="78"/>
        <v>50.171047462482036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6.7984728957526396E-14</v>
      </c>
      <c r="P83" s="13">
        <f t="shared" si="87"/>
        <v>1.0682447123141398E-12</v>
      </c>
      <c r="Q83" s="20">
        <f t="shared" si="54"/>
        <v>1.978932943548152E-12</v>
      </c>
      <c r="R83" s="59">
        <f t="shared" si="55"/>
        <v>270.72861163868811</v>
      </c>
      <c r="S83" s="59">
        <f ca="1">AVERAGE(OFFSET($R$3,0,0,'Données projet'!$E$9+1,1))-AVERAGE(OFFSET($H$3,0,0,'Données projet'!$E$9+1,1))</f>
        <v>318.50474972254085</v>
      </c>
      <c r="T83" s="59">
        <f t="shared" si="88"/>
        <v>326.45858332753562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93.451980222695582</v>
      </c>
      <c r="AA83" s="21">
        <f>EXP(-LN(2)/25)*AA82+(1-EXP(-LN(2)/25))/(LN(2)/25)*Calculateur!V83*Calculateur!X83*VLOOKUP('Données projet'!$B$9,Paramètres!$A$1:$I$89,3,0)*0.475*44/12</f>
        <v>27.821771535270837</v>
      </c>
      <c r="AB83" s="21">
        <f>EXP(-LN(2)/2)*AB82+(1-EXP(-LN(2)/2))/(LN(2)/2)*V83*Y83*VLOOKUP('Données projet'!$B$9,Paramètres!$A$1:$I$89,3,0)*0.475*44/12</f>
        <v>5.8556096507181112E-2</v>
      </c>
      <c r="AC83" s="22">
        <f t="shared" si="57"/>
        <v>121.3323078544736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11.117500000000001</v>
      </c>
      <c r="AI83" s="13">
        <f>IF('Données projet'!$A$62&gt;35,AI82+AH83-AQ82,IF(A83&lt;'Données projet'!$A$62,$AF$205^A83,IF(A83='Données projet'!$A$62,'Données projet'!$B$62,AI82+AH83-AQ82)))</f>
        <v>369.57249999999993</v>
      </c>
      <c r="AJ83" s="13">
        <f>AI83*VLOOKUP('Données projet'!$B$10,Paramètres!$A$1:$I$89,3,0)*VLOOKUP('Données projet'!$B$10,Paramètres!$A$1:$I$89,5,0)</f>
        <v>172.95992999999996</v>
      </c>
      <c r="AK83" s="13">
        <f t="shared" si="89"/>
        <v>43.752281984506958</v>
      </c>
      <c r="AL83" s="20">
        <f t="shared" si="58"/>
        <v>377.44043587301621</v>
      </c>
      <c r="AM83" s="59">
        <f t="shared" si="59"/>
        <v>648.16904751170227</v>
      </c>
      <c r="AN83" s="59">
        <f ca="1">AVERAGE(OFFSET($AM$3,0,0,'Données projet'!$E$10+1,1))-AVERAGE(OFFSET($H$3,0,0,'Données projet'!$E$10+1,1))</f>
        <v>374.38106339726073</v>
      </c>
      <c r="AO83" s="59">
        <f t="shared" si="90"/>
        <v>296.53283288925957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41.027822800729261</v>
      </c>
      <c r="AV83" s="21">
        <f>EXP(-LN(2)/25)*AV82+(1-EXP(-LN(2)/25))/(LN(2)/25)*Calculateur!AQ83*Calculateur!AS83*VLOOKUP('Données projet'!$B$10,Paramètres!$A$1:$I$89,3,0)*0.475*44/12</f>
        <v>19.651842220904442</v>
      </c>
      <c r="AW83" s="21">
        <f>EXP(-LN(2)/2)*AW82+(1-EXP(-LN(2)/2))/(LN(2)/2)*AQ83*AT83*VLOOKUP('Données projet'!$B$10,Paramètres!$A$1:$I$89,3,0)*0.475*44/12</f>
        <v>0.98331553059884225</v>
      </c>
      <c r="AX83" s="21">
        <f t="shared" si="60"/>
        <v>61.662980552232547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9.546999999999997</v>
      </c>
      <c r="BD83" s="12">
        <f>IF('Données projet'!$A$88&gt;35,BD82+BC83-BL82,IF(A83&lt;'Données projet'!$A$88,$BA$205^A83,IF(A83='Données projet'!$A$88,'Données projet'!$B$88,BD82+BC83-BL82)))</f>
        <v>316.90200000000038</v>
      </c>
      <c r="BE83" s="13">
        <f>BD83*VLOOKUP('Données projet'!$B$11,Paramètres!$A$1:$I$89,3,0)*VLOOKUP('Données projet'!$B$11,Paramètres!$A$1:$I$89,5,0)</f>
        <v>286.73292960000038</v>
      </c>
      <c r="BF83" s="13">
        <f t="shared" si="91"/>
        <v>68.387896772756079</v>
      </c>
      <c r="BG83" s="20">
        <f t="shared" si="61"/>
        <v>618.50210593255088</v>
      </c>
      <c r="BH83" s="59">
        <f t="shared" si="62"/>
        <v>889.23071757123694</v>
      </c>
      <c r="BI83" s="59">
        <f ca="1">AVERAGE(OFFSET($BH$3,0,0,'Données projet'!$E$11+1,1))-AVERAGE(OFFSET($H$3,0,0,'Données projet'!$E$11+1,1))</f>
        <v>681.47578137804555</v>
      </c>
      <c r="BJ83" s="59">
        <f t="shared" si="92"/>
        <v>300.88511065995885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12.986593727820781</v>
      </c>
      <c r="BQ83" s="21">
        <f>EXP(-LN(2)/25)*BQ82+(1-EXP(-LN(2)/25))/(LN(2)/25)*Calculateur!BL83*Calculateur!BN83*VLOOKUP('Données projet'!$B$11,Paramètres!$A$1:$I$89,3,0)*0.475*44/12</f>
        <v>26.663451854486379</v>
      </c>
      <c r="BR83" s="21">
        <f>EXP(-LN(2)/2)*BR82+(1-EXP(-LN(2)/2))/(LN(2)/2)*BL83*BO83*VLOOKUP('Données projet'!$B$11,Paramètres!$A$1:$I$89,3,0)*0.475*44/12</f>
        <v>0.5878605006843981</v>
      </c>
      <c r="BS83" s="22">
        <f t="shared" si="63"/>
        <v>40.237906082991557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145.51282051282053</v>
      </c>
      <c r="BW83" s="12">
        <f>VLOOKUP(A83,'Données projet'!$A$113:$I$133,9,0)</f>
        <v>2.3076923076923093</v>
      </c>
      <c r="BX83" s="12">
        <f t="array" ref="BX83">INDEX(BW:BW,MIN(IF(ISNUMBER(BW83:BW279),ROW(BW83:BW279),"")))</f>
        <v>2.3076923076923093</v>
      </c>
      <c r="BY83" s="12">
        <f>IF('Données projet'!$A$114&gt;35,BY82+BX83-CG82,IF(A83&lt;'Données projet'!$A$114,$BV$205^A83,IF(A83='Données projet'!$A$114,'Données projet'!$B$114,BY82+BX83-CG82)))</f>
        <v>145.51282051282064</v>
      </c>
      <c r="BZ83" s="13">
        <f>BY83*VLOOKUP('Données projet'!$B$12,Paramètres!$A$1:$I$89,3,0)*VLOOKUP('Données projet'!$B$12,Paramètres!$A$1:$I$89,5,0)</f>
        <v>152.09000000000015</v>
      </c>
      <c r="CA83" s="13">
        <f t="shared" si="93"/>
        <v>39.053162448424175</v>
      </c>
      <c r="CB83" s="20">
        <f t="shared" si="64"/>
        <v>332.90767459767238</v>
      </c>
      <c r="CC83" s="59">
        <f t="shared" si="65"/>
        <v>603.6362862363585</v>
      </c>
      <c r="CD83" s="59">
        <f ca="1">AVERAGE(OFFSET($CC$3,0,0,'Données projet'!$E$12+1,1))-AVERAGE(OFFSET($H$3,0,0,'Données projet'!$E$12+1,1))</f>
        <v>290.69667785754848</v>
      </c>
      <c r="CE83" s="59">
        <f t="shared" si="94"/>
        <v>256.28124185489082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8.3333333333333339</v>
      </c>
      <c r="CH83" s="16">
        <f>IF(ISNA(VLOOKUP(A83,'Données projet'!$A$113:$I$133,5,0)),0%,VLOOKUP(A83,'Données projet'!$A$113:$I$133,5,0)*VLOOKUP('Données projet'!$B$12,Paramètres!$A$1:$I$89,7,0))</f>
        <v>4.3000000000000003E-2</v>
      </c>
      <c r="CI83" s="16">
        <f>IF(ISNA(VLOOKUP(A83,'Données projet'!$A$113:$I$133,6,0)),0%,VLOOKUP(A83,'Données projet'!$A$113:$I$133,6,0)*VLOOKUP('Données projet'!$B$12,Paramètres!$A$1:$I$89,7,0))</f>
        <v>0.215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2.4122031105488624</v>
      </c>
      <c r="CL83" s="21">
        <f>EXP(-LN(2)/25)*CL82+(1-EXP(-LN(2)/25))/(LN(2)/25)*Calculateur!CG83*Calculateur!CI83*VLOOKUP('Données projet'!$B$12,Paramètres!$A$1:$I$89,3,0)*0.475*44/12</f>
        <v>18.970131703964501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21.382334814513364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330</v>
      </c>
      <c r="CR83" s="12">
        <f>VLOOKUP(A83,'Données projet'!$A$139:$I$159,9,0)</f>
        <v>3.6</v>
      </c>
      <c r="CS83" s="12">
        <f t="array" ref="CS83">INDEX(CR:CR,MIN(IF(ISNUMBER(CR83:CR279),ROW(CR83:CR279),"")))</f>
        <v>3.6</v>
      </c>
      <c r="CT83" s="12">
        <f>IF('Données projet'!$A$140&gt;35,CT82+CS83-DB82,IF(A83&lt;'Données projet'!$A$140,$CQ$205^A83,IF(A83='Données projet'!$A$140,'Données projet'!$B$140,CT82+CS83-DB82)))</f>
        <v>330</v>
      </c>
      <c r="CU83" s="17">
        <f>CT83*VLOOKUP('Données projet'!$B$13,Paramètres!$A$1:$I$89,3,0)*VLOOKUP('Données projet'!$B$13,Paramètres!$A$1:$I$89,5,0)</f>
        <v>288.28800000000001</v>
      </c>
      <c r="CV83" s="13">
        <f t="shared" si="95"/>
        <v>68.715516926722444</v>
      </c>
      <c r="CW83" s="20">
        <f t="shared" si="67"/>
        <v>621.78112531404156</v>
      </c>
      <c r="CX83" s="59">
        <f t="shared" si="68"/>
        <v>892.50973695272774</v>
      </c>
      <c r="CY83" s="59">
        <f ca="1">AVERAGE(OFFSET($CX$3,0,0,'Données projet'!$E$13+1,1))-AVERAGE(OFFSET($H$3,0,0,'Données projet'!$E$13+1,1))</f>
        <v>408.246209980743</v>
      </c>
      <c r="CZ83" s="59">
        <f t="shared" si="96"/>
        <v>394.10236303013903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330</v>
      </c>
      <c r="DC83" s="16">
        <f>IF(ISNA(VLOOKUP(A83,'Données projet'!$A$139:$I$159,5,0)),0%,VLOOKUP(A83,'Données projet'!$A$139:$I$159,5,0)*VLOOKUP('Données projet'!$B$13,Paramètres!$A$1:$I$89,7,0))</f>
        <v>0.13250000000000001</v>
      </c>
      <c r="DD83" s="16">
        <f>IF(ISNA(VLOOKUP(A83,'Données projet'!$A$139:$I$159,6,0)),0%,VLOOKUP(A83,'Données projet'!$A$139:$I$159,6,0)*VLOOKUP('Données projet'!$B$13,Paramètres!$A$1:$I$89,7,0))</f>
        <v>0.13250000000000001</v>
      </c>
      <c r="DE83" s="16">
        <f>IF(ISNA(VLOOKUP(A83,'Données projet'!$A$139:$I$159,7,0)),0%,VLOOKUP(A83,'Données projet'!$A$139:$I$159,7,0))</f>
        <v>0.25</v>
      </c>
      <c r="DF83" s="21">
        <f>EXP(-LN(2)/35)*DF82+(1-EXP(-LN(2)/35))/(LN(2)/35)*DB83*DC83*VLOOKUP('Données projet'!$B$13,Paramètres!$A$1:$I$89,3,0)*0.475*44/12</f>
        <v>57.078371244968004</v>
      </c>
      <c r="DG83" s="21">
        <f>EXP(-LN(2)/25)*DG82+(1-EXP(-LN(2)/25))/(LN(2)/25)*Calculateur!DB83*Calculateur!DD83*VLOOKUP('Données projet'!$B$13,Paramètres!$A$1:$I$89,3,0)*0.475*44/12</f>
        <v>56.35548673046695</v>
      </c>
      <c r="DH83" s="21">
        <f>EXP(-LN(2)/2)*DH82+(1-EXP(-LN(2)/2))/(LN(2)/2)*DB83*DE83*VLOOKUP('Données projet'!$B$13,Paramètres!$A$1:$I$89,3,0)*0.475*44/12</f>
        <v>68.541058577381563</v>
      </c>
      <c r="DI83" s="22">
        <f t="shared" si="69"/>
        <v>181.97491655281652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5.6843418860808015E-13</v>
      </c>
      <c r="DP83" s="17">
        <f>DO83*VLOOKUP('Données projet'!$B$14,Paramètres!$A$1:$I$89,3,0)*VLOOKUP('Données projet'!$B$14,Paramètres!$A$1:$I$89,5,0)</f>
        <v>3.177547114319168E-13</v>
      </c>
      <c r="DQ83" s="13">
        <f t="shared" si="97"/>
        <v>4.1725404435445377E-12</v>
      </c>
      <c r="DR83" s="20">
        <f t="shared" si="70"/>
        <v>7.820597394917325E-12</v>
      </c>
      <c r="DS83" s="59">
        <f t="shared" si="71"/>
        <v>270.72861163869396</v>
      </c>
      <c r="DT83" s="59">
        <f ca="1">AVERAGE(OFFSET($DS$3,0,0,'Données projet'!$E$14+1,1))-AVERAGE(OFFSET($H$3,0,0,'Données projet'!$E$14+1,1))</f>
        <v>407.05634973057056</v>
      </c>
      <c r="DU83" s="59">
        <f t="shared" si="98"/>
        <v>375.32891954889965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189.29133151421289</v>
      </c>
      <c r="EB83" s="21">
        <f>EXP(-LN(2)/25)*EB82+(1-EXP(-LN(2)/25))/(LN(2)/25)*Calculateur!DW83*Calculateur!DY83*VLOOKUP('Données projet'!$B$14,Paramètres!$A$1:$I$89,3,0)*0.475*44/12</f>
        <v>58.171189882781761</v>
      </c>
      <c r="EC83" s="21">
        <f>EXP(-LN(2)/2)*EC82+(1-EXP(-LN(2)/2))/(LN(2)/2)*DW83*DZ83*VLOOKUP('Données projet'!$B$14,Paramètres!$A$1:$I$89,3,0)*0.475*44/12</f>
        <v>2.3595476350881217</v>
      </c>
      <c r="ED83" s="22">
        <f t="shared" si="72"/>
        <v>249.82206903208277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776</v>
      </c>
      <c r="EH83" s="12">
        <f>VLOOKUP(A83,'Données projet'!$A$191:$I$211,9,0)</f>
        <v>14.6</v>
      </c>
      <c r="EI83" s="12">
        <f t="array" ref="EI83">INDEX(EH:EH,MIN(IF(ISNUMBER(EH83:EH279),ROW(EH83:EH279),"")))</f>
        <v>14.6</v>
      </c>
      <c r="EJ83" s="12">
        <f>IF('Données projet'!$A$192&gt;35,EJ82+EI83-ER82,IF(A83&lt;'Données projet'!$A$192,$EG$205^A83,IF(A83='Données projet'!$A$192,'Données projet'!$B$192,EJ82+EI83-ER82)))</f>
        <v>776.00000000000011</v>
      </c>
      <c r="EK83" s="17">
        <f>EJ83*VLOOKUP('Données projet'!$B$15,Paramètres!$A$1:$I$89,3,0)*VLOOKUP('Données projet'!$B$15,Paramètres!$A$1:$I$89,5,0)</f>
        <v>342.99200000000008</v>
      </c>
      <c r="EL83" s="13">
        <f t="shared" si="99"/>
        <v>80.117796997208558</v>
      </c>
      <c r="EM83" s="20">
        <f t="shared" si="73"/>
        <v>736.91622977013833</v>
      </c>
      <c r="EN83" s="59">
        <f t="shared" si="74"/>
        <v>1007.6448414088245</v>
      </c>
      <c r="EO83" s="59">
        <f ca="1">AVERAGE(OFFSET($EN$3,0,0,'Données projet'!$E$15+1,1))-AVERAGE(OFFSET($H$3,0,0,'Données projet'!$E$15+1,1))</f>
        <v>418.28022549686278</v>
      </c>
      <c r="EP83" s="59">
        <f t="shared" si="100"/>
        <v>354.55070454517158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776</v>
      </c>
      <c r="ES83" s="16">
        <f>IF(ISNA(VLOOKUP(A83,'Données projet'!$A$191:$I$211,5,0)),0%,VLOOKUP(A83,'Données projet'!$A$191:$I$211,5,0)*VLOOKUP('Données projet'!$B$15,Paramètres!$A$1:$I$89,7,0))</f>
        <v>0.33</v>
      </c>
      <c r="ET83" s="16">
        <f>IF(ISNA(VLOOKUP(A83,'Données projet'!$A$191:$I$211,6,0)),0%,VLOOKUP(A83,'Données projet'!$A$191:$I$211,6,0)*VLOOKUP('Données projet'!$B$15,Paramètres!$A$1:$I$89,7,0))</f>
        <v>0.11000000000000001</v>
      </c>
      <c r="EU83" s="16">
        <f>IF(ISNA(VLOOKUP(A83,'Données projet'!$A$191:$I$211,7,0)),0%,VLOOKUP(A83,'Données projet'!$A$191:$I$211,7,0))</f>
        <v>0.2</v>
      </c>
      <c r="EV83" s="21">
        <f>EXP(-LN(2)/35)*EV82+(1-EXP(-LN(2)/35))/(LN(2)/35)*ER83*ES83*VLOOKUP('Données projet'!$B$15,Paramètres!$A$1:$I$89,3,0)*0.475*44/12</f>
        <v>206.63362978563688</v>
      </c>
      <c r="EW83" s="21">
        <f>EXP(-LN(2)/25)*EW82+(1-EXP(-LN(2)/25))/(LN(2)/25)*Calculateur!ER83*Calculateur!ET83*VLOOKUP('Données projet'!$B$15,Paramètres!$A$1:$I$89,3,0)*0.475*44/12</f>
        <v>71.895922528684935</v>
      </c>
      <c r="EX83" s="21">
        <f>EXP(-LN(2)/2)*EX82+(1-EXP(-LN(2)/2))/(LN(2)/2)*ER83*EU83*VLOOKUP('Données projet'!$B$15,Paramètres!$A$1:$I$89,3,0)*0.475*44/12</f>
        <v>78.603891168325319</v>
      </c>
      <c r="EY83" s="22">
        <f t="shared" si="75"/>
        <v>357.13344348264712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6.7444444444444462</v>
      </c>
      <c r="FE83" s="12">
        <f>IF('Données projet'!$A$218&gt;35,FE82+FD83-FM82,IF(A83&lt;'Données projet'!$A$218,$FB$205^A83,IF(A83='Données projet'!$A$218,'Données projet'!$B$218,FE82+FD83-FM82)))</f>
        <v>188.80333333333334</v>
      </c>
      <c r="FF83" s="17">
        <f>FE83*VLOOKUP('Données projet'!$B$16,Paramètres!$A$1:$I$89,3,0)*VLOOKUP('Données projet'!$B$16,Paramètres!$A$1:$I$89,5,0)</f>
        <v>215.00923600000002</v>
      </c>
      <c r="FG83" s="13">
        <f t="shared" si="101"/>
        <v>53.028723450763223</v>
      </c>
      <c r="FH83" s="20">
        <f t="shared" si="76"/>
        <v>466.83277937674598</v>
      </c>
      <c r="FI83" s="59">
        <f t="shared" si="77"/>
        <v>737.56139101543204</v>
      </c>
      <c r="FJ83" s="59">
        <f ca="1">AVERAGE(OFFSET($FI$3,0,0,'Données projet'!$E$16+1,1))-AVERAGE(OFFSET($H$3,0,0,'Données projet'!$E$16+1,1))</f>
        <v>640.05156427113661</v>
      </c>
      <c r="FK83" s="59">
        <f t="shared" si="102"/>
        <v>308.77220155372902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44.954167886242139</v>
      </c>
      <c r="FS83" s="21">
        <f>EXP(-LN(2)/2)*FS82+(1-EXP(-LN(2)/2))/(LN(2)/2)*FM83*FP83*VLOOKUP('Données projet'!$B$16,Paramètres!$A$1:$I$89,3,0)*0.475*44/12</f>
        <v>2.7952255571535041</v>
      </c>
      <c r="FT83" s="22">
        <f t="shared" si="78"/>
        <v>47.749393443395647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6.7984728957526396E-14</v>
      </c>
      <c r="P84" s="13">
        <f t="shared" si="87"/>
        <v>1.0682447123141398E-12</v>
      </c>
      <c r="Q84" s="20">
        <f t="shared" si="54"/>
        <v>1.978932943548152E-12</v>
      </c>
      <c r="R84" s="59">
        <f t="shared" si="55"/>
        <v>271.12075302350343</v>
      </c>
      <c r="S84" s="59">
        <f ca="1">AVERAGE(OFFSET($R$3,0,0,'Données projet'!$E$9+1,1))-AVERAGE(OFFSET($H$3,0,0,'Données projet'!$E$9+1,1))</f>
        <v>318.50474972254085</v>
      </c>
      <c r="T84" s="59">
        <f t="shared" si="88"/>
        <v>326.45858332753562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91.619443890608167</v>
      </c>
      <c r="AA84" s="21">
        <f>EXP(-LN(2)/25)*AA83+(1-EXP(-LN(2)/25))/(LN(2)/25)*Calculateur!V84*Calculateur!X84*VLOOKUP('Données projet'!$B$9,Paramètres!$A$1:$I$89,3,0)*0.475*44/12</f>
        <v>27.060983729555478</v>
      </c>
      <c r="AB84" s="21">
        <f>EXP(-LN(2)/2)*AB83+(1-EXP(-LN(2)/2))/(LN(2)/2)*V84*Y84*VLOOKUP('Données projet'!$B$9,Paramètres!$A$1:$I$89,3,0)*0.475*44/12</f>
        <v>4.1405412920041677E-2</v>
      </c>
      <c r="AC84" s="22">
        <f t="shared" si="57"/>
        <v>118.72183303308368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11.117500000000001</v>
      </c>
      <c r="AI84" s="13">
        <f>IF('Données projet'!$A$62&gt;35,AI83+AH84-AQ83,IF(A84&lt;'Données projet'!$A$62,$AF$205^A84,IF(A84='Données projet'!$A$62,'Données projet'!$B$62,AI83+AH84-AQ83)))</f>
        <v>380.68999999999994</v>
      </c>
      <c r="AJ84" s="13">
        <f>AI84*VLOOKUP('Données projet'!$B$10,Paramètres!$A$1:$I$89,3,0)*VLOOKUP('Données projet'!$B$10,Paramètres!$A$1:$I$89,5,0)</f>
        <v>178.16291999999999</v>
      </c>
      <c r="AK84" s="13">
        <f t="shared" si="89"/>
        <v>44.913226012533627</v>
      </c>
      <c r="AL84" s="20">
        <f t="shared" si="58"/>
        <v>388.52428763849611</v>
      </c>
      <c r="AM84" s="59">
        <f t="shared" si="59"/>
        <v>659.64504066199754</v>
      </c>
      <c r="AN84" s="59">
        <f ca="1">AVERAGE(OFFSET($AM$3,0,0,'Données projet'!$E$10+1,1))-AVERAGE(OFFSET($H$3,0,0,'Données projet'!$E$10+1,1))</f>
        <v>374.38106339726073</v>
      </c>
      <c r="AO84" s="59">
        <f t="shared" si="90"/>
        <v>296.53283288925957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40.223292220107908</v>
      </c>
      <c r="AV84" s="21">
        <f>EXP(-LN(2)/25)*AV83+(1-EXP(-LN(2)/25))/(LN(2)/25)*Calculateur!AQ84*Calculateur!AS84*VLOOKUP('Données projet'!$B$10,Paramètres!$A$1:$I$89,3,0)*0.475*44/12</f>
        <v>19.114461561928341</v>
      </c>
      <c r="AW84" s="21">
        <f>EXP(-LN(2)/2)*AW83+(1-EXP(-LN(2)/2))/(LN(2)/2)*AQ84*AT84*VLOOKUP('Données projet'!$B$10,Paramètres!$A$1:$I$89,3,0)*0.475*44/12</f>
        <v>0.69530907973248945</v>
      </c>
      <c r="AX84" s="21">
        <f t="shared" si="60"/>
        <v>60.033062861768734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9.546999999999997</v>
      </c>
      <c r="BD84" s="12">
        <f>IF('Données projet'!$A$88&gt;35,BD83+BC84-BL83,IF(A84&lt;'Données projet'!$A$88,$BA$205^A84,IF(A84='Données projet'!$A$88,'Données projet'!$B$88,BD83+BC84-BL83)))</f>
        <v>326.44900000000041</v>
      </c>
      <c r="BE84" s="13">
        <f>BD84*VLOOKUP('Données projet'!$B$11,Paramètres!$A$1:$I$89,3,0)*VLOOKUP('Données projet'!$B$11,Paramètres!$A$1:$I$89,5,0)</f>
        <v>295.37105520000034</v>
      </c>
      <c r="BF84" s="13">
        <f t="shared" si="91"/>
        <v>70.205182362680091</v>
      </c>
      <c r="BG84" s="20">
        <f t="shared" si="61"/>
        <v>636.71194708833502</v>
      </c>
      <c r="BH84" s="59">
        <f t="shared" si="62"/>
        <v>907.8327001118364</v>
      </c>
      <c r="BI84" s="59">
        <f ca="1">AVERAGE(OFFSET($BH$3,0,0,'Données projet'!$E$11+1,1))-AVERAGE(OFFSET($H$3,0,0,'Données projet'!$E$11+1,1))</f>
        <v>681.47578137804555</v>
      </c>
      <c r="BJ84" s="59">
        <f t="shared" si="92"/>
        <v>300.88511065995885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12.731934545858252</v>
      </c>
      <c r="BQ84" s="21">
        <f>EXP(-LN(2)/25)*BQ83+(1-EXP(-LN(2)/25))/(LN(2)/25)*Calculateur!BL84*Calculateur!BN84*VLOOKUP('Données projet'!$B$11,Paramètres!$A$1:$I$89,3,0)*0.475*44/12</f>
        <v>25.934338361355454</v>
      </c>
      <c r="BR84" s="21">
        <f>EXP(-LN(2)/2)*BR83+(1-EXP(-LN(2)/2))/(LN(2)/2)*BL84*BO84*VLOOKUP('Données projet'!$B$11,Paramètres!$A$1:$I$89,3,0)*0.475*44/12</f>
        <v>0.41568014642565698</v>
      </c>
      <c r="BS84" s="22">
        <f t="shared" si="63"/>
        <v>39.081953053639367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2.0512820512820498</v>
      </c>
      <c r="BY84" s="12">
        <f>IF('Données projet'!$A$114&gt;35,BY83+BX84-CG83,IF(A84&lt;'Données projet'!$A$114,$BV$205^A84,IF(A84='Données projet'!$A$114,'Données projet'!$B$114,BY83+BX84-CG83)))</f>
        <v>139.23076923076934</v>
      </c>
      <c r="BZ84" s="13">
        <f>BY84*VLOOKUP('Données projet'!$B$12,Paramètres!$A$1:$I$89,3,0)*VLOOKUP('Données projet'!$B$12,Paramètres!$A$1:$I$89,5,0)</f>
        <v>145.52400000000011</v>
      </c>
      <c r="CA84" s="13">
        <f t="shared" si="93"/>
        <v>37.55961209074934</v>
      </c>
      <c r="CB84" s="20">
        <f t="shared" si="64"/>
        <v>318.87062439138862</v>
      </c>
      <c r="CC84" s="59">
        <f t="shared" si="65"/>
        <v>589.99137741489005</v>
      </c>
      <c r="CD84" s="59">
        <f ca="1">AVERAGE(OFFSET($CC$3,0,0,'Données projet'!$E$12+1,1))-AVERAGE(OFFSET($H$3,0,0,'Données projet'!$E$12+1,1))</f>
        <v>290.69667785754848</v>
      </c>
      <c r="CE84" s="59">
        <f t="shared" si="94"/>
        <v>256.28124185489082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2.3649012788496178</v>
      </c>
      <c r="CL84" s="21">
        <f>EXP(-LN(2)/25)*CL83+(1-EXP(-LN(2)/25))/(LN(2)/25)*Calculateur!CG84*Calculateur!CI84*VLOOKUP('Données projet'!$B$12,Paramètres!$A$1:$I$89,3,0)*0.475*44/12</f>
        <v>18.451392454923724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20.816293733773342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408.246209980743</v>
      </c>
      <c r="CZ84" s="59">
        <f t="shared" si="96"/>
        <v>394.10236303013903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55.959099199223004</v>
      </c>
      <c r="DG84" s="21">
        <f>EXP(-LN(2)/25)*DG83+(1-EXP(-LN(2)/25))/(LN(2)/25)*Calculateur!DB84*Calculateur!DD84*VLOOKUP('Données projet'!$B$13,Paramètres!$A$1:$I$89,3,0)*0.475*44/12</f>
        <v>54.814442982216086</v>
      </c>
      <c r="DH84" s="21">
        <f>EXP(-LN(2)/2)*DH83+(1-EXP(-LN(2)/2))/(LN(2)/2)*DB84*DE84*VLOOKUP('Données projet'!$B$13,Paramètres!$A$1:$I$89,3,0)*0.475*44/12</f>
        <v>48.465847309770886</v>
      </c>
      <c r="DI84" s="22">
        <f t="shared" si="69"/>
        <v>159.23938949120998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5.6843418860808015E-13</v>
      </c>
      <c r="DP84" s="17">
        <f>DO84*VLOOKUP('Données projet'!$B$14,Paramètres!$A$1:$I$89,3,0)*VLOOKUP('Données projet'!$B$14,Paramètres!$A$1:$I$89,5,0)</f>
        <v>3.177547114319168E-13</v>
      </c>
      <c r="DQ84" s="13">
        <f t="shared" si="97"/>
        <v>4.1725404435445377E-12</v>
      </c>
      <c r="DR84" s="20">
        <f t="shared" si="70"/>
        <v>7.820597394917325E-12</v>
      </c>
      <c r="DS84" s="59">
        <f t="shared" si="71"/>
        <v>271.12075302350928</v>
      </c>
      <c r="DT84" s="59">
        <f ca="1">AVERAGE(OFFSET($DS$3,0,0,'Données projet'!$E$14+1,1))-AVERAGE(OFFSET($H$3,0,0,'Données projet'!$E$14+1,1))</f>
        <v>407.05634973057056</v>
      </c>
      <c r="DU84" s="59">
        <f t="shared" si="98"/>
        <v>375.32891954889965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185.57944395953103</v>
      </c>
      <c r="EB84" s="21">
        <f>EXP(-LN(2)/25)*EB83+(1-EXP(-LN(2)/25))/(LN(2)/25)*Calculateur!DW84*Calculateur!DY84*VLOOKUP('Données projet'!$B$14,Paramètres!$A$1:$I$89,3,0)*0.475*44/12</f>
        <v>56.580495636347166</v>
      </c>
      <c r="EC84" s="21">
        <f>EXP(-LN(2)/2)*EC83+(1-EXP(-LN(2)/2))/(LN(2)/2)*DW84*DZ84*VLOOKUP('Données projet'!$B$14,Paramètres!$A$1:$I$89,3,0)*0.475*44/12</f>
        <v>1.6684521333034923</v>
      </c>
      <c r="ED84" s="22">
        <f t="shared" si="72"/>
        <v>243.8283917291817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1.1368683772161603E-13</v>
      </c>
      <c r="EK84" s="17">
        <f>EJ84*VLOOKUP('Données projet'!$B$15,Paramètres!$A$1:$I$89,3,0)*VLOOKUP('Données projet'!$B$15,Paramètres!$A$1:$I$89,5,0)</f>
        <v>5.0249582272954292E-14</v>
      </c>
      <c r="EL84" s="13">
        <f t="shared" si="99"/>
        <v>8.1784820119191593E-13</v>
      </c>
      <c r="EM84" s="20">
        <f t="shared" si="73"/>
        <v>1.5119369728679821E-12</v>
      </c>
      <c r="EN84" s="59">
        <f t="shared" si="74"/>
        <v>271.12075302350297</v>
      </c>
      <c r="EO84" s="59">
        <f ca="1">AVERAGE(OFFSET($EN$3,0,0,'Données projet'!$E$15+1,1))-AVERAGE(OFFSET($H$3,0,0,'Données projet'!$E$15+1,1))</f>
        <v>418.28022549686278</v>
      </c>
      <c r="EP84" s="59">
        <f t="shared" si="100"/>
        <v>354.55070454517158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202.58167033960987</v>
      </c>
      <c r="EW84" s="21">
        <f>EXP(-LN(2)/25)*EW83+(1-EXP(-LN(2)/25))/(LN(2)/25)*Calculateur!ER84*Calculateur!ET84*VLOOKUP('Données projet'!$B$15,Paramètres!$A$1:$I$89,3,0)*0.475*44/12</f>
        <v>69.929924746295796</v>
      </c>
      <c r="EX84" s="21">
        <f>EXP(-LN(2)/2)*EX83+(1-EXP(-LN(2)/2))/(LN(2)/2)*ER84*EU84*VLOOKUP('Données projet'!$B$15,Paramètres!$A$1:$I$89,3,0)*0.475*44/12</f>
        <v>55.581344472772209</v>
      </c>
      <c r="EY84" s="22">
        <f t="shared" si="75"/>
        <v>328.09293955867793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6.7444444444444462</v>
      </c>
      <c r="FE84" s="12">
        <f>IF('Données projet'!$A$218&gt;35,FE83+FD84-FM83,IF(A84&lt;'Données projet'!$A$218,$FB$205^A84,IF(A84='Données projet'!$A$218,'Données projet'!$B$218,FE83+FD84-FM83)))</f>
        <v>195.54777777777778</v>
      </c>
      <c r="FF84" s="17">
        <f>FE84*VLOOKUP('Données projet'!$B$16,Paramètres!$A$1:$I$89,3,0)*VLOOKUP('Données projet'!$B$16,Paramètres!$A$1:$I$89,5,0)</f>
        <v>222.68980933333336</v>
      </c>
      <c r="FG84" s="13">
        <f t="shared" si="101"/>
        <v>54.699088370207967</v>
      </c>
      <c r="FH84" s="20">
        <f t="shared" si="76"/>
        <v>483.11899683366778</v>
      </c>
      <c r="FI84" s="59">
        <f t="shared" si="77"/>
        <v>754.23974985716927</v>
      </c>
      <c r="FJ84" s="59">
        <f ca="1">AVERAGE(OFFSET($FI$3,0,0,'Données projet'!$E$16+1,1))-AVERAGE(OFFSET($H$3,0,0,'Données projet'!$E$16+1,1))</f>
        <v>640.05156427113661</v>
      </c>
      <c r="FK84" s="59">
        <f t="shared" si="102"/>
        <v>308.77220155372902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43.724893801355904</v>
      </c>
      <c r="FS84" s="21">
        <f>EXP(-LN(2)/2)*FS83+(1-EXP(-LN(2)/2))/(LN(2)/2)*FM84*FP84*VLOOKUP('Données projet'!$B$16,Paramètres!$A$1:$I$89,3,0)*0.475*44/12</f>
        <v>1.9765229464091882</v>
      </c>
      <c r="FT84" s="22">
        <f t="shared" si="78"/>
        <v>45.701416747765094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6.7984728957526396E-14</v>
      </c>
      <c r="P85" s="13">
        <f t="shared" si="87"/>
        <v>1.0682447123141398E-12</v>
      </c>
      <c r="Q85" s="20">
        <f t="shared" si="54"/>
        <v>1.978932943548152E-12</v>
      </c>
      <c r="R85" s="59">
        <f t="shared" si="55"/>
        <v>271.50609163198902</v>
      </c>
      <c r="S85" s="59">
        <f ca="1">AVERAGE(OFFSET($R$3,0,0,'Données projet'!$E$9+1,1))-AVERAGE(OFFSET($H$3,0,0,'Données projet'!$E$9+1,1))</f>
        <v>318.50474972254085</v>
      </c>
      <c r="T85" s="59">
        <f t="shared" si="88"/>
        <v>326.45858332753562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89.822842478256192</v>
      </c>
      <c r="AA85" s="21">
        <f>EXP(-LN(2)/25)*AA84+(1-EXP(-LN(2)/25))/(LN(2)/25)*Calculateur!V85*Calculateur!X85*VLOOKUP('Données projet'!$B$9,Paramètres!$A$1:$I$89,3,0)*0.475*44/12</f>
        <v>26.320999706395497</v>
      </c>
      <c r="AB85" s="21">
        <f>EXP(-LN(2)/2)*AB84+(1-EXP(-LN(2)/2))/(LN(2)/2)*V85*Y85*VLOOKUP('Données projet'!$B$9,Paramètres!$A$1:$I$89,3,0)*0.475*44/12</f>
        <v>2.9278048253590559E-2</v>
      </c>
      <c r="AC85" s="22">
        <f t="shared" si="57"/>
        <v>116.17312023290528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11.117500000000001</v>
      </c>
      <c r="AI85" s="13">
        <f>IF('Données projet'!$A$62&gt;35,AI84+AH85-AQ84,IF(A85&lt;'Données projet'!$A$62,$AF$205^A85,IF(A85='Données projet'!$A$62,'Données projet'!$B$62,AI84+AH85-AQ84)))</f>
        <v>391.80749999999995</v>
      </c>
      <c r="AJ85" s="13">
        <f>AI85*VLOOKUP('Données projet'!$B$10,Paramètres!$A$1:$I$89,3,0)*VLOOKUP('Données projet'!$B$10,Paramètres!$A$1:$I$89,5,0)</f>
        <v>183.36590999999999</v>
      </c>
      <c r="AK85" s="13">
        <f t="shared" si="89"/>
        <v>46.070229759286974</v>
      </c>
      <c r="AL85" s="20">
        <f t="shared" si="58"/>
        <v>399.60127674742472</v>
      </c>
      <c r="AM85" s="59">
        <f t="shared" si="59"/>
        <v>671.10736837941181</v>
      </c>
      <c r="AN85" s="59">
        <f ca="1">AVERAGE(OFFSET($AM$3,0,0,'Données projet'!$E$10+1,1))-AVERAGE(OFFSET($H$3,0,0,'Données projet'!$E$10+1,1))</f>
        <v>374.38106339726073</v>
      </c>
      <c r="AO85" s="59">
        <f t="shared" si="90"/>
        <v>296.53283288925957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39.434537993457333</v>
      </c>
      <c r="AV85" s="21">
        <f>EXP(-LN(2)/25)*AV84+(1-EXP(-LN(2)/25))/(LN(2)/25)*Calculateur!AQ85*Calculateur!AS85*VLOOKUP('Données projet'!$B$10,Paramètres!$A$1:$I$89,3,0)*0.475*44/12</f>
        <v>18.591775605331563</v>
      </c>
      <c r="AW85" s="21">
        <f>EXP(-LN(2)/2)*AW84+(1-EXP(-LN(2)/2))/(LN(2)/2)*AQ85*AT85*VLOOKUP('Données projet'!$B$10,Paramètres!$A$1:$I$89,3,0)*0.475*44/12</f>
        <v>0.49165776529942118</v>
      </c>
      <c r="AX85" s="21">
        <f t="shared" si="60"/>
        <v>58.517971364088318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9.546999999999997</v>
      </c>
      <c r="BD85" s="12">
        <f>IF('Données projet'!$A$88&gt;35,BD84+BC85-BL84,IF(A85&lt;'Données projet'!$A$88,$BA$205^A85,IF(A85='Données projet'!$A$88,'Données projet'!$B$88,BD84+BC85-BL84)))</f>
        <v>335.99600000000044</v>
      </c>
      <c r="BE85" s="13">
        <f>BD85*VLOOKUP('Données projet'!$B$11,Paramètres!$A$1:$I$89,3,0)*VLOOKUP('Données projet'!$B$11,Paramètres!$A$1:$I$89,5,0)</f>
        <v>304.00918080000037</v>
      </c>
      <c r="BF85" s="13">
        <f t="shared" si="91"/>
        <v>72.016291285794935</v>
      </c>
      <c r="BG85" s="20">
        <f t="shared" si="61"/>
        <v>654.91103054942675</v>
      </c>
      <c r="BH85" s="59">
        <f t="shared" si="62"/>
        <v>926.41712218141379</v>
      </c>
      <c r="BI85" s="59">
        <f ca="1">AVERAGE(OFFSET($BH$3,0,0,'Données projet'!$E$11+1,1))-AVERAGE(OFFSET($H$3,0,0,'Données projet'!$E$11+1,1))</f>
        <v>681.47578137804555</v>
      </c>
      <c r="BJ85" s="59">
        <f t="shared" si="92"/>
        <v>300.88511065995885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12.482269075127244</v>
      </c>
      <c r="BQ85" s="21">
        <f>EXP(-LN(2)/25)*BQ84+(1-EXP(-LN(2)/25))/(LN(2)/25)*Calculateur!BL85*Calculateur!BN85*VLOOKUP('Données projet'!$B$11,Paramètres!$A$1:$I$89,3,0)*0.475*44/12</f>
        <v>25.225162515036608</v>
      </c>
      <c r="BR85" s="21">
        <f>EXP(-LN(2)/2)*BR84+(1-EXP(-LN(2)/2))/(LN(2)/2)*BL85*BO85*VLOOKUP('Données projet'!$B$11,Paramètres!$A$1:$I$89,3,0)*0.475*44/12</f>
        <v>0.29393025034219911</v>
      </c>
      <c r="BS85" s="22">
        <f t="shared" si="63"/>
        <v>38.00136184050605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2.0512820512820498</v>
      </c>
      <c r="BY85" s="12">
        <f>IF('Données projet'!$A$114&gt;35,BY84+BX85-CG84,IF(A85&lt;'Données projet'!$A$114,$BV$205^A85,IF(A85='Données projet'!$A$114,'Données projet'!$B$114,BY84+BX85-CG84)))</f>
        <v>141.28205128205138</v>
      </c>
      <c r="BZ85" s="13">
        <f>BY85*VLOOKUP('Données projet'!$B$12,Paramètres!$A$1:$I$89,3,0)*VLOOKUP('Données projet'!$B$12,Paramètres!$A$1:$I$89,5,0)</f>
        <v>147.66800000000012</v>
      </c>
      <c r="CA85" s="13">
        <f t="shared" si="93"/>
        <v>38.04814794346445</v>
      </c>
      <c r="CB85" s="20">
        <f t="shared" si="64"/>
        <v>323.45562433486742</v>
      </c>
      <c r="CC85" s="59">
        <f t="shared" si="65"/>
        <v>594.9617159668544</v>
      </c>
      <c r="CD85" s="59">
        <f ca="1">AVERAGE(OFFSET($CC$3,0,0,'Données projet'!$E$12+1,1))-AVERAGE(OFFSET($H$3,0,0,'Données projet'!$E$12+1,1))</f>
        <v>290.69667785754848</v>
      </c>
      <c r="CE85" s="59">
        <f t="shared" si="94"/>
        <v>256.28124185489082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2.318527007218727</v>
      </c>
      <c r="CL85" s="21">
        <f>EXP(-LN(2)/25)*CL84+(1-EXP(-LN(2)/25))/(LN(2)/25)*Calculateur!CG85*Calculateur!CI85*VLOOKUP('Données projet'!$B$12,Paramètres!$A$1:$I$89,3,0)*0.475*44/12</f>
        <v>17.946838157927278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20.265365165146005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408.246209980743</v>
      </c>
      <c r="CZ85" s="59">
        <f t="shared" si="96"/>
        <v>394.10236303013903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54.861775395606529</v>
      </c>
      <c r="DG85" s="21">
        <f>EXP(-LN(2)/25)*DG84+(1-EXP(-LN(2)/25))/(LN(2)/25)*Calculateur!DB85*Calculateur!DD85*VLOOKUP('Données projet'!$B$13,Paramètres!$A$1:$I$89,3,0)*0.475*44/12</f>
        <v>53.315539156301114</v>
      </c>
      <c r="DH85" s="21">
        <f>EXP(-LN(2)/2)*DH84+(1-EXP(-LN(2)/2))/(LN(2)/2)*DB85*DE85*VLOOKUP('Données projet'!$B$13,Paramètres!$A$1:$I$89,3,0)*0.475*44/12</f>
        <v>34.270529288690788</v>
      </c>
      <c r="DI85" s="22">
        <f t="shared" si="69"/>
        <v>142.44784384059844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5.6843418860808015E-13</v>
      </c>
      <c r="DP85" s="17">
        <f>DO85*VLOOKUP('Données projet'!$B$14,Paramètres!$A$1:$I$89,3,0)*VLOOKUP('Données projet'!$B$14,Paramètres!$A$1:$I$89,5,0)</f>
        <v>3.177547114319168E-13</v>
      </c>
      <c r="DQ85" s="13">
        <f t="shared" si="97"/>
        <v>4.1725404435445377E-12</v>
      </c>
      <c r="DR85" s="20">
        <f t="shared" si="70"/>
        <v>7.820597394917325E-12</v>
      </c>
      <c r="DS85" s="59">
        <f t="shared" si="71"/>
        <v>271.50609163199488</v>
      </c>
      <c r="DT85" s="59">
        <f ca="1">AVERAGE(OFFSET($DS$3,0,0,'Données projet'!$E$14+1,1))-AVERAGE(OFFSET($H$3,0,0,'Données projet'!$E$14+1,1))</f>
        <v>407.05634973057056</v>
      </c>
      <c r="DU85" s="59">
        <f t="shared" si="98"/>
        <v>375.32891954889965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181.94034425576862</v>
      </c>
      <c r="EB85" s="21">
        <f>EXP(-LN(2)/25)*EB84+(1-EXP(-LN(2)/25))/(LN(2)/25)*Calculateur!DW85*Calculateur!DY85*VLOOKUP('Données projet'!$B$14,Paramètres!$A$1:$I$89,3,0)*0.475*44/12</f>
        <v>55.033299007732303</v>
      </c>
      <c r="EC85" s="21">
        <f>EXP(-LN(2)/2)*EC84+(1-EXP(-LN(2)/2))/(LN(2)/2)*DW85*DZ85*VLOOKUP('Données projet'!$B$14,Paramètres!$A$1:$I$89,3,0)*0.475*44/12</f>
        <v>1.1797738175440611</v>
      </c>
      <c r="ED85" s="22">
        <f t="shared" si="72"/>
        <v>238.15341708104498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1.1368683772161603E-13</v>
      </c>
      <c r="EK85" s="17">
        <f>EJ85*VLOOKUP('Données projet'!$B$15,Paramètres!$A$1:$I$89,3,0)*VLOOKUP('Données projet'!$B$15,Paramètres!$A$1:$I$89,5,0)</f>
        <v>5.0249582272954292E-14</v>
      </c>
      <c r="EL85" s="13">
        <f t="shared" si="99"/>
        <v>8.1784820119191593E-13</v>
      </c>
      <c r="EM85" s="20">
        <f t="shared" si="73"/>
        <v>1.5119369728679821E-12</v>
      </c>
      <c r="EN85" s="59">
        <f t="shared" si="74"/>
        <v>271.50609163198857</v>
      </c>
      <c r="EO85" s="59">
        <f ca="1">AVERAGE(OFFSET($EN$3,0,0,'Données projet'!$E$15+1,1))-AVERAGE(OFFSET($H$3,0,0,'Données projet'!$E$15+1,1))</f>
        <v>418.28022549686278</v>
      </c>
      <c r="EP85" s="59">
        <f t="shared" si="100"/>
        <v>354.55070454517158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198.60916734686825</v>
      </c>
      <c r="EW85" s="21">
        <f>EXP(-LN(2)/25)*EW84+(1-EXP(-LN(2)/25))/(LN(2)/25)*Calculateur!ER85*Calculateur!ET85*VLOOKUP('Données projet'!$B$15,Paramètres!$A$1:$I$89,3,0)*0.475*44/12</f>
        <v>68.017687276653419</v>
      </c>
      <c r="EX85" s="21">
        <f>EXP(-LN(2)/2)*EX84+(1-EXP(-LN(2)/2))/(LN(2)/2)*ER85*EU85*VLOOKUP('Données projet'!$B$15,Paramètres!$A$1:$I$89,3,0)*0.475*44/12</f>
        <v>39.301945584162667</v>
      </c>
      <c r="EY85" s="22">
        <f t="shared" si="75"/>
        <v>305.92880020768439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6.7444444444444462</v>
      </c>
      <c r="FE85" s="12">
        <f>IF('Données projet'!$A$218&gt;35,FE84+FD85-FM84,IF(A85&lt;'Données projet'!$A$218,$FB$205^A85,IF(A85='Données projet'!$A$218,'Données projet'!$B$218,FE84+FD85-FM84)))</f>
        <v>202.29222222222222</v>
      </c>
      <c r="FF85" s="17">
        <f>FE85*VLOOKUP('Données projet'!$B$16,Paramètres!$A$1:$I$89,3,0)*VLOOKUP('Données projet'!$B$16,Paramètres!$A$1:$I$89,5,0)</f>
        <v>230.37038266666667</v>
      </c>
      <c r="FG85" s="13">
        <f t="shared" si="101"/>
        <v>56.362759421880078</v>
      </c>
      <c r="FH85" s="20">
        <f t="shared" si="76"/>
        <v>499.39355580421892</v>
      </c>
      <c r="FI85" s="59">
        <f t="shared" si="77"/>
        <v>770.8996474362059</v>
      </c>
      <c r="FJ85" s="59">
        <f ca="1">AVERAGE(OFFSET($FI$3,0,0,'Données projet'!$E$16+1,1))-AVERAGE(OFFSET($H$3,0,0,'Données projet'!$E$16+1,1))</f>
        <v>640.05156427113661</v>
      </c>
      <c r="FK85" s="59">
        <f t="shared" si="102"/>
        <v>308.77220155372902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42.529234280965596</v>
      </c>
      <c r="FS85" s="21">
        <f>EXP(-LN(2)/2)*FS84+(1-EXP(-LN(2)/2))/(LN(2)/2)*FM85*FP85*VLOOKUP('Données projet'!$B$16,Paramètres!$A$1:$I$89,3,0)*0.475*44/12</f>
        <v>1.3976127785767523</v>
      </c>
      <c r="FT85" s="22">
        <f t="shared" si="78"/>
        <v>43.926847059542347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6.7984728957526396E-14</v>
      </c>
      <c r="P86" s="13">
        <f t="shared" si="87"/>
        <v>1.0682447123141398E-12</v>
      </c>
      <c r="Q86" s="20">
        <f t="shared" si="54"/>
        <v>1.978932943548152E-12</v>
      </c>
      <c r="R86" s="59">
        <f t="shared" si="55"/>
        <v>271.88474547710547</v>
      </c>
      <c r="S86" s="59">
        <f ca="1">AVERAGE(OFFSET($R$3,0,0,'Données projet'!$E$9+1,1))-AVERAGE(OFFSET($H$3,0,0,'Données projet'!$E$9+1,1))</f>
        <v>318.50474972254085</v>
      </c>
      <c r="T86" s="59">
        <f t="shared" si="88"/>
        <v>326.45858332753562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88.061471323781774</v>
      </c>
      <c r="AA86" s="21">
        <f>EXP(-LN(2)/25)*AA85+(1-EXP(-LN(2)/25))/(LN(2)/25)*Calculateur!V86*Calculateur!X86*VLOOKUP('Données projet'!$B$9,Paramètres!$A$1:$I$89,3,0)*0.475*44/12</f>
        <v>25.601250585262896</v>
      </c>
      <c r="AB86" s="21">
        <f>EXP(-LN(2)/2)*AB85+(1-EXP(-LN(2)/2))/(LN(2)/2)*V86*Y86*VLOOKUP('Données projet'!$B$9,Paramètres!$A$1:$I$89,3,0)*0.475*44/12</f>
        <v>2.0702706460020842E-2</v>
      </c>
      <c r="AC86" s="22">
        <f t="shared" si="57"/>
        <v>113.68342461550469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11.117500000000001</v>
      </c>
      <c r="AI86" s="13">
        <f>IF('Données projet'!$A$62&gt;35,AI85+AH86-AQ85,IF(A86&lt;'Données projet'!$A$62,$AF$205^A86,IF(A86='Données projet'!$A$62,'Données projet'!$B$62,AI85+AH86-AQ85)))</f>
        <v>402.92499999999995</v>
      </c>
      <c r="AJ86" s="13">
        <f>AI86*VLOOKUP('Données projet'!$B$10,Paramètres!$A$1:$I$89,3,0)*VLOOKUP('Données projet'!$B$10,Paramètres!$A$1:$I$89,5,0)</f>
        <v>188.56889999999996</v>
      </c>
      <c r="AK86" s="13">
        <f t="shared" si="89"/>
        <v>47.223417871971755</v>
      </c>
      <c r="AL86" s="20">
        <f t="shared" si="58"/>
        <v>410.67162029368404</v>
      </c>
      <c r="AM86" s="59">
        <f t="shared" si="59"/>
        <v>682.55636577078758</v>
      </c>
      <c r="AN86" s="59">
        <f ca="1">AVERAGE(OFFSET($AM$3,0,0,'Données projet'!$E$10+1,1))-AVERAGE(OFFSET($H$3,0,0,'Données projet'!$E$10+1,1))</f>
        <v>374.38106339726073</v>
      </c>
      <c r="AO86" s="59">
        <f t="shared" si="90"/>
        <v>296.53283288925957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38.661250756098802</v>
      </c>
      <c r="AV86" s="21">
        <f>EXP(-LN(2)/25)*AV85+(1-EXP(-LN(2)/25))/(LN(2)/25)*Calculateur!AQ86*Calculateur!AS86*VLOOKUP('Données projet'!$B$10,Paramètres!$A$1:$I$89,3,0)*0.475*44/12</f>
        <v>18.083382523704785</v>
      </c>
      <c r="AW86" s="21">
        <f>EXP(-LN(2)/2)*AW85+(1-EXP(-LN(2)/2))/(LN(2)/2)*AQ86*AT86*VLOOKUP('Données projet'!$B$10,Paramètres!$A$1:$I$89,3,0)*0.475*44/12</f>
        <v>0.34765453986624478</v>
      </c>
      <c r="AX86" s="21">
        <f t="shared" si="60"/>
        <v>57.092287819669835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9.546999999999997</v>
      </c>
      <c r="BD86" s="12">
        <f>IF('Données projet'!$A$88&gt;35,BD85+BC86-BL85,IF(A86&lt;'Données projet'!$A$88,$BA$205^A86,IF(A86='Données projet'!$A$88,'Données projet'!$B$88,BD85+BC86-BL85)))</f>
        <v>345.54300000000046</v>
      </c>
      <c r="BE86" s="13">
        <f>BD86*VLOOKUP('Données projet'!$B$11,Paramètres!$A$1:$I$89,3,0)*VLOOKUP('Données projet'!$B$11,Paramètres!$A$1:$I$89,5,0)</f>
        <v>312.64730640000039</v>
      </c>
      <c r="BF86" s="13">
        <f t="shared" si="91"/>
        <v>73.821419204446315</v>
      </c>
      <c r="BG86" s="20">
        <f t="shared" si="61"/>
        <v>673.09969709441123</v>
      </c>
      <c r="BH86" s="59">
        <f t="shared" si="62"/>
        <v>944.98444257151471</v>
      </c>
      <c r="BI86" s="59">
        <f ca="1">AVERAGE(OFFSET($BH$3,0,0,'Données projet'!$E$11+1,1))-AVERAGE(OFFSET($H$3,0,0,'Données projet'!$E$11+1,1))</f>
        <v>681.47578137804555</v>
      </c>
      <c r="BJ86" s="59">
        <f t="shared" si="92"/>
        <v>300.88511065995885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12.237499391996371</v>
      </c>
      <c r="BQ86" s="21">
        <f>EXP(-LN(2)/25)*BQ85+(1-EXP(-LN(2)/25))/(LN(2)/25)*Calculateur!BL86*Calculateur!BN86*VLOOKUP('Données projet'!$B$11,Paramètres!$A$1:$I$89,3,0)*0.475*44/12</f>
        <v>24.535379119529289</v>
      </c>
      <c r="BR86" s="21">
        <f>EXP(-LN(2)/2)*BR85+(1-EXP(-LN(2)/2))/(LN(2)/2)*BL86*BO86*VLOOKUP('Données projet'!$B$11,Paramètres!$A$1:$I$89,3,0)*0.475*44/12</f>
        <v>0.20784007321282855</v>
      </c>
      <c r="BS86" s="22">
        <f t="shared" si="63"/>
        <v>36.98071858473849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2.0512820512820498</v>
      </c>
      <c r="BY86" s="12">
        <f>IF('Données projet'!$A$114&gt;35,BY85+BX86-CG85,IF(A86&lt;'Données projet'!$A$114,$BV$205^A86,IF(A86='Données projet'!$A$114,'Données projet'!$B$114,BY85+BX86-CG85)))</f>
        <v>143.33333333333343</v>
      </c>
      <c r="BZ86" s="13">
        <f>BY86*VLOOKUP('Données projet'!$B$12,Paramètres!$A$1:$I$89,3,0)*VLOOKUP('Données projet'!$B$12,Paramètres!$A$1:$I$89,5,0)</f>
        <v>149.81200000000013</v>
      </c>
      <c r="CA86" s="13">
        <f t="shared" si="93"/>
        <v>38.535858828351088</v>
      </c>
      <c r="CB86" s="20">
        <f t="shared" si="64"/>
        <v>328.0391874593783</v>
      </c>
      <c r="CC86" s="59">
        <f t="shared" si="65"/>
        <v>599.92393293648183</v>
      </c>
      <c r="CD86" s="59">
        <f ca="1">AVERAGE(OFFSET($CC$3,0,0,'Données projet'!$E$12+1,1))-AVERAGE(OFFSET($H$3,0,0,'Données projet'!$E$12+1,1))</f>
        <v>290.69667785754848</v>
      </c>
      <c r="CE86" s="59">
        <f t="shared" si="94"/>
        <v>256.28124185489082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2.2730621067690051</v>
      </c>
      <c r="CL86" s="21">
        <f>EXP(-LN(2)/25)*CL85+(1-EXP(-LN(2)/25))/(LN(2)/25)*Calculateur!CG86*Calculateur!CI86*VLOOKUP('Données projet'!$B$12,Paramètres!$A$1:$I$89,3,0)*0.475*44/12</f>
        <v>17.456080924715558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19.729143031484561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408.246209980743</v>
      </c>
      <c r="CZ86" s="59">
        <f t="shared" si="96"/>
        <v>394.10236303013903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53.785969442477537</v>
      </c>
      <c r="DG86" s="21">
        <f>EXP(-LN(2)/25)*DG85+(1-EXP(-LN(2)/25))/(LN(2)/25)*Calculateur!DB86*Calculateur!DD86*VLOOKUP('Données projet'!$B$13,Paramètres!$A$1:$I$89,3,0)*0.475*44/12</f>
        <v>51.857622934329711</v>
      </c>
      <c r="DH86" s="21">
        <f>EXP(-LN(2)/2)*DH85+(1-EXP(-LN(2)/2))/(LN(2)/2)*DB86*DE86*VLOOKUP('Données projet'!$B$13,Paramètres!$A$1:$I$89,3,0)*0.475*44/12</f>
        <v>24.232923654885447</v>
      </c>
      <c r="DI86" s="22">
        <f t="shared" si="69"/>
        <v>129.87651603169269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5.6843418860808015E-13</v>
      </c>
      <c r="DP86" s="17">
        <f>DO86*VLOOKUP('Données projet'!$B$14,Paramètres!$A$1:$I$89,3,0)*VLOOKUP('Données projet'!$B$14,Paramètres!$A$1:$I$89,5,0)</f>
        <v>3.177547114319168E-13</v>
      </c>
      <c r="DQ86" s="13">
        <f t="shared" si="97"/>
        <v>4.1725404435445377E-12</v>
      </c>
      <c r="DR86" s="20">
        <f t="shared" si="70"/>
        <v>7.820597394917325E-12</v>
      </c>
      <c r="DS86" s="59">
        <f t="shared" si="71"/>
        <v>271.88474547711132</v>
      </c>
      <c r="DT86" s="59">
        <f ca="1">AVERAGE(OFFSET($DS$3,0,0,'Données projet'!$E$14+1,1))-AVERAGE(OFFSET($H$3,0,0,'Données projet'!$E$14+1,1))</f>
        <v>407.05634973057056</v>
      </c>
      <c r="DU86" s="59">
        <f t="shared" si="98"/>
        <v>375.32891954889965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178.37260507756537</v>
      </c>
      <c r="EB86" s="21">
        <f>EXP(-LN(2)/25)*EB85+(1-EXP(-LN(2)/25))/(LN(2)/25)*Calculateur!DW86*Calculateur!DY86*VLOOKUP('Données projet'!$B$14,Paramètres!$A$1:$I$89,3,0)*0.475*44/12</f>
        <v>53.528410552290445</v>
      </c>
      <c r="EC86" s="21">
        <f>EXP(-LN(2)/2)*EC85+(1-EXP(-LN(2)/2))/(LN(2)/2)*DW86*DZ86*VLOOKUP('Données projet'!$B$14,Paramètres!$A$1:$I$89,3,0)*0.475*44/12</f>
        <v>0.83422606665174626</v>
      </c>
      <c r="ED86" s="22">
        <f t="shared" si="72"/>
        <v>232.73524169650756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1.1368683772161603E-13</v>
      </c>
      <c r="EK86" s="17">
        <f>EJ86*VLOOKUP('Données projet'!$B$15,Paramètres!$A$1:$I$89,3,0)*VLOOKUP('Données projet'!$B$15,Paramètres!$A$1:$I$89,5,0)</f>
        <v>5.0249582272954292E-14</v>
      </c>
      <c r="EL86" s="13">
        <f t="shared" si="99"/>
        <v>8.1784820119191593E-13</v>
      </c>
      <c r="EM86" s="20">
        <f t="shared" si="73"/>
        <v>1.5119369728679821E-12</v>
      </c>
      <c r="EN86" s="59">
        <f t="shared" si="74"/>
        <v>271.88474547710501</v>
      </c>
      <c r="EO86" s="59">
        <f ca="1">AVERAGE(OFFSET($EN$3,0,0,'Données projet'!$E$15+1,1))-AVERAGE(OFFSET($H$3,0,0,'Données projet'!$E$15+1,1))</f>
        <v>418.28022549686278</v>
      </c>
      <c r="EP86" s="59">
        <f t="shared" si="100"/>
        <v>354.55070454517158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194.71456271482668</v>
      </c>
      <c r="EW86" s="21">
        <f>EXP(-LN(2)/25)*EW85+(1-EXP(-LN(2)/25))/(LN(2)/25)*Calculateur!ER86*Calculateur!ET86*VLOOKUP('Données projet'!$B$15,Paramètres!$A$1:$I$89,3,0)*0.475*44/12</f>
        <v>66.157740041178613</v>
      </c>
      <c r="EX86" s="21">
        <f>EXP(-LN(2)/2)*EX85+(1-EXP(-LN(2)/2))/(LN(2)/2)*ER86*EU86*VLOOKUP('Données projet'!$B$15,Paramètres!$A$1:$I$89,3,0)*0.475*44/12</f>
        <v>27.790672236386111</v>
      </c>
      <c r="EY86" s="22">
        <f t="shared" si="75"/>
        <v>288.66297499239141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6.7444444444444462</v>
      </c>
      <c r="FE86" s="12">
        <f>IF('Données projet'!$A$218&gt;35,FE85+FD86-FM85,IF(A86&lt;'Données projet'!$A$218,$FB$205^A86,IF(A86='Données projet'!$A$218,'Données projet'!$B$218,FE85+FD86-FM85)))</f>
        <v>209.03666666666666</v>
      </c>
      <c r="FF86" s="17">
        <f>FE86*VLOOKUP('Données projet'!$B$16,Paramètres!$A$1:$I$89,3,0)*VLOOKUP('Données projet'!$B$16,Paramètres!$A$1:$I$89,5,0)</f>
        <v>238.05095600000001</v>
      </c>
      <c r="FG86" s="13">
        <f t="shared" si="101"/>
        <v>58.019985368316512</v>
      </c>
      <c r="FH86" s="20">
        <f t="shared" si="76"/>
        <v>515.65688954981795</v>
      </c>
      <c r="FI86" s="59">
        <f t="shared" si="77"/>
        <v>787.54163502692143</v>
      </c>
      <c r="FJ86" s="59">
        <f ca="1">AVERAGE(OFFSET($FI$3,0,0,'Données projet'!$E$16+1,1))-AVERAGE(OFFSET($H$3,0,0,'Données projet'!$E$16+1,1))</f>
        <v>640.05156427113661</v>
      </c>
      <c r="FK86" s="59">
        <f t="shared" si="102"/>
        <v>308.77220155372902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41.366270133037361</v>
      </c>
      <c r="FS86" s="21">
        <f>EXP(-LN(2)/2)*FS85+(1-EXP(-LN(2)/2))/(LN(2)/2)*FM86*FP86*VLOOKUP('Données projet'!$B$16,Paramètres!$A$1:$I$89,3,0)*0.475*44/12</f>
        <v>0.98826147320459434</v>
      </c>
      <c r="FT86" s="22">
        <f t="shared" si="78"/>
        <v>42.354531606241956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6.7984728957526396E-14</v>
      </c>
      <c r="P87" s="13">
        <f t="shared" si="87"/>
        <v>1.0682447123141398E-12</v>
      </c>
      <c r="Q87" s="20">
        <f t="shared" si="54"/>
        <v>1.978932943548152E-12</v>
      </c>
      <c r="R87" s="59">
        <f t="shared" si="55"/>
        <v>272.2568305245523</v>
      </c>
      <c r="S87" s="59">
        <f ca="1">AVERAGE(OFFSET($R$3,0,0,'Données projet'!$E$9+1,1))-AVERAGE(OFFSET($H$3,0,0,'Données projet'!$E$9+1,1))</f>
        <v>318.50474972254085</v>
      </c>
      <c r="T87" s="59">
        <f t="shared" si="88"/>
        <v>326.45858332753562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86.334639583316289</v>
      </c>
      <c r="AA87" s="21">
        <f>EXP(-LN(2)/25)*AA86+(1-EXP(-LN(2)/25))/(LN(2)/25)*Calculateur!V87*Calculateur!X87*VLOOKUP('Données projet'!$B$9,Paramètres!$A$1:$I$89,3,0)*0.475*44/12</f>
        <v>24.901183041697628</v>
      </c>
      <c r="AB87" s="21">
        <f>EXP(-LN(2)/2)*AB86+(1-EXP(-LN(2)/2))/(LN(2)/2)*V87*Y87*VLOOKUP('Données projet'!$B$9,Paramètres!$A$1:$I$89,3,0)*0.475*44/12</f>
        <v>1.4639024126795283E-2</v>
      </c>
      <c r="AC87" s="22">
        <f t="shared" si="57"/>
        <v>111.25046164914072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11.117500000000001</v>
      </c>
      <c r="AI87" s="13">
        <f>IF('Données projet'!$A$62&gt;35,AI86+AH87-AQ86,IF(A87&lt;'Données projet'!$A$62,$AF$205^A87,IF(A87='Données projet'!$A$62,'Données projet'!$B$62,AI86+AH87-AQ86)))</f>
        <v>414.04249999999996</v>
      </c>
      <c r="AJ87" s="13">
        <f>AI87*VLOOKUP('Données projet'!$B$10,Paramètres!$A$1:$I$89,3,0)*VLOOKUP('Données projet'!$B$10,Paramètres!$A$1:$I$89,5,0)</f>
        <v>193.77188999999998</v>
      </c>
      <c r="AK87" s="13">
        <f t="shared" si="89"/>
        <v>48.372907727823183</v>
      </c>
      <c r="AL87" s="20">
        <f t="shared" si="58"/>
        <v>421.73552270929196</v>
      </c>
      <c r="AM87" s="59">
        <f t="shared" si="59"/>
        <v>693.99235323384232</v>
      </c>
      <c r="AN87" s="59">
        <f ca="1">AVERAGE(OFFSET($AM$3,0,0,'Données projet'!$E$10+1,1))-AVERAGE(OFFSET($H$3,0,0,'Données projet'!$E$10+1,1))</f>
        <v>374.38106339726073</v>
      </c>
      <c r="AO87" s="59">
        <f t="shared" si="90"/>
        <v>296.53283288925957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37.903127209806229</v>
      </c>
      <c r="AV87" s="21">
        <f>EXP(-LN(2)/25)*AV86+(1-EXP(-LN(2)/25))/(LN(2)/25)*Calculateur!AQ87*Calculateur!AS87*VLOOKUP('Données projet'!$B$10,Paramètres!$A$1:$I$89,3,0)*0.475*44/12</f>
        <v>17.58889147763032</v>
      </c>
      <c r="AW87" s="21">
        <f>EXP(-LN(2)/2)*AW86+(1-EXP(-LN(2)/2))/(LN(2)/2)*AQ87*AT87*VLOOKUP('Données projet'!$B$10,Paramètres!$A$1:$I$89,3,0)*0.475*44/12</f>
        <v>0.24582888264971062</v>
      </c>
      <c r="AX87" s="21">
        <f t="shared" si="60"/>
        <v>55.737847570086259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9.546999999999997</v>
      </c>
      <c r="BC87" s="12">
        <f t="array" ref="BC87">INDEX(BB:BB,MIN(IF(ISNUMBER(BB87:BB283),ROW(BB87:BB283),"")))</f>
        <v>9.546999999999997</v>
      </c>
      <c r="BD87" s="12">
        <f>IF('Données projet'!$A$88&gt;35,BD86+BC87-BL86,IF(A87&lt;'Données projet'!$A$88,$BA$205^A87,IF(A87='Données projet'!$A$88,'Données projet'!$B$88,BD86+BC87-BL86)))</f>
        <v>355.09000000000049</v>
      </c>
      <c r="BE87" s="13">
        <f>BD87*VLOOKUP('Données projet'!$B$11,Paramètres!$A$1:$I$89,3,0)*VLOOKUP('Données projet'!$B$11,Paramètres!$A$1:$I$89,5,0)</f>
        <v>321.28543200000041</v>
      </c>
      <c r="BF87" s="13">
        <f t="shared" si="91"/>
        <v>75.620750353808944</v>
      </c>
      <c r="BG87" s="20">
        <f t="shared" si="61"/>
        <v>691.27826759955133</v>
      </c>
      <c r="BH87" s="59">
        <f t="shared" si="62"/>
        <v>963.53509812410164</v>
      </c>
      <c r="BI87" s="59">
        <f ca="1">AVERAGE(OFFSET($BH$3,0,0,'Données projet'!$E$11+1,1))-AVERAGE(OFFSET($H$3,0,0,'Données projet'!$E$11+1,1))</f>
        <v>681.47578137804555</v>
      </c>
      <c r="BJ87" s="59">
        <f t="shared" si="92"/>
        <v>300.88511065995885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66.69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22.036678946661006</v>
      </c>
      <c r="BQ87" s="21">
        <f>EXP(-LN(2)/25)*BQ86+(1-EXP(-LN(2)/25))/(LN(2)/25)*Calculateur!BL87*Calculateur!BN87*VLOOKUP('Données projet'!$B$11,Paramètres!$A$1:$I$89,3,0)*0.475*44/12</f>
        <v>29.578527314097339</v>
      </c>
      <c r="BR87" s="21">
        <f>EXP(-LN(2)/2)*BR86+(1-EXP(-LN(2)/2))/(LN(2)/2)*BL87*BO87*VLOOKUP('Données projet'!$B$11,Paramètres!$A$1:$I$89,3,0)*0.475*44/12</f>
        <v>5.8403114480929164</v>
      </c>
      <c r="BS87" s="22">
        <f t="shared" si="63"/>
        <v>57.455517708851261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2.0512820512820498</v>
      </c>
      <c r="BY87" s="12">
        <f>IF('Données projet'!$A$114&gt;35,BY86+BX87-CG86,IF(A87&lt;'Données projet'!$A$114,$BV$205^A87,IF(A87='Données projet'!$A$114,'Données projet'!$B$114,BY86+BX87-CG86)))</f>
        <v>145.38461538461547</v>
      </c>
      <c r="BZ87" s="13">
        <f>BY87*VLOOKUP('Données projet'!$B$12,Paramètres!$A$1:$I$89,3,0)*VLOOKUP('Données projet'!$B$12,Paramètres!$A$1:$I$89,5,0)</f>
        <v>151.9560000000001</v>
      </c>
      <c r="CA87" s="13">
        <f t="shared" si="93"/>
        <v>39.022757915937028</v>
      </c>
      <c r="CB87" s="20">
        <f t="shared" si="64"/>
        <v>332.62133670359054</v>
      </c>
      <c r="CC87" s="59">
        <f t="shared" si="65"/>
        <v>604.87816722814091</v>
      </c>
      <c r="CD87" s="59">
        <f ca="1">AVERAGE(OFFSET($CC$3,0,0,'Données projet'!$E$12+1,1))-AVERAGE(OFFSET($H$3,0,0,'Données projet'!$E$12+1,1))</f>
        <v>290.69667785754848</v>
      </c>
      <c r="CE87" s="59">
        <f t="shared" si="94"/>
        <v>256.28124185489082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2.2284887452862514</v>
      </c>
      <c r="CL87" s="21">
        <f>EXP(-LN(2)/25)*CL86+(1-EXP(-LN(2)/25))/(LN(2)/25)*Calculateur!CG87*Calculateur!CI87*VLOOKUP('Données projet'!$B$12,Paramètres!$A$1:$I$89,3,0)*0.475*44/12</f>
        <v>16.978743473853811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19.207232219140064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408.246209980743</v>
      </c>
      <c r="CZ87" s="59">
        <f t="shared" si="96"/>
        <v>394.10236303013903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52.731259387912566</v>
      </c>
      <c r="DG87" s="21">
        <f>EXP(-LN(2)/25)*DG86+(1-EXP(-LN(2)/25))/(LN(2)/25)*Calculateur!DB87*Calculateur!DD87*VLOOKUP('Données projet'!$B$13,Paramètres!$A$1:$I$89,3,0)*0.475*44/12</f>
        <v>50.439573508116595</v>
      </c>
      <c r="DH87" s="21">
        <f>EXP(-LN(2)/2)*DH86+(1-EXP(-LN(2)/2))/(LN(2)/2)*DB87*DE87*VLOOKUP('Données projet'!$B$13,Paramètres!$A$1:$I$89,3,0)*0.475*44/12</f>
        <v>17.135264644345398</v>
      </c>
      <c r="DI87" s="22">
        <f t="shared" si="69"/>
        <v>120.30609754037457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5.6843418860808015E-13</v>
      </c>
      <c r="DP87" s="17">
        <f>DO87*VLOOKUP('Données projet'!$B$14,Paramètres!$A$1:$I$89,3,0)*VLOOKUP('Données projet'!$B$14,Paramètres!$A$1:$I$89,5,0)</f>
        <v>3.177547114319168E-13</v>
      </c>
      <c r="DQ87" s="13">
        <f t="shared" si="97"/>
        <v>4.1725404435445377E-12</v>
      </c>
      <c r="DR87" s="20">
        <f t="shared" si="70"/>
        <v>7.820597394917325E-12</v>
      </c>
      <c r="DS87" s="59">
        <f t="shared" si="71"/>
        <v>272.25683052455815</v>
      </c>
      <c r="DT87" s="59">
        <f ca="1">AVERAGE(OFFSET($DS$3,0,0,'Données projet'!$E$14+1,1))-AVERAGE(OFFSET($H$3,0,0,'Données projet'!$E$14+1,1))</f>
        <v>407.05634973057056</v>
      </c>
      <c r="DU87" s="59">
        <f t="shared" si="98"/>
        <v>375.32891954889965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174.87482708854066</v>
      </c>
      <c r="EB87" s="21">
        <f>EXP(-LN(2)/25)*EB86+(1-EXP(-LN(2)/25))/(LN(2)/25)*Calculateur!DW87*Calculateur!DY87*VLOOKUP('Données projet'!$B$14,Paramètres!$A$1:$I$89,3,0)*0.475*44/12</f>
        <v>52.064673350801293</v>
      </c>
      <c r="EC87" s="21">
        <f>EXP(-LN(2)/2)*EC86+(1-EXP(-LN(2)/2))/(LN(2)/2)*DW87*DZ87*VLOOKUP('Données projet'!$B$14,Paramètres!$A$1:$I$89,3,0)*0.475*44/12</f>
        <v>0.58988690877203054</v>
      </c>
      <c r="ED87" s="22">
        <f t="shared" si="72"/>
        <v>227.52938734811397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1.1368683772161603E-13</v>
      </c>
      <c r="EK87" s="17">
        <f>EJ87*VLOOKUP('Données projet'!$B$15,Paramètres!$A$1:$I$89,3,0)*VLOOKUP('Données projet'!$B$15,Paramètres!$A$1:$I$89,5,0)</f>
        <v>5.0249582272954292E-14</v>
      </c>
      <c r="EL87" s="13">
        <f t="shared" si="99"/>
        <v>8.1784820119191593E-13</v>
      </c>
      <c r="EM87" s="20">
        <f t="shared" si="73"/>
        <v>1.5119369728679821E-12</v>
      </c>
      <c r="EN87" s="59">
        <f t="shared" si="74"/>
        <v>272.25683052455184</v>
      </c>
      <c r="EO87" s="59">
        <f ca="1">AVERAGE(OFFSET($EN$3,0,0,'Données projet'!$E$15+1,1))-AVERAGE(OFFSET($H$3,0,0,'Données projet'!$E$15+1,1))</f>
        <v>418.28022549686278</v>
      </c>
      <c r="EP87" s="59">
        <f t="shared" si="100"/>
        <v>354.55070454517158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190.89632890414521</v>
      </c>
      <c r="EW87" s="21">
        <f>EXP(-LN(2)/25)*EW86+(1-EXP(-LN(2)/25))/(LN(2)/25)*Calculateur!ER87*Calculateur!ET87*VLOOKUP('Données projet'!$B$15,Paramètres!$A$1:$I$89,3,0)*0.475*44/12</f>
        <v>64.348653160668235</v>
      </c>
      <c r="EX87" s="21">
        <f>EXP(-LN(2)/2)*EX86+(1-EXP(-LN(2)/2))/(LN(2)/2)*ER87*EU87*VLOOKUP('Données projet'!$B$15,Paramètres!$A$1:$I$89,3,0)*0.475*44/12</f>
        <v>19.650972792081337</v>
      </c>
      <c r="EY87" s="22">
        <f t="shared" si="75"/>
        <v>274.89595485689478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6.7444444444444462</v>
      </c>
      <c r="FE87" s="12">
        <f>IF('Données projet'!$A$218&gt;35,FE86+FD87-FM86,IF(A87&lt;'Données projet'!$A$218,$FB$205^A87,IF(A87='Données projet'!$A$218,'Données projet'!$B$218,FE86+FD87-FM86)))</f>
        <v>215.7811111111111</v>
      </c>
      <c r="FF87" s="17">
        <f>FE87*VLOOKUP('Données projet'!$B$16,Paramètres!$A$1:$I$89,3,0)*VLOOKUP('Données projet'!$B$16,Paramètres!$A$1:$I$89,5,0)</f>
        <v>245.73152933333333</v>
      </c>
      <c r="FG87" s="13">
        <f t="shared" si="101"/>
        <v>59.67099800837255</v>
      </c>
      <c r="FH87" s="20">
        <f t="shared" si="76"/>
        <v>531.90940178680432</v>
      </c>
      <c r="FI87" s="59">
        <f t="shared" si="77"/>
        <v>804.16623231135463</v>
      </c>
      <c r="FJ87" s="59">
        <f ca="1">AVERAGE(OFFSET($FI$3,0,0,'Données projet'!$E$16+1,1))-AVERAGE(OFFSET($H$3,0,0,'Données projet'!$E$16+1,1))</f>
        <v>640.05156427113661</v>
      </c>
      <c r="FK87" s="59">
        <f t="shared" si="102"/>
        <v>308.77220155372902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40.235107300891855</v>
      </c>
      <c r="FS87" s="21">
        <f>EXP(-LN(2)/2)*FS86+(1-EXP(-LN(2)/2))/(LN(2)/2)*FM87*FP87*VLOOKUP('Données projet'!$B$16,Paramètres!$A$1:$I$89,3,0)*0.475*44/12</f>
        <v>0.69880638928837624</v>
      </c>
      <c r="FT87" s="22">
        <f t="shared" si="78"/>
        <v>40.933913690180233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6.7984728957526396E-14</v>
      </c>
      <c r="P88" s="13">
        <f t="shared" si="87"/>
        <v>1.0682447123141398E-12</v>
      </c>
      <c r="Q88" s="20">
        <f t="shared" si="54"/>
        <v>1.978932943548152E-12</v>
      </c>
      <c r="R88" s="59">
        <f t="shared" si="55"/>
        <v>272.6224607282835</v>
      </c>
      <c r="S88" s="59">
        <f ca="1">AVERAGE(OFFSET($R$3,0,0,'Données projet'!$E$9+1,1))-AVERAGE(OFFSET($H$3,0,0,'Données projet'!$E$9+1,1))</f>
        <v>318.50474972254085</v>
      </c>
      <c r="T88" s="59">
        <f t="shared" si="88"/>
        <v>326.45858332753562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84.641669960017964</v>
      </c>
      <c r="AA88" s="21">
        <f>EXP(-LN(2)/25)*AA87+(1-EXP(-LN(2)/25))/(LN(2)/25)*Calculateur!V88*Calculateur!X88*VLOOKUP('Données projet'!$B$9,Paramètres!$A$1:$I$89,3,0)*0.475*44/12</f>
        <v>24.220258881926103</v>
      </c>
      <c r="AB88" s="21">
        <f>EXP(-LN(2)/2)*AB87+(1-EXP(-LN(2)/2))/(LN(2)/2)*V88*Y88*VLOOKUP('Données projet'!$B$9,Paramètres!$A$1:$I$89,3,0)*0.475*44/12</f>
        <v>1.0351353230010423E-2</v>
      </c>
      <c r="AC88" s="22">
        <f t="shared" si="57"/>
        <v>108.87228019517407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425.16</v>
      </c>
      <c r="AG88" s="12">
        <f>VLOOKUP(A88,'Données projet'!$A$61:$I$81,9,0)</f>
        <v>11.117500000000001</v>
      </c>
      <c r="AH88" s="12">
        <f t="array" ref="AH88">INDEX(AG:AG,MIN(IF(ISNUMBER(AG88:AG284),ROW(AG88:AG284),"")))</f>
        <v>11.117500000000001</v>
      </c>
      <c r="AI88" s="13">
        <f>IF('Données projet'!$A$62&gt;35,AI87+AH88-AQ87,IF(A88&lt;'Données projet'!$A$62,$AF$205^A88,IF(A88='Données projet'!$A$62,'Données projet'!$B$62,AI87+AH88-AQ87)))</f>
        <v>425.15999999999997</v>
      </c>
      <c r="AJ88" s="13">
        <f>AI88*VLOOKUP('Données projet'!$B$10,Paramètres!$A$1:$I$89,3,0)*VLOOKUP('Données projet'!$B$10,Paramètres!$A$1:$I$89,5,0)</f>
        <v>198.97487999999998</v>
      </c>
      <c r="AK88" s="13">
        <f t="shared" si="89"/>
        <v>49.518810041794701</v>
      </c>
      <c r="AL88" s="20">
        <f t="shared" si="58"/>
        <v>432.79317682279242</v>
      </c>
      <c r="AM88" s="59">
        <f t="shared" si="59"/>
        <v>705.41563755107393</v>
      </c>
      <c r="AN88" s="59">
        <f ca="1">AVERAGE(OFFSET($AM$3,0,0,'Données projet'!$E$10+1,1))-AVERAGE(OFFSET($H$3,0,0,'Données projet'!$E$10+1,1))</f>
        <v>374.38106339726073</v>
      </c>
      <c r="AO88" s="59">
        <f t="shared" si="90"/>
        <v>296.53283288925957</v>
      </c>
      <c r="AP88" s="15">
        <f>IF(ISNA(VLOOKUP(A88,'Données projet'!$A$61:$I$81,3,0)),0,VLOOKUP(A88,'Données projet'!$A$61:$I$81,3,0))</f>
        <v>4</v>
      </c>
      <c r="AQ88" s="15">
        <f>IF(ISNA(VLOOKUP(A88,'Données projet'!$A$61:$I$81,4,0)),0,VLOOKUP(A88,'Données projet'!$A$61:$I$81,4,0))</f>
        <v>95.720000000000027</v>
      </c>
      <c r="AR88" s="16">
        <f>IF(ISNA(VLOOKUP(A88,'Données projet'!$A$61:$I$81,5,0)),0%,VLOOKUP(A88,'Données projet'!$A$61:$I$81,5,0)*VLOOKUP('Données projet'!$B$10,Paramètres!$A$1:$I$89,7,0))</f>
        <v>0.33</v>
      </c>
      <c r="AS88" s="16">
        <f>IF(ISNA(VLOOKUP(A88,'Données projet'!$A$61:$I$81,6,0)),0%,VLOOKUP(A88,'Données projet'!$A$61:$I$81,6,0)*VLOOKUP('Données projet'!$B$10,Paramètres!$A$1:$I$89,7,0))</f>
        <v>0.11000000000000001</v>
      </c>
      <c r="AT88" s="16">
        <f>IF(ISNA(VLOOKUP(A88,'Données projet'!$A$61:$I$81,7,0)),0%,VLOOKUP(A88,'Données projet'!$A$61:$I$81,7,0))</f>
        <v>0.2</v>
      </c>
      <c r="AU88" s="21">
        <f>EXP(-LN(2)/35)*AU87+(1-EXP(-LN(2)/35))/(LN(2)/35)*AQ88*AR88*VLOOKUP('Données projet'!$B$10,Paramètres!$A$1:$I$89,3,0)*0.475*44/12</f>
        <v>56.770468103603221</v>
      </c>
      <c r="AV88" s="21">
        <f>EXP(-LN(2)/25)*AV87+(1-EXP(-LN(2)/25))/(LN(2)/25)*Calculateur!AQ88*Calculateur!AS88*VLOOKUP('Données projet'!$B$10,Paramètres!$A$1:$I$89,3,0)*0.475*44/12</f>
        <v>23.619050216152928</v>
      </c>
      <c r="AW88" s="21">
        <f>EXP(-LN(2)/2)*AW87+(1-EXP(-LN(2)/2))/(LN(2)/2)*AQ88*AT88*VLOOKUP('Données projet'!$B$10,Paramètres!$A$1:$I$89,3,0)*0.475*44/12</f>
        <v>10.317940258533362</v>
      </c>
      <c r="AX88" s="21">
        <f t="shared" si="60"/>
        <v>90.707458578289504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9.1730000000000018</v>
      </c>
      <c r="BD88" s="12">
        <f>IF('Données projet'!$A$88&gt;35,BD87+BC88-BL87,IF(A88&lt;'Données projet'!$A$88,$BA$205^A88,IF(A88='Données projet'!$A$88,'Données projet'!$B$88,BD87+BC88-BL87)))</f>
        <v>297.57300000000049</v>
      </c>
      <c r="BE88" s="13">
        <f>BD88*VLOOKUP('Données projet'!$B$11,Paramètres!$A$1:$I$89,3,0)*VLOOKUP('Données projet'!$B$11,Paramètres!$A$1:$I$89,5,0)</f>
        <v>269.24405040000045</v>
      </c>
      <c r="BF88" s="13">
        <f t="shared" si="91"/>
        <v>64.688811534365087</v>
      </c>
      <c r="BG88" s="20">
        <f t="shared" si="61"/>
        <v>581.59973453568659</v>
      </c>
      <c r="BH88" s="59">
        <f t="shared" si="62"/>
        <v>854.22219526396816</v>
      </c>
      <c r="BI88" s="59">
        <f ca="1">AVERAGE(OFFSET($BH$3,0,0,'Données projet'!$E$11+1,1))-AVERAGE(OFFSET($H$3,0,0,'Données projet'!$E$11+1,1))</f>
        <v>681.47578137804555</v>
      </c>
      <c r="BJ88" s="59">
        <f t="shared" si="92"/>
        <v>300.88511065995885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21.604553113563949</v>
      </c>
      <c r="BQ88" s="21">
        <f>EXP(-LN(2)/25)*BQ87+(1-EXP(-LN(2)/25))/(LN(2)/25)*Calculateur!BL88*Calculateur!BN88*VLOOKUP('Données projet'!$B$11,Paramètres!$A$1:$I$89,3,0)*0.475*44/12</f>
        <v>28.7697009292262</v>
      </c>
      <c r="BR88" s="21">
        <f>EXP(-LN(2)/2)*BR87+(1-EXP(-LN(2)/2))/(LN(2)/2)*BL88*BO88*VLOOKUP('Données projet'!$B$11,Paramètres!$A$1:$I$89,3,0)*0.475*44/12</f>
        <v>4.1297238291879266</v>
      </c>
      <c r="BS88" s="22">
        <f t="shared" si="63"/>
        <v>54.503977871978073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147.43589743589743</v>
      </c>
      <c r="BW88" s="12">
        <f>VLOOKUP(A88,'Données projet'!$A$113:$I$133,9,0)</f>
        <v>2.0512820512820498</v>
      </c>
      <c r="BX88" s="12">
        <f t="array" ref="BX88">INDEX(BW:BW,MIN(IF(ISNUMBER(BW88:BW284),ROW(BW88:BW284),"")))</f>
        <v>2.0512820512820498</v>
      </c>
      <c r="BY88" s="12">
        <f>IF('Données projet'!$A$114&gt;35,BY87+BX88-CG87,IF(A88&lt;'Données projet'!$A$114,$BV$205^A88,IF(A88='Données projet'!$A$114,'Données projet'!$B$114,BY87+BX88-CG87)))</f>
        <v>147.43589743589752</v>
      </c>
      <c r="BZ88" s="13">
        <f>BY88*VLOOKUP('Données projet'!$B$12,Paramètres!$A$1:$I$89,3,0)*VLOOKUP('Données projet'!$B$12,Paramètres!$A$1:$I$89,5,0)</f>
        <v>154.10000000000011</v>
      </c>
      <c r="CA88" s="13">
        <f t="shared" si="93"/>
        <v>39.508857983748619</v>
      </c>
      <c r="CB88" s="20">
        <f t="shared" si="64"/>
        <v>337.20209432169565</v>
      </c>
      <c r="CC88" s="59">
        <f t="shared" si="65"/>
        <v>609.82455504997711</v>
      </c>
      <c r="CD88" s="59">
        <f ca="1">AVERAGE(OFFSET($CC$3,0,0,'Données projet'!$E$12+1,1))-AVERAGE(OFFSET($H$3,0,0,'Données projet'!$E$12+1,1))</f>
        <v>290.69667785754848</v>
      </c>
      <c r="CE88" s="59">
        <f t="shared" si="94"/>
        <v>256.28124185489082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7.6923076923076916</v>
      </c>
      <c r="CH88" s="16">
        <f>IF(ISNA(VLOOKUP(A88,'Données projet'!$A$113:$I$133,5,0)),0%,VLOOKUP(A88,'Données projet'!$A$113:$I$133,5,0)*VLOOKUP('Données projet'!$B$12,Paramètres!$A$1:$I$89,7,0))</f>
        <v>4.3000000000000003E-2</v>
      </c>
      <c r="CI88" s="16">
        <f>IF(ISNA(VLOOKUP(A88,'Données projet'!$A$113:$I$133,6,0)),0%,VLOOKUP(A88,'Données projet'!$A$113:$I$133,6,0)*VLOOKUP('Données projet'!$B$12,Paramètres!$A$1:$I$89,7,0))</f>
        <v>0.215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2.5669726598472398</v>
      </c>
      <c r="CL88" s="21">
        <f>EXP(-LN(2)/25)*CL87+(1-EXP(-LN(2)/25))/(LN(2)/25)*Calculateur!CG88*Calculateur!CI88*VLOOKUP('Données projet'!$B$12,Paramètres!$A$1:$I$89,3,0)*0.475*44/12</f>
        <v>18.417850933954441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20.984823593801678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408.246209980743</v>
      </c>
      <c r="CZ88" s="59">
        <f t="shared" si="96"/>
        <v>394.10236303013903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51.697231554208003</v>
      </c>
      <c r="DG88" s="21">
        <f>EXP(-LN(2)/25)*DG87+(1-EXP(-LN(2)/25))/(LN(2)/25)*Calculateur!DB88*Calculateur!DD88*VLOOKUP('Données projet'!$B$13,Paramètres!$A$1:$I$89,3,0)*0.475*44/12</f>
        <v>49.060300718035258</v>
      </c>
      <c r="DH88" s="21">
        <f>EXP(-LN(2)/2)*DH87+(1-EXP(-LN(2)/2))/(LN(2)/2)*DB88*DE88*VLOOKUP('Données projet'!$B$13,Paramètres!$A$1:$I$89,3,0)*0.475*44/12</f>
        <v>12.116461827442727</v>
      </c>
      <c r="DI88" s="22">
        <f t="shared" si="69"/>
        <v>112.87399409968597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5.6843418860808015E-13</v>
      </c>
      <c r="DP88" s="17">
        <f>DO88*VLOOKUP('Données projet'!$B$14,Paramètres!$A$1:$I$89,3,0)*VLOOKUP('Données projet'!$B$14,Paramètres!$A$1:$I$89,5,0)</f>
        <v>3.177547114319168E-13</v>
      </c>
      <c r="DQ88" s="13">
        <f t="shared" si="97"/>
        <v>4.1725404435445377E-12</v>
      </c>
      <c r="DR88" s="20">
        <f t="shared" si="70"/>
        <v>7.820597394917325E-12</v>
      </c>
      <c r="DS88" s="59">
        <f t="shared" si="71"/>
        <v>272.62246072828935</v>
      </c>
      <c r="DT88" s="59">
        <f ca="1">AVERAGE(OFFSET($DS$3,0,0,'Données projet'!$E$14+1,1))-AVERAGE(OFFSET($H$3,0,0,'Données projet'!$E$14+1,1))</f>
        <v>407.05634973057056</v>
      </c>
      <c r="DU88" s="59">
        <f t="shared" si="98"/>
        <v>375.32891954889965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171.4456383924468</v>
      </c>
      <c r="EB88" s="21">
        <f>EXP(-LN(2)/25)*EB87+(1-EXP(-LN(2)/25))/(LN(2)/25)*Calculateur!DW88*Calculateur!DY88*VLOOKUP('Données projet'!$B$14,Paramètres!$A$1:$I$89,3,0)*0.475*44/12</f>
        <v>50.640962120061452</v>
      </c>
      <c r="EC88" s="21">
        <f>EXP(-LN(2)/2)*EC87+(1-EXP(-LN(2)/2))/(LN(2)/2)*DW88*DZ88*VLOOKUP('Données projet'!$B$14,Paramètres!$A$1:$I$89,3,0)*0.475*44/12</f>
        <v>0.41711303332587313</v>
      </c>
      <c r="ED88" s="22">
        <f t="shared" si="72"/>
        <v>222.50371354583413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1.1368683772161603E-13</v>
      </c>
      <c r="EK88" s="17">
        <f>EJ88*VLOOKUP('Données projet'!$B$15,Paramètres!$A$1:$I$89,3,0)*VLOOKUP('Données projet'!$B$15,Paramètres!$A$1:$I$89,5,0)</f>
        <v>5.0249582272954292E-14</v>
      </c>
      <c r="EL88" s="13">
        <f t="shared" si="99"/>
        <v>8.1784820119191593E-13</v>
      </c>
      <c r="EM88" s="20">
        <f t="shared" si="73"/>
        <v>1.5119369728679821E-12</v>
      </c>
      <c r="EN88" s="59">
        <f t="shared" si="74"/>
        <v>272.62246072828304</v>
      </c>
      <c r="EO88" s="59">
        <f ca="1">AVERAGE(OFFSET($EN$3,0,0,'Données projet'!$E$15+1,1))-AVERAGE(OFFSET($H$3,0,0,'Données projet'!$E$15+1,1))</f>
        <v>418.28022549686278</v>
      </c>
      <c r="EP88" s="59">
        <f t="shared" si="100"/>
        <v>354.55070454517158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187.15296832959854</v>
      </c>
      <c r="EW88" s="21">
        <f>EXP(-LN(2)/25)*EW87+(1-EXP(-LN(2)/25))/(LN(2)/25)*Calculateur!ER88*Calculateur!ET88*VLOOKUP('Données projet'!$B$15,Paramètres!$A$1:$I$89,3,0)*0.475*44/12</f>
        <v>62.589035856041164</v>
      </c>
      <c r="EX88" s="21">
        <f>EXP(-LN(2)/2)*EX87+(1-EXP(-LN(2)/2))/(LN(2)/2)*ER88*EU88*VLOOKUP('Données projet'!$B$15,Paramètres!$A$1:$I$89,3,0)*0.475*44/12</f>
        <v>13.895336118193057</v>
      </c>
      <c r="EY88" s="22">
        <f t="shared" si="75"/>
        <v>263.63734030383273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6.7444444444444462</v>
      </c>
      <c r="FE88" s="12">
        <f>IF('Données projet'!$A$218&gt;35,FE87+FD88-FM87,IF(A88&lt;'Données projet'!$A$218,$FB$205^A88,IF(A88='Données projet'!$A$218,'Données projet'!$B$218,FE87+FD88-FM87)))</f>
        <v>222.52555555555554</v>
      </c>
      <c r="FF88" s="17">
        <f>FE88*VLOOKUP('Données projet'!$B$16,Paramètres!$A$1:$I$89,3,0)*VLOOKUP('Données projet'!$B$16,Paramètres!$A$1:$I$89,5,0)</f>
        <v>253.41210266666667</v>
      </c>
      <c r="FG88" s="13">
        <f t="shared" si="101"/>
        <v>61.316013827679889</v>
      </c>
      <c r="FH88" s="20">
        <f t="shared" si="76"/>
        <v>548.15146956098692</v>
      </c>
      <c r="FI88" s="59">
        <f t="shared" si="77"/>
        <v>820.77393028926849</v>
      </c>
      <c r="FJ88" s="59">
        <f ca="1">AVERAGE(OFFSET($FI$3,0,0,'Données projet'!$E$16+1,1))-AVERAGE(OFFSET($H$3,0,0,'Données projet'!$E$16+1,1))</f>
        <v>640.05156427113661</v>
      </c>
      <c r="FK88" s="59">
        <f t="shared" si="102"/>
        <v>308.77220155372902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39.134876175876634</v>
      </c>
      <c r="FS88" s="21">
        <f>EXP(-LN(2)/2)*FS87+(1-EXP(-LN(2)/2))/(LN(2)/2)*FM88*FP88*VLOOKUP('Données projet'!$B$16,Paramètres!$A$1:$I$89,3,0)*0.475*44/12</f>
        <v>0.49413073660229723</v>
      </c>
      <c r="FT88" s="22">
        <f t="shared" si="78"/>
        <v>39.629006912478928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6.7984728957526396E-14</v>
      </c>
      <c r="P89" s="13">
        <f t="shared" si="87"/>
        <v>1.0682447123141398E-12</v>
      </c>
      <c r="Q89" s="20">
        <f t="shared" si="54"/>
        <v>1.978932943548152E-12</v>
      </c>
      <c r="R89" s="59">
        <f t="shared" si="55"/>
        <v>272.98174806540669</v>
      </c>
      <c r="S89" s="59">
        <f ca="1">AVERAGE(OFFSET($R$3,0,0,'Données projet'!$E$9+1,1))-AVERAGE(OFFSET($H$3,0,0,'Données projet'!$E$9+1,1))</f>
        <v>318.50474972254085</v>
      </c>
      <c r="T89" s="59">
        <f t="shared" si="88"/>
        <v>326.45858332753562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82.981898438423016</v>
      </c>
      <c r="AA89" s="21">
        <f>EXP(-LN(2)/25)*AA88+(1-EXP(-LN(2)/25))/(LN(2)/25)*Calculateur!V89*Calculateur!X89*VLOOKUP('Données projet'!$B$9,Paramètres!$A$1:$I$89,3,0)*0.475*44/12</f>
        <v>23.557954629111777</v>
      </c>
      <c r="AB89" s="21">
        <f>EXP(-LN(2)/2)*AB88+(1-EXP(-LN(2)/2))/(LN(2)/2)*V89*Y89*VLOOKUP('Données projet'!$B$9,Paramètres!$A$1:$I$89,3,0)*0.475*44/12</f>
        <v>7.3195120633976424E-3</v>
      </c>
      <c r="AC89" s="22">
        <f t="shared" si="57"/>
        <v>106.5471725795982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10.192500000000001</v>
      </c>
      <c r="AI89" s="13">
        <f>IF('Données projet'!$A$62&gt;35,AI88+AH89-AQ88,IF(A89&lt;'Données projet'!$A$62,$AF$205^A89,IF(A89='Données projet'!$A$62,'Données projet'!$B$62,AI88+AH89-AQ88)))</f>
        <v>339.63249999999994</v>
      </c>
      <c r="AJ89" s="13">
        <f>AI89*VLOOKUP('Données projet'!$B$10,Paramètres!$A$1:$I$89,3,0)*VLOOKUP('Données projet'!$B$10,Paramètres!$A$1:$I$89,5,0)</f>
        <v>158.94800999999998</v>
      </c>
      <c r="AK89" s="13">
        <f t="shared" si="89"/>
        <v>40.605145105192584</v>
      </c>
      <c r="AL89" s="20">
        <f t="shared" si="58"/>
        <v>347.55507847487706</v>
      </c>
      <c r="AM89" s="59">
        <f t="shared" si="59"/>
        <v>620.53682654028171</v>
      </c>
      <c r="AN89" s="59">
        <f ca="1">AVERAGE(OFFSET($AM$3,0,0,'Données projet'!$E$10+1,1))-AVERAGE(OFFSET($H$3,0,0,'Données projet'!$E$10+1,1))</f>
        <v>374.38106339726073</v>
      </c>
      <c r="AO89" s="59">
        <f t="shared" si="90"/>
        <v>296.53283288925957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55.657233850658017</v>
      </c>
      <c r="AV89" s="21">
        <f>EXP(-LN(2)/25)*AV88+(1-EXP(-LN(2)/25))/(LN(2)/25)*Calculateur!AQ89*Calculateur!AS89*VLOOKUP('Données projet'!$B$10,Paramètres!$A$1:$I$89,3,0)*0.475*44/12</f>
        <v>22.973186045920357</v>
      </c>
      <c r="AW89" s="21">
        <f>EXP(-LN(2)/2)*AW88+(1-EXP(-LN(2)/2))/(LN(2)/2)*AQ89*AT89*VLOOKUP('Données projet'!$B$10,Paramètres!$A$1:$I$89,3,0)*0.475*44/12</f>
        <v>7.2958855246866197</v>
      </c>
      <c r="AX89" s="21">
        <f t="shared" si="60"/>
        <v>85.926305421264999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9.1730000000000018</v>
      </c>
      <c r="BD89" s="12">
        <f>IF('Données projet'!$A$88&gt;35,BD88+BC89-BL88,IF(A89&lt;'Données projet'!$A$88,$BA$205^A89,IF(A89='Données projet'!$A$88,'Données projet'!$B$88,BD88+BC89-BL88)))</f>
        <v>306.74600000000049</v>
      </c>
      <c r="BE89" s="13">
        <f>BD89*VLOOKUP('Données projet'!$B$11,Paramètres!$A$1:$I$89,3,0)*VLOOKUP('Données projet'!$B$11,Paramètres!$A$1:$I$89,5,0)</f>
        <v>277.54378080000043</v>
      </c>
      <c r="BF89" s="13">
        <f t="shared" si="91"/>
        <v>66.447673279805883</v>
      </c>
      <c r="BG89" s="20">
        <f t="shared" si="61"/>
        <v>599.11844918899601</v>
      </c>
      <c r="BH89" s="59">
        <f t="shared" si="62"/>
        <v>872.10019725440065</v>
      </c>
      <c r="BI89" s="59">
        <f ca="1">AVERAGE(OFFSET($BH$3,0,0,'Données projet'!$E$11+1,1))-AVERAGE(OFFSET($H$3,0,0,'Données projet'!$E$11+1,1))</f>
        <v>681.47578137804555</v>
      </c>
      <c r="BJ89" s="59">
        <f t="shared" si="92"/>
        <v>300.88511065995885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21.180901004483189</v>
      </c>
      <c r="BQ89" s="21">
        <f>EXP(-LN(2)/25)*BQ88+(1-EXP(-LN(2)/25))/(LN(2)/25)*Calculateur!BL89*Calculateur!BN89*VLOOKUP('Données projet'!$B$11,Paramètres!$A$1:$I$89,3,0)*0.475*44/12</f>
        <v>27.982991944383691</v>
      </c>
      <c r="BR89" s="21">
        <f>EXP(-LN(2)/2)*BR88+(1-EXP(-LN(2)/2))/(LN(2)/2)*BL89*BO89*VLOOKUP('Données projet'!$B$11,Paramètres!$A$1:$I$89,3,0)*0.475*44/12</f>
        <v>2.9201557240464586</v>
      </c>
      <c r="BS89" s="22">
        <f t="shared" si="63"/>
        <v>52.08404867291334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1.9230769230769169</v>
      </c>
      <c r="BY89" s="12">
        <f>IF('Données projet'!$A$114&gt;35,BY88+BX89-CG88,IF(A89&lt;'Données projet'!$A$114,$BV$205^A89,IF(A89='Données projet'!$A$114,'Données projet'!$B$114,BY88+BX89-CG88)))</f>
        <v>141.66666666666674</v>
      </c>
      <c r="BZ89" s="13">
        <f>BY89*VLOOKUP('Données projet'!$B$12,Paramètres!$A$1:$I$89,3,0)*VLOOKUP('Données projet'!$B$12,Paramètres!$A$1:$I$89,5,0)</f>
        <v>148.07000000000011</v>
      </c>
      <c r="CA89" s="13">
        <f t="shared" si="93"/>
        <v>38.13965617111247</v>
      </c>
      <c r="CB89" s="20">
        <f t="shared" si="64"/>
        <v>324.31515116468773</v>
      </c>
      <c r="CC89" s="59">
        <f t="shared" si="65"/>
        <v>597.29689923009244</v>
      </c>
      <c r="CD89" s="59">
        <f ca="1">AVERAGE(OFFSET($CC$3,0,0,'Données projet'!$E$12+1,1))-AVERAGE(OFFSET($H$3,0,0,'Données projet'!$E$12+1,1))</f>
        <v>290.69667785754848</v>
      </c>
      <c r="CE89" s="59">
        <f t="shared" si="94"/>
        <v>256.28124185489082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2.516635891686358</v>
      </c>
      <c r="CL89" s="21">
        <f>EXP(-LN(2)/25)*CL88+(1-EXP(-LN(2)/25))/(LN(2)/25)*Calculateur!CG89*Calculateur!CI89*VLOOKUP('Données projet'!$B$12,Paramètres!$A$1:$I$89,3,0)*0.475*44/12</f>
        <v>17.91421383161277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20.430849723299129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408.246209980743</v>
      </c>
      <c r="CZ89" s="59">
        <f t="shared" si="96"/>
        <v>394.10236303013903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50.683480375627688</v>
      </c>
      <c r="DG89" s="21">
        <f>EXP(-LN(2)/25)*DG88+(1-EXP(-LN(2)/25))/(LN(2)/25)*Calculateur!DB89*Calculateur!DD89*VLOOKUP('Données projet'!$B$13,Paramètres!$A$1:$I$89,3,0)*0.475*44/12</f>
        <v>47.718744214931498</v>
      </c>
      <c r="DH89" s="21">
        <f>EXP(-LN(2)/2)*DH88+(1-EXP(-LN(2)/2))/(LN(2)/2)*DB89*DE89*VLOOKUP('Données projet'!$B$13,Paramètres!$A$1:$I$89,3,0)*0.475*44/12</f>
        <v>8.5676323221727007</v>
      </c>
      <c r="DI89" s="22">
        <f t="shared" si="69"/>
        <v>106.96985691273188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5.6843418860808015E-13</v>
      </c>
      <c r="DP89" s="17">
        <f>DO89*VLOOKUP('Données projet'!$B$14,Paramètres!$A$1:$I$89,3,0)*VLOOKUP('Données projet'!$B$14,Paramètres!$A$1:$I$89,5,0)</f>
        <v>3.177547114319168E-13</v>
      </c>
      <c r="DQ89" s="13">
        <f t="shared" si="97"/>
        <v>4.1725404435445377E-12</v>
      </c>
      <c r="DR89" s="20">
        <f t="shared" si="70"/>
        <v>7.820597394917325E-12</v>
      </c>
      <c r="DS89" s="59">
        <f t="shared" si="71"/>
        <v>272.98174806541255</v>
      </c>
      <c r="DT89" s="59">
        <f ca="1">AVERAGE(OFFSET($DS$3,0,0,'Données projet'!$E$14+1,1))-AVERAGE(OFFSET($H$3,0,0,'Données projet'!$E$14+1,1))</f>
        <v>407.05634973057056</v>
      </c>
      <c r="DU89" s="59">
        <f t="shared" si="98"/>
        <v>375.32891954889965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168.08369399508476</v>
      </c>
      <c r="EB89" s="21">
        <f>EXP(-LN(2)/25)*EB88+(1-EXP(-LN(2)/25))/(LN(2)/25)*Calculateur!DW89*Calculateur!DY89*VLOOKUP('Données projet'!$B$14,Paramètres!$A$1:$I$89,3,0)*0.475*44/12</f>
        <v>49.256182347795914</v>
      </c>
      <c r="EC89" s="21">
        <f>EXP(-LN(2)/2)*EC88+(1-EXP(-LN(2)/2))/(LN(2)/2)*DW89*DZ89*VLOOKUP('Données projet'!$B$14,Paramètres!$A$1:$I$89,3,0)*0.475*44/12</f>
        <v>0.29494345438601527</v>
      </c>
      <c r="ED89" s="22">
        <f t="shared" si="72"/>
        <v>217.63481979726669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1.1368683772161603E-13</v>
      </c>
      <c r="EK89" s="17">
        <f>EJ89*VLOOKUP('Données projet'!$B$15,Paramètres!$A$1:$I$89,3,0)*VLOOKUP('Données projet'!$B$15,Paramètres!$A$1:$I$89,5,0)</f>
        <v>5.0249582272954292E-14</v>
      </c>
      <c r="EL89" s="13">
        <f t="shared" si="99"/>
        <v>8.1784820119191593E-13</v>
      </c>
      <c r="EM89" s="20">
        <f t="shared" si="73"/>
        <v>1.5119369728679821E-12</v>
      </c>
      <c r="EN89" s="59">
        <f t="shared" si="74"/>
        <v>272.98174806540624</v>
      </c>
      <c r="EO89" s="59">
        <f ca="1">AVERAGE(OFFSET($EN$3,0,0,'Données projet'!$E$15+1,1))-AVERAGE(OFFSET($H$3,0,0,'Données projet'!$E$15+1,1))</f>
        <v>418.28022549686278</v>
      </c>
      <c r="EP89" s="59">
        <f t="shared" si="100"/>
        <v>354.55070454517158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183.48301277269422</v>
      </c>
      <c r="EW89" s="21">
        <f>EXP(-LN(2)/25)*EW88+(1-EXP(-LN(2)/25))/(LN(2)/25)*Calculateur!ER89*Calculateur!ET89*VLOOKUP('Données projet'!$B$15,Paramètres!$A$1:$I$89,3,0)*0.475*44/12</f>
        <v>60.877535379143374</v>
      </c>
      <c r="EX89" s="21">
        <f>EXP(-LN(2)/2)*EX88+(1-EXP(-LN(2)/2))/(LN(2)/2)*ER89*EU89*VLOOKUP('Données projet'!$B$15,Paramètres!$A$1:$I$89,3,0)*0.475*44/12</f>
        <v>9.8254863960406702</v>
      </c>
      <c r="EY89" s="22">
        <f t="shared" si="75"/>
        <v>254.18603454787828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>
        <f>VLOOKUP(A89,'Données projet'!$A$217:$I$237,2,0)</f>
        <v>229.27</v>
      </c>
      <c r="FC89" s="12">
        <f>VLOOKUP(A89,'Données projet'!$A$217:$I$237,9,0)</f>
        <v>6.7444444444444462</v>
      </c>
      <c r="FD89" s="12">
        <f t="array" ref="FD89">INDEX(FC:FC,MIN(IF(ISNUMBER(FC89:FC285),ROW(FC89:FC285),"")))</f>
        <v>6.7444444444444462</v>
      </c>
      <c r="FE89" s="12">
        <f>IF('Données projet'!$A$218&gt;35,FE88+FD89-FM88,IF(A89&lt;'Données projet'!$A$218,$FB$205^A89,IF(A89='Données projet'!$A$218,'Données projet'!$B$218,FE88+FD89-FM88)))</f>
        <v>229.26999999999998</v>
      </c>
      <c r="FF89" s="17">
        <f>FE89*VLOOKUP('Données projet'!$B$16,Paramètres!$A$1:$I$89,3,0)*VLOOKUP('Données projet'!$B$16,Paramètres!$A$1:$I$89,5,0)</f>
        <v>261.09267599999998</v>
      </c>
      <c r="FG89" s="13">
        <f t="shared" si="101"/>
        <v>62.955235443390585</v>
      </c>
      <c r="FH89" s="20">
        <f t="shared" si="76"/>
        <v>564.38344576390512</v>
      </c>
      <c r="FI89" s="59">
        <f t="shared" si="77"/>
        <v>837.36519382930987</v>
      </c>
      <c r="FJ89" s="59">
        <f ca="1">AVERAGE(OFFSET($FI$3,0,0,'Données projet'!$E$16+1,1))-AVERAGE(OFFSET($H$3,0,0,'Données projet'!$E$16+1,1))</f>
        <v>640.05156427113661</v>
      </c>
      <c r="FK89" s="59">
        <f t="shared" si="102"/>
        <v>308.77220155372902</v>
      </c>
      <c r="FL89" s="15">
        <f>IF(ISNA(VLOOKUP(A89,'Données projet'!$A$217:$I$237,3,0)),0,VLOOKUP(A89,'Données projet'!$A$217:$I$237,3,0))</f>
        <v>4</v>
      </c>
      <c r="FM89" s="15">
        <f>IF(ISNA(VLOOKUP(A89,'Données projet'!$A$217:$I$237,4,0)),0,VLOOKUP(A89,'Données projet'!$A$217:$I$237,4,0))</f>
        <v>37.54000000000002</v>
      </c>
      <c r="FN89" s="16">
        <f>IF(ISNA(VLOOKUP(A89,'Données projet'!$A$217:$I$237,5,0)),0%,VLOOKUP(A89,'Données projet'!$A$217:$I$237,5,0)*VLOOKUP('Données projet'!$B$16,Paramètres!$A$1:$I$89,7,0))</f>
        <v>0.15049999999999999</v>
      </c>
      <c r="FO89" s="16">
        <f>IF(ISNA(VLOOKUP(A89,'Données projet'!$A$217:$I$237,6,0)),0%,VLOOKUP(A89,'Données projet'!$A$217:$I$237,6,0)*VLOOKUP('Données projet'!$B$16,Paramètres!$A$1:$I$89,7,0))</f>
        <v>8.6000000000000007E-2</v>
      </c>
      <c r="FP89" s="16">
        <f>IF(ISNA(VLOOKUP(A89,'Données projet'!$A$217:$I$237,7,0)),0%,VLOOKUP(A89,'Données projet'!$A$217:$I$237,7,0))</f>
        <v>0.1</v>
      </c>
      <c r="FQ89" s="21">
        <f>EXP(-LN(2)/35)*FQ88+(1-EXP(-LN(2)/35))/(LN(2)/35)*FM89*FN89*VLOOKUP('Données projet'!$B$16,Paramètres!$A$1:$I$89,3,0)*0.475*44/12</f>
        <v>7.1125500761748128</v>
      </c>
      <c r="FR89" s="21">
        <f>EXP(-LN(2)/25)*FR88+(1-EXP(-LN(2)/25))/(LN(2)/25)*Calculateur!FM89*Calculateur!FO89*VLOOKUP('Données projet'!$B$16,Paramètres!$A$1:$I$89,3,0)*0.475*44/12</f>
        <v>42.113042503936946</v>
      </c>
      <c r="FS89" s="21">
        <f>EXP(-LN(2)/2)*FS88+(1-EXP(-LN(2)/2))/(LN(2)/2)*FM89*FP89*VLOOKUP('Données projet'!$B$16,Paramètres!$A$1:$I$89,3,0)*0.475*44/12</f>
        <v>4.383032837267911</v>
      </c>
      <c r="FT89" s="22">
        <f t="shared" si="78"/>
        <v>53.60862541737967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6.7984728957526396E-14</v>
      </c>
      <c r="P90" s="13">
        <f t="shared" si="87"/>
        <v>1.0682447123141398E-12</v>
      </c>
      <c r="Q90" s="20">
        <f t="shared" si="54"/>
        <v>1.978932943548152E-12</v>
      </c>
      <c r="R90" s="59">
        <f t="shared" si="55"/>
        <v>273.33480257047682</v>
      </c>
      <c r="S90" s="59">
        <f ca="1">AVERAGE(OFFSET($R$3,0,0,'Données projet'!$E$9+1,1))-AVERAGE(OFFSET($H$3,0,0,'Données projet'!$E$9+1,1))</f>
        <v>318.50474972254085</v>
      </c>
      <c r="T90" s="59">
        <f t="shared" si="88"/>
        <v>326.45858332753562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81.354674024005874</v>
      </c>
      <c r="AA90" s="21">
        <f>EXP(-LN(2)/25)*AA89+(1-EXP(-LN(2)/25))/(LN(2)/25)*Calculateur!V90*Calculateur!X90*VLOOKUP('Données projet'!$B$9,Paramètres!$A$1:$I$89,3,0)*0.475*44/12</f>
        <v>22.913761120919723</v>
      </c>
      <c r="AB90" s="21">
        <f>EXP(-LN(2)/2)*AB89+(1-EXP(-LN(2)/2))/(LN(2)/2)*V90*Y90*VLOOKUP('Données projet'!$B$9,Paramètres!$A$1:$I$89,3,0)*0.475*44/12</f>
        <v>5.1756766150052123E-3</v>
      </c>
      <c r="AC90" s="22">
        <f t="shared" si="57"/>
        <v>104.27361082154061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10.192500000000001</v>
      </c>
      <c r="AI90" s="13">
        <f>IF('Données projet'!$A$62&gt;35,AI89+AH90-AQ89,IF(A90&lt;'Données projet'!$A$62,$AF$205^A90,IF(A90='Données projet'!$A$62,'Données projet'!$B$62,AI89+AH90-AQ89)))</f>
        <v>349.82499999999993</v>
      </c>
      <c r="AJ90" s="13">
        <f>AI90*VLOOKUP('Données projet'!$B$10,Paramètres!$A$1:$I$89,3,0)*VLOOKUP('Données projet'!$B$10,Paramètres!$A$1:$I$89,5,0)</f>
        <v>163.71809999999996</v>
      </c>
      <c r="AK90" s="13">
        <f t="shared" si="89"/>
        <v>41.680018719903437</v>
      </c>
      <c r="AL90" s="20">
        <f t="shared" si="58"/>
        <v>357.73505677049843</v>
      </c>
      <c r="AM90" s="59">
        <f t="shared" si="59"/>
        <v>631.06985934097327</v>
      </c>
      <c r="AN90" s="59">
        <f ca="1">AVERAGE(OFFSET($AM$3,0,0,'Données projet'!$E$10+1,1))-AVERAGE(OFFSET($H$3,0,0,'Données projet'!$E$10+1,1))</f>
        <v>374.38106339726073</v>
      </c>
      <c r="AO90" s="59">
        <f t="shared" si="90"/>
        <v>296.53283288925957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54.565829442407221</v>
      </c>
      <c r="AV90" s="21">
        <f>EXP(-LN(2)/25)*AV89+(1-EXP(-LN(2)/25))/(LN(2)/25)*Calculateur!AQ90*Calculateur!AS90*VLOOKUP('Données projet'!$B$10,Paramètres!$A$1:$I$89,3,0)*0.475*44/12</f>
        <v>22.344983065387318</v>
      </c>
      <c r="AW90" s="21">
        <f>EXP(-LN(2)/2)*AW89+(1-EXP(-LN(2)/2))/(LN(2)/2)*AQ90*AT90*VLOOKUP('Données projet'!$B$10,Paramètres!$A$1:$I$89,3,0)*0.475*44/12</f>
        <v>5.158970129266681</v>
      </c>
      <c r="AX90" s="21">
        <f t="shared" si="60"/>
        <v>82.069782637061209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9.1730000000000018</v>
      </c>
      <c r="BD90" s="12">
        <f>IF('Données projet'!$A$88&gt;35,BD89+BC90-BL89,IF(A90&lt;'Données projet'!$A$88,$BA$205^A90,IF(A90='Données projet'!$A$88,'Données projet'!$B$88,BD89+BC90-BL89)))</f>
        <v>315.91900000000049</v>
      </c>
      <c r="BE90" s="13">
        <f>BD90*VLOOKUP('Données projet'!$B$11,Paramètres!$A$1:$I$89,3,0)*VLOOKUP('Données projet'!$B$11,Paramètres!$A$1:$I$89,5,0)</f>
        <v>285.84351120000042</v>
      </c>
      <c r="BF90" s="13">
        <f t="shared" si="91"/>
        <v>68.200422369637309</v>
      </c>
      <c r="BG90" s="20">
        <f t="shared" si="61"/>
        <v>616.62651763378562</v>
      </c>
      <c r="BH90" s="59">
        <f t="shared" si="62"/>
        <v>889.96132020426046</v>
      </c>
      <c r="BI90" s="59">
        <f ca="1">AVERAGE(OFFSET($BH$3,0,0,'Données projet'!$E$11+1,1))-AVERAGE(OFFSET($H$3,0,0,'Données projet'!$E$11+1,1))</f>
        <v>681.47578137804555</v>
      </c>
      <c r="BJ90" s="59">
        <f t="shared" si="92"/>
        <v>300.88511065995885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20.765556454859233</v>
      </c>
      <c r="BQ90" s="21">
        <f>EXP(-LN(2)/25)*BQ89+(1-EXP(-LN(2)/25))/(LN(2)/25)*Calculateur!BL90*Calculateur!BN90*VLOOKUP('Données projet'!$B$11,Paramètres!$A$1:$I$89,3,0)*0.475*44/12</f>
        <v>27.217795558102928</v>
      </c>
      <c r="BR90" s="21">
        <f>EXP(-LN(2)/2)*BR89+(1-EXP(-LN(2)/2))/(LN(2)/2)*BL90*BO90*VLOOKUP('Données projet'!$B$11,Paramètres!$A$1:$I$89,3,0)*0.475*44/12</f>
        <v>2.0648619145939637</v>
      </c>
      <c r="BS90" s="22">
        <f t="shared" si="63"/>
        <v>50.04821392755612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1.9230769230769169</v>
      </c>
      <c r="BY90" s="12">
        <f>IF('Données projet'!$A$114&gt;35,BY89+BX90-CG89,IF(A90&lt;'Données projet'!$A$114,$BV$205^A90,IF(A90='Données projet'!$A$114,'Données projet'!$B$114,BY89+BX90-CG89)))</f>
        <v>143.58974358974365</v>
      </c>
      <c r="BZ90" s="13">
        <f>BY90*VLOOKUP('Données projet'!$B$12,Paramètres!$A$1:$I$89,3,0)*VLOOKUP('Données projet'!$B$12,Paramètres!$A$1:$I$89,5,0)</f>
        <v>150.08000000000007</v>
      </c>
      <c r="CA90" s="13">
        <f t="shared" si="93"/>
        <v>38.596765343718673</v>
      </c>
      <c r="CB90" s="20">
        <f t="shared" si="64"/>
        <v>328.61203297364347</v>
      </c>
      <c r="CC90" s="59">
        <f t="shared" si="65"/>
        <v>601.94683554411836</v>
      </c>
      <c r="CD90" s="59">
        <f ca="1">AVERAGE(OFFSET($CC$3,0,0,'Données projet'!$E$12+1,1))-AVERAGE(OFFSET($H$3,0,0,'Données projet'!$E$12+1,1))</f>
        <v>290.69667785754848</v>
      </c>
      <c r="CE90" s="59">
        <f t="shared" si="94"/>
        <v>256.28124185489082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2.4672861968467141</v>
      </c>
      <c r="CL90" s="21">
        <f>EXP(-LN(2)/25)*CL89+(1-EXP(-LN(2)/25))/(LN(2)/25)*Calculateur!CG90*Calculateur!CI90*VLOOKUP('Données projet'!$B$12,Paramètres!$A$1:$I$89,3,0)*0.475*44/12</f>
        <v>17.424348712319755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19.89163490916647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408.246209980743</v>
      </c>
      <c r="CZ90" s="59">
        <f t="shared" si="96"/>
        <v>394.10236303013903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49.689608239332166</v>
      </c>
      <c r="DG90" s="21">
        <f>EXP(-LN(2)/25)*DG89+(1-EXP(-LN(2)/25))/(LN(2)/25)*Calculateur!DB90*Calculateur!DD90*VLOOKUP('Données projet'!$B$13,Paramètres!$A$1:$I$89,3,0)*0.475*44/12</f>
        <v>46.413872644954502</v>
      </c>
      <c r="DH90" s="21">
        <f>EXP(-LN(2)/2)*DH89+(1-EXP(-LN(2)/2))/(LN(2)/2)*DB90*DE90*VLOOKUP('Données projet'!$B$13,Paramètres!$A$1:$I$89,3,0)*0.475*44/12</f>
        <v>6.0582309137213644</v>
      </c>
      <c r="DI90" s="22">
        <f t="shared" si="69"/>
        <v>102.16171179800803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5.6843418860808015E-13</v>
      </c>
      <c r="DP90" s="17">
        <f>DO90*VLOOKUP('Données projet'!$B$14,Paramètres!$A$1:$I$89,3,0)*VLOOKUP('Données projet'!$B$14,Paramètres!$A$1:$I$89,5,0)</f>
        <v>3.177547114319168E-13</v>
      </c>
      <c r="DQ90" s="13">
        <f t="shared" si="97"/>
        <v>4.1725404435445377E-12</v>
      </c>
      <c r="DR90" s="20">
        <f t="shared" si="70"/>
        <v>7.820597394917325E-12</v>
      </c>
      <c r="DS90" s="59">
        <f t="shared" si="71"/>
        <v>273.33480257048268</v>
      </c>
      <c r="DT90" s="59">
        <f ca="1">AVERAGE(OFFSET($DS$3,0,0,'Données projet'!$E$14+1,1))-AVERAGE(OFFSET($H$3,0,0,'Données projet'!$E$14+1,1))</f>
        <v>407.05634973057056</v>
      </c>
      <c r="DU90" s="59">
        <f t="shared" si="98"/>
        <v>375.32891954889965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164.78767527677138</v>
      </c>
      <c r="EB90" s="21">
        <f>EXP(-LN(2)/25)*EB89+(1-EXP(-LN(2)/25))/(LN(2)/25)*Calculateur!DW90*Calculateur!DY90*VLOOKUP('Données projet'!$B$14,Paramètres!$A$1:$I$89,3,0)*0.475*44/12</f>
        <v>47.909269451225384</v>
      </c>
      <c r="EC90" s="21">
        <f>EXP(-LN(2)/2)*EC89+(1-EXP(-LN(2)/2))/(LN(2)/2)*DW90*DZ90*VLOOKUP('Données projet'!$B$14,Paramètres!$A$1:$I$89,3,0)*0.475*44/12</f>
        <v>0.20855651666293656</v>
      </c>
      <c r="ED90" s="22">
        <f t="shared" si="72"/>
        <v>212.90550124465969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1.1368683772161603E-13</v>
      </c>
      <c r="EK90" s="17">
        <f>EJ90*VLOOKUP('Données projet'!$B$15,Paramètres!$A$1:$I$89,3,0)*VLOOKUP('Données projet'!$B$15,Paramètres!$A$1:$I$89,5,0)</f>
        <v>5.0249582272954292E-14</v>
      </c>
      <c r="EL90" s="13">
        <f t="shared" si="99"/>
        <v>8.1784820119191593E-13</v>
      </c>
      <c r="EM90" s="20">
        <f t="shared" si="73"/>
        <v>1.5119369728679821E-12</v>
      </c>
      <c r="EN90" s="59">
        <f t="shared" si="74"/>
        <v>273.33480257047637</v>
      </c>
      <c r="EO90" s="59">
        <f ca="1">AVERAGE(OFFSET($EN$3,0,0,'Données projet'!$E$15+1,1))-AVERAGE(OFFSET($H$3,0,0,'Données projet'!$E$15+1,1))</f>
        <v>418.28022549686278</v>
      </c>
      <c r="EP90" s="59">
        <f t="shared" si="100"/>
        <v>354.55070454517158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179.88502280580894</v>
      </c>
      <c r="EW90" s="21">
        <f>EXP(-LN(2)/25)*EW89+(1-EXP(-LN(2)/25))/(LN(2)/25)*Calculateur!ER90*Calculateur!ET90*VLOOKUP('Données projet'!$B$15,Paramètres!$A$1:$I$89,3,0)*0.475*44/12</f>
        <v>59.212835972790252</v>
      </c>
      <c r="EX90" s="21">
        <f>EXP(-LN(2)/2)*EX89+(1-EXP(-LN(2)/2))/(LN(2)/2)*ER90*EU90*VLOOKUP('Données projet'!$B$15,Paramètres!$A$1:$I$89,3,0)*0.475*44/12</f>
        <v>6.9476680590965305</v>
      </c>
      <c r="EY90" s="22">
        <f t="shared" si="75"/>
        <v>246.04552683769575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6.7600000000000007</v>
      </c>
      <c r="FE90" s="12">
        <f>IF('Données projet'!$A$218&gt;35,FE89+FD90-FM89,IF(A90&lt;'Données projet'!$A$218,$FB$205^A90,IF(A90='Données projet'!$A$218,'Données projet'!$B$218,FE89+FD90-FM89)))</f>
        <v>198.48999999999995</v>
      </c>
      <c r="FF90" s="17">
        <f>FE90*VLOOKUP('Données projet'!$B$16,Paramètres!$A$1:$I$89,3,0)*VLOOKUP('Données projet'!$B$16,Paramètres!$A$1:$I$89,5,0)</f>
        <v>226.04041199999995</v>
      </c>
      <c r="FG90" s="13">
        <f t="shared" si="101"/>
        <v>55.425662660889152</v>
      </c>
      <c r="FH90" s="20">
        <f t="shared" si="76"/>
        <v>490.22008003438185</v>
      </c>
      <c r="FI90" s="59">
        <f t="shared" si="77"/>
        <v>763.55488260485663</v>
      </c>
      <c r="FJ90" s="59">
        <f ca="1">AVERAGE(OFFSET($FI$3,0,0,'Données projet'!$E$16+1,1))-AVERAGE(OFFSET($H$3,0,0,'Données projet'!$E$16+1,1))</f>
        <v>640.05156427113661</v>
      </c>
      <c r="FK90" s="59">
        <f t="shared" si="102"/>
        <v>308.77220155372902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6.9730773074082073</v>
      </c>
      <c r="FR90" s="21">
        <f>EXP(-LN(2)/25)*FR89+(1-EXP(-LN(2)/25))/(LN(2)/25)*Calculateur!FM90*Calculateur!FO90*VLOOKUP('Données projet'!$B$16,Paramètres!$A$1:$I$89,3,0)*0.475*44/12</f>
        <v>40.961459142038137</v>
      </c>
      <c r="FS90" s="21">
        <f>EXP(-LN(2)/2)*FS89+(1-EXP(-LN(2)/2))/(LN(2)/2)*FM90*FP90*VLOOKUP('Données projet'!$B$16,Paramètres!$A$1:$I$89,3,0)*0.475*44/12</f>
        <v>3.0992722413954534</v>
      </c>
      <c r="FT90" s="22">
        <f t="shared" si="78"/>
        <v>51.033808690841795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6.7984728957526396E-14</v>
      </c>
      <c r="P91" s="13">
        <f t="shared" si="87"/>
        <v>1.0682447123141398E-12</v>
      </c>
      <c r="Q91" s="20">
        <f t="shared" si="54"/>
        <v>1.978932943548152E-12</v>
      </c>
      <c r="R91" s="59">
        <f t="shared" si="55"/>
        <v>273.68173236919569</v>
      </c>
      <c r="S91" s="59">
        <f ca="1">AVERAGE(OFFSET($R$3,0,0,'Données projet'!$E$9+1,1))-AVERAGE(OFFSET($H$3,0,0,'Données projet'!$E$9+1,1))</f>
        <v>318.50474972254085</v>
      </c>
      <c r="T91" s="59">
        <f t="shared" si="88"/>
        <v>326.45858332753562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79.759358487846555</v>
      </c>
      <c r="AA91" s="21">
        <f>EXP(-LN(2)/25)*AA90+(1-EXP(-LN(2)/25))/(LN(2)/25)*Calculateur!V91*Calculateur!X91*VLOOKUP('Données projet'!$B$9,Paramètres!$A$1:$I$89,3,0)*0.475*44/12</f>
        <v>22.287183118085846</v>
      </c>
      <c r="AB91" s="21">
        <f>EXP(-LN(2)/2)*AB90+(1-EXP(-LN(2)/2))/(LN(2)/2)*V91*Y91*VLOOKUP('Données projet'!$B$9,Paramètres!$A$1:$I$89,3,0)*0.475*44/12</f>
        <v>3.6597560316988216E-3</v>
      </c>
      <c r="AC91" s="22">
        <f t="shared" si="57"/>
        <v>102.0502013619641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10.192500000000001</v>
      </c>
      <c r="AI91" s="13">
        <f>IF('Données projet'!$A$62&gt;35,AI90+AH91-AQ90,IF(A91&lt;'Données projet'!$A$62,$AF$205^A91,IF(A91='Données projet'!$A$62,'Données projet'!$B$62,AI90+AH91-AQ90)))</f>
        <v>360.01749999999993</v>
      </c>
      <c r="AJ91" s="13">
        <f>AI91*VLOOKUP('Données projet'!$B$10,Paramètres!$A$1:$I$89,3,0)*VLOOKUP('Données projet'!$B$10,Paramètres!$A$1:$I$89,5,0)</f>
        <v>168.48818999999997</v>
      </c>
      <c r="AK91" s="13">
        <f t="shared" si="89"/>
        <v>42.751252606373484</v>
      </c>
      <c r="AL91" s="20">
        <f t="shared" si="58"/>
        <v>367.90869587276711</v>
      </c>
      <c r="AM91" s="59">
        <f t="shared" si="59"/>
        <v>641.59042824196081</v>
      </c>
      <c r="AN91" s="59">
        <f ca="1">AVERAGE(OFFSET($AM$3,0,0,'Données projet'!$E$10+1,1))-AVERAGE(OFFSET($H$3,0,0,'Données projet'!$E$10+1,1))</f>
        <v>374.38106339726073</v>
      </c>
      <c r="AO91" s="59">
        <f t="shared" si="90"/>
        <v>296.53283288925957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53.495826808911261</v>
      </c>
      <c r="AV91" s="21">
        <f>EXP(-LN(2)/25)*AV90+(1-EXP(-LN(2)/25))/(LN(2)/25)*Calculateur!AQ91*Calculateur!AS91*VLOOKUP('Données projet'!$B$10,Paramètres!$A$1:$I$89,3,0)*0.475*44/12</f>
        <v>21.733958328392713</v>
      </c>
      <c r="AW91" s="21">
        <f>EXP(-LN(2)/2)*AW90+(1-EXP(-LN(2)/2))/(LN(2)/2)*AQ91*AT91*VLOOKUP('Données projet'!$B$10,Paramètres!$A$1:$I$89,3,0)*0.475*44/12</f>
        <v>3.6479427623433098</v>
      </c>
      <c r="AX91" s="21">
        <f t="shared" si="60"/>
        <v>78.877727899647283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9.1730000000000018</v>
      </c>
      <c r="BD91" s="12">
        <f>IF('Données projet'!$A$88&gt;35,BD90+BC91-BL90,IF(A91&lt;'Données projet'!$A$88,$BA$205^A91,IF(A91='Données projet'!$A$88,'Données projet'!$B$88,BD90+BC91-BL90)))</f>
        <v>325.0920000000005</v>
      </c>
      <c r="BE91" s="13">
        <f>BD91*VLOOKUP('Données projet'!$B$11,Paramètres!$A$1:$I$89,3,0)*VLOOKUP('Données projet'!$B$11,Paramètres!$A$1:$I$89,5,0)</f>
        <v>294.14324160000047</v>
      </c>
      <c r="BF91" s="13">
        <f t="shared" si="91"/>
        <v>69.947256671789191</v>
      </c>
      <c r="BG91" s="20">
        <f t="shared" si="61"/>
        <v>634.12428449003357</v>
      </c>
      <c r="BH91" s="59">
        <f t="shared" si="62"/>
        <v>907.80601685922727</v>
      </c>
      <c r="BI91" s="59">
        <f ca="1">AVERAGE(OFFSET($BH$3,0,0,'Données projet'!$E$11+1,1))-AVERAGE(OFFSET($H$3,0,0,'Données projet'!$E$11+1,1))</f>
        <v>681.47578137804555</v>
      </c>
      <c r="BJ91" s="59">
        <f t="shared" si="92"/>
        <v>300.88511065995885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20.358356558518242</v>
      </c>
      <c r="BQ91" s="21">
        <f>EXP(-LN(2)/25)*BQ90+(1-EXP(-LN(2)/25))/(LN(2)/25)*Calculateur!BL91*Calculateur!BN91*VLOOKUP('Données projet'!$B$11,Paramètres!$A$1:$I$89,3,0)*0.475*44/12</f>
        <v>26.473523507244941</v>
      </c>
      <c r="BR91" s="21">
        <f>EXP(-LN(2)/2)*BR90+(1-EXP(-LN(2)/2))/(LN(2)/2)*BL91*BO91*VLOOKUP('Données projet'!$B$11,Paramètres!$A$1:$I$89,3,0)*0.475*44/12</f>
        <v>1.4600778620232295</v>
      </c>
      <c r="BS91" s="22">
        <f t="shared" si="63"/>
        <v>48.291957927786413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1.9230769230769169</v>
      </c>
      <c r="BY91" s="12">
        <f>IF('Données projet'!$A$114&gt;35,BY90+BX91-CG90,IF(A91&lt;'Données projet'!$A$114,$BV$205^A91,IF(A91='Données projet'!$A$114,'Données projet'!$B$114,BY90+BX91-CG90)))</f>
        <v>145.51282051282055</v>
      </c>
      <c r="BZ91" s="13">
        <f>BY91*VLOOKUP('Données projet'!$B$12,Paramètres!$A$1:$I$89,3,0)*VLOOKUP('Données projet'!$B$12,Paramètres!$A$1:$I$89,5,0)</f>
        <v>152.09000000000006</v>
      </c>
      <c r="CA91" s="13">
        <f t="shared" si="93"/>
        <v>39.053162448424146</v>
      </c>
      <c r="CB91" s="20">
        <f t="shared" si="64"/>
        <v>332.90767459767216</v>
      </c>
      <c r="CC91" s="59">
        <f t="shared" si="65"/>
        <v>606.58940696686591</v>
      </c>
      <c r="CD91" s="59">
        <f ca="1">AVERAGE(OFFSET($CC$3,0,0,'Données projet'!$E$12+1,1))-AVERAGE(OFFSET($H$3,0,0,'Données projet'!$E$12+1,1))</f>
        <v>290.69667785754848</v>
      </c>
      <c r="CE91" s="59">
        <f t="shared" si="94"/>
        <v>256.28124185489082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2.4189042194225339</v>
      </c>
      <c r="CL91" s="21">
        <f>EXP(-LN(2)/25)*CL90+(1-EXP(-LN(2)/25))/(LN(2)/25)*Calculateur!CG91*Calculateur!CI91*VLOOKUP('Données projet'!$B$12,Paramètres!$A$1:$I$89,3,0)*0.475*44/12</f>
        <v>16.947878980474698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19.366783199897231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408.246209980743</v>
      </c>
      <c r="CZ91" s="59">
        <f t="shared" si="96"/>
        <v>394.10236303013903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48.715225329427255</v>
      </c>
      <c r="DG91" s="21">
        <f>EXP(-LN(2)/25)*DG90+(1-EXP(-LN(2)/25))/(LN(2)/25)*Calculateur!DB91*Calculateur!DD91*VLOOKUP('Données projet'!$B$13,Paramètres!$A$1:$I$89,3,0)*0.475*44/12</f>
        <v>45.144682856678742</v>
      </c>
      <c r="DH91" s="21">
        <f>EXP(-LN(2)/2)*DH90+(1-EXP(-LN(2)/2))/(LN(2)/2)*DB91*DE91*VLOOKUP('Données projet'!$B$13,Paramètres!$A$1:$I$89,3,0)*0.475*44/12</f>
        <v>4.2838161610863512</v>
      </c>
      <c r="DI91" s="22">
        <f t="shared" si="69"/>
        <v>98.143724347192347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5.6843418860808015E-13</v>
      </c>
      <c r="DP91" s="17">
        <f>DO91*VLOOKUP('Données projet'!$B$14,Paramètres!$A$1:$I$89,3,0)*VLOOKUP('Données projet'!$B$14,Paramètres!$A$1:$I$89,5,0)</f>
        <v>3.177547114319168E-13</v>
      </c>
      <c r="DQ91" s="13">
        <f t="shared" si="97"/>
        <v>4.1725404435445377E-12</v>
      </c>
      <c r="DR91" s="20">
        <f t="shared" si="70"/>
        <v>7.820597394917325E-12</v>
      </c>
      <c r="DS91" s="59">
        <f t="shared" si="71"/>
        <v>273.68173236920154</v>
      </c>
      <c r="DT91" s="59">
        <f ca="1">AVERAGE(OFFSET($DS$3,0,0,'Données projet'!$E$14+1,1))-AVERAGE(OFFSET($H$3,0,0,'Données projet'!$E$14+1,1))</f>
        <v>407.05634973057056</v>
      </c>
      <c r="DU91" s="59">
        <f t="shared" si="98"/>
        <v>375.32891954889965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161.55628947515123</v>
      </c>
      <c r="EB91" s="21">
        <f>EXP(-LN(2)/25)*EB90+(1-EXP(-LN(2)/25))/(LN(2)/25)*Calculateur!DW91*Calculateur!DY91*VLOOKUP('Données projet'!$B$14,Paramètres!$A$1:$I$89,3,0)*0.475*44/12</f>
        <v>46.599187958642645</v>
      </c>
      <c r="EC91" s="21">
        <f>EXP(-LN(2)/2)*EC90+(1-EXP(-LN(2)/2))/(LN(2)/2)*DW91*DZ91*VLOOKUP('Données projet'!$B$14,Paramètres!$A$1:$I$89,3,0)*0.475*44/12</f>
        <v>0.14747172719300763</v>
      </c>
      <c r="ED91" s="22">
        <f t="shared" si="72"/>
        <v>208.30294916098688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1.1368683772161603E-13</v>
      </c>
      <c r="EK91" s="17">
        <f>EJ91*VLOOKUP('Données projet'!$B$15,Paramètres!$A$1:$I$89,3,0)*VLOOKUP('Données projet'!$B$15,Paramètres!$A$1:$I$89,5,0)</f>
        <v>5.0249582272954292E-14</v>
      </c>
      <c r="EL91" s="13">
        <f t="shared" si="99"/>
        <v>8.1784820119191593E-13</v>
      </c>
      <c r="EM91" s="20">
        <f t="shared" si="73"/>
        <v>1.5119369728679821E-12</v>
      </c>
      <c r="EN91" s="59">
        <f t="shared" si="74"/>
        <v>273.68173236919523</v>
      </c>
      <c r="EO91" s="59">
        <f ca="1">AVERAGE(OFFSET($EN$3,0,0,'Données projet'!$E$15+1,1))-AVERAGE(OFFSET($H$3,0,0,'Données projet'!$E$15+1,1))</f>
        <v>418.28022549686278</v>
      </c>
      <c r="EP91" s="59">
        <f t="shared" si="100"/>
        <v>354.55070454517158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176.35758722761707</v>
      </c>
      <c r="EW91" s="21">
        <f>EXP(-LN(2)/25)*EW90+(1-EXP(-LN(2)/25))/(LN(2)/25)*Calculateur!ER91*Calculateur!ET91*VLOOKUP('Données projet'!$B$15,Paramètres!$A$1:$I$89,3,0)*0.475*44/12</f>
        <v>57.593657859246591</v>
      </c>
      <c r="EX91" s="21">
        <f>EXP(-LN(2)/2)*EX90+(1-EXP(-LN(2)/2))/(LN(2)/2)*ER91*EU91*VLOOKUP('Données projet'!$B$15,Paramètres!$A$1:$I$89,3,0)*0.475*44/12</f>
        <v>4.912743198020336</v>
      </c>
      <c r="EY91" s="22">
        <f t="shared" si="75"/>
        <v>238.86398828488399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6.7600000000000007</v>
      </c>
      <c r="FE91" s="12">
        <f>IF('Données projet'!$A$218&gt;35,FE90+FD91-FM90,IF(A91&lt;'Données projet'!$A$218,$FB$205^A91,IF(A91='Données projet'!$A$218,'Données projet'!$B$218,FE90+FD91-FM90)))</f>
        <v>205.24999999999994</v>
      </c>
      <c r="FF91" s="17">
        <f>FE91*VLOOKUP('Données projet'!$B$16,Paramètres!$A$1:$I$89,3,0)*VLOOKUP('Données projet'!$B$16,Paramètres!$A$1:$I$89,5,0)</f>
        <v>233.73869999999994</v>
      </c>
      <c r="FG91" s="13">
        <f t="shared" si="101"/>
        <v>57.090315684407514</v>
      </c>
      <c r="FH91" s="20">
        <f t="shared" si="76"/>
        <v>506.52720231700965</v>
      </c>
      <c r="FI91" s="59">
        <f t="shared" si="77"/>
        <v>780.20893468620329</v>
      </c>
      <c r="FJ91" s="59">
        <f ca="1">AVERAGE(OFFSET($FI$3,0,0,'Données projet'!$E$16+1,1))-AVERAGE(OFFSET($H$3,0,0,'Données projet'!$E$16+1,1))</f>
        <v>640.05156427113661</v>
      </c>
      <c r="FK91" s="59">
        <f t="shared" si="102"/>
        <v>308.77220155372902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6.8363395145671255</v>
      </c>
      <c r="FR91" s="21">
        <f>EXP(-LN(2)/25)*FR90+(1-EXP(-LN(2)/25))/(LN(2)/25)*Calculateur!FM91*Calculateur!FO91*VLOOKUP('Données projet'!$B$16,Paramètres!$A$1:$I$89,3,0)*0.475*44/12</f>
        <v>39.841365887729587</v>
      </c>
      <c r="FS91" s="21">
        <f>EXP(-LN(2)/2)*FS90+(1-EXP(-LN(2)/2))/(LN(2)/2)*FM91*FP91*VLOOKUP('Données projet'!$B$16,Paramètres!$A$1:$I$89,3,0)*0.475*44/12</f>
        <v>2.1915164186339555</v>
      </c>
      <c r="FT91" s="22">
        <f t="shared" si="78"/>
        <v>48.869221820930662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6.7984728957526396E-14</v>
      </c>
      <c r="P92" s="13">
        <f t="shared" si="87"/>
        <v>1.0682447123141398E-12</v>
      </c>
      <c r="Q92" s="20">
        <f t="shared" si="54"/>
        <v>1.978932943548152E-12</v>
      </c>
      <c r="R92" s="59">
        <f t="shared" si="55"/>
        <v>274.02264371152557</v>
      </c>
      <c r="S92" s="59">
        <f ca="1">AVERAGE(OFFSET($R$3,0,0,'Données projet'!$E$9+1,1))-AVERAGE(OFFSET($H$3,0,0,'Données projet'!$E$9+1,1))</f>
        <v>318.50474972254085</v>
      </c>
      <c r="T92" s="59">
        <f t="shared" si="88"/>
        <v>326.45858332753562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78.195326116304926</v>
      </c>
      <c r="AA92" s="21">
        <f>EXP(-LN(2)/25)*AA91+(1-EXP(-LN(2)/25))/(LN(2)/25)*Calculateur!V92*Calculateur!X92*VLOOKUP('Données projet'!$B$9,Paramètres!$A$1:$I$89,3,0)*0.475*44/12</f>
        <v>21.677738923689766</v>
      </c>
      <c r="AB92" s="21">
        <f>EXP(-LN(2)/2)*AB91+(1-EXP(-LN(2)/2))/(LN(2)/2)*V92*Y92*VLOOKUP('Données projet'!$B$9,Paramètres!$A$1:$I$89,3,0)*0.475*44/12</f>
        <v>2.5878383075026061E-3</v>
      </c>
      <c r="AC92" s="22">
        <f t="shared" si="57"/>
        <v>99.875652878302191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10.192500000000001</v>
      </c>
      <c r="AI92" s="13">
        <f>IF('Données projet'!$A$62&gt;35,AI91+AH92-AQ91,IF(A92&lt;'Données projet'!$A$62,$AF$205^A92,IF(A92='Données projet'!$A$62,'Données projet'!$B$62,AI91+AH92-AQ91)))</f>
        <v>370.20999999999992</v>
      </c>
      <c r="AJ92" s="13">
        <f>AI92*VLOOKUP('Données projet'!$B$10,Paramètres!$A$1:$I$89,3,0)*VLOOKUP('Données projet'!$B$10,Paramètres!$A$1:$I$89,5,0)</f>
        <v>173.25827999999996</v>
      </c>
      <c r="AK92" s="13">
        <f t="shared" si="89"/>
        <v>43.818961645566453</v>
      </c>
      <c r="AL92" s="20">
        <f t="shared" si="58"/>
        <v>378.07619586602806</v>
      </c>
      <c r="AM92" s="59">
        <f t="shared" si="59"/>
        <v>652.09883957755164</v>
      </c>
      <c r="AN92" s="59">
        <f ca="1">AVERAGE(OFFSET($AM$3,0,0,'Données projet'!$E$10+1,1))-AVERAGE(OFFSET($H$3,0,0,'Données projet'!$E$10+1,1))</f>
        <v>374.38106339726073</v>
      </c>
      <c r="AO92" s="59">
        <f t="shared" si="90"/>
        <v>296.53283288925957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52.446806274420993</v>
      </c>
      <c r="AV92" s="21">
        <f>EXP(-LN(2)/25)*AV91+(1-EXP(-LN(2)/25))/(LN(2)/25)*Calculateur!AQ92*Calculateur!AS92*VLOOKUP('Données projet'!$B$10,Paramètres!$A$1:$I$89,3,0)*0.475*44/12</f>
        <v>21.139642094963619</v>
      </c>
      <c r="AW92" s="21">
        <f>EXP(-LN(2)/2)*AW91+(1-EXP(-LN(2)/2))/(LN(2)/2)*AQ92*AT92*VLOOKUP('Données projet'!$B$10,Paramètres!$A$1:$I$89,3,0)*0.475*44/12</f>
        <v>2.5794850646333405</v>
      </c>
      <c r="AX92" s="21">
        <f t="shared" si="60"/>
        <v>76.165933434017958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9.1730000000000018</v>
      </c>
      <c r="BD92" s="12">
        <f>IF('Données projet'!$A$88&gt;35,BD91+BC92-BL91,IF(A92&lt;'Données projet'!$A$88,$BA$205^A92,IF(A92='Données projet'!$A$88,'Données projet'!$B$88,BD91+BC92-BL91)))</f>
        <v>334.2650000000005</v>
      </c>
      <c r="BE92" s="13">
        <f>BD92*VLOOKUP('Données projet'!$B$11,Paramètres!$A$1:$I$89,3,0)*VLOOKUP('Données projet'!$B$11,Paramètres!$A$1:$I$89,5,0)</f>
        <v>302.44297200000045</v>
      </c>
      <c r="BF92" s="13">
        <f t="shared" si="91"/>
        <v>71.688362252626035</v>
      </c>
      <c r="BG92" s="20">
        <f t="shared" si="61"/>
        <v>651.61207382332452</v>
      </c>
      <c r="BH92" s="59">
        <f t="shared" si="62"/>
        <v>925.63471753484805</v>
      </c>
      <c r="BI92" s="59">
        <f ca="1">AVERAGE(OFFSET($BH$3,0,0,'Données projet'!$E$11+1,1))-AVERAGE(OFFSET($H$3,0,0,'Données projet'!$E$11+1,1))</f>
        <v>681.47578137804555</v>
      </c>
      <c r="BJ92" s="59">
        <f t="shared" si="92"/>
        <v>300.88511065995885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19.959141603777088</v>
      </c>
      <c r="BQ92" s="21">
        <f>EXP(-LN(2)/25)*BQ91+(1-EXP(-LN(2)/25))/(LN(2)/25)*Calculateur!BL92*Calculateur!BN92*VLOOKUP('Données projet'!$B$11,Paramètres!$A$1:$I$89,3,0)*0.475*44/12</f>
        <v>25.749603614757234</v>
      </c>
      <c r="BR92" s="21">
        <f>EXP(-LN(2)/2)*BR91+(1-EXP(-LN(2)/2))/(LN(2)/2)*BL92*BO92*VLOOKUP('Données projet'!$B$11,Paramètres!$A$1:$I$89,3,0)*0.475*44/12</f>
        <v>1.0324309572969819</v>
      </c>
      <c r="BS92" s="22">
        <f t="shared" si="63"/>
        <v>46.741176175831299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1.9230769230769169</v>
      </c>
      <c r="BY92" s="12">
        <f>IF('Données projet'!$A$114&gt;35,BY91+BX92-CG91,IF(A92&lt;'Données projet'!$A$114,$BV$205^A92,IF(A92='Données projet'!$A$114,'Données projet'!$B$114,BY91+BX92-CG91)))</f>
        <v>147.43589743589746</v>
      </c>
      <c r="BZ92" s="13">
        <f>BY92*VLOOKUP('Données projet'!$B$12,Paramètres!$A$1:$I$89,3,0)*VLOOKUP('Données projet'!$B$12,Paramètres!$A$1:$I$89,5,0)</f>
        <v>154.10000000000002</v>
      </c>
      <c r="CA92" s="13">
        <f t="shared" si="93"/>
        <v>39.508857983748619</v>
      </c>
      <c r="CB92" s="20">
        <f t="shared" si="64"/>
        <v>337.20209432169548</v>
      </c>
      <c r="CC92" s="59">
        <f t="shared" si="65"/>
        <v>611.22473803321907</v>
      </c>
      <c r="CD92" s="59">
        <f ca="1">AVERAGE(OFFSET($CC$3,0,0,'Données projet'!$E$12+1,1))-AVERAGE(OFFSET($H$3,0,0,'Données projet'!$E$12+1,1))</f>
        <v>290.69667785754848</v>
      </c>
      <c r="CE92" s="59">
        <f t="shared" si="94"/>
        <v>256.28124185489082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2.3714709830655494</v>
      </c>
      <c r="CL92" s="21">
        <f>EXP(-LN(2)/25)*CL91+(1-EXP(-LN(2)/25))/(LN(2)/25)*Calculateur!CG92*Calculateur!CI92*VLOOKUP('Données projet'!$B$12,Paramètres!$A$1:$I$89,3,0)*0.475*44/12</f>
        <v>16.484438338503399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18.855909321568948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408.246209980743</v>
      </c>
      <c r="CZ92" s="59">
        <f t="shared" si="96"/>
        <v>394.10236303013903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47.759949474070687</v>
      </c>
      <c r="DG92" s="21">
        <f>EXP(-LN(2)/25)*DG91+(1-EXP(-LN(2)/25))/(LN(2)/25)*Calculateur!DB92*Calculateur!DD92*VLOOKUP('Données projet'!$B$13,Paramètres!$A$1:$I$89,3,0)*0.475*44/12</f>
        <v>43.91019912990717</v>
      </c>
      <c r="DH92" s="21">
        <f>EXP(-LN(2)/2)*DH91+(1-EXP(-LN(2)/2))/(LN(2)/2)*DB92*DE92*VLOOKUP('Données projet'!$B$13,Paramètres!$A$1:$I$89,3,0)*0.475*44/12</f>
        <v>3.0291154568606826</v>
      </c>
      <c r="DI92" s="22">
        <f t="shared" si="69"/>
        <v>94.69926406083853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5.6843418860808015E-13</v>
      </c>
      <c r="DP92" s="17">
        <f>DO92*VLOOKUP('Données projet'!$B$14,Paramètres!$A$1:$I$89,3,0)*VLOOKUP('Données projet'!$B$14,Paramètres!$A$1:$I$89,5,0)</f>
        <v>3.177547114319168E-13</v>
      </c>
      <c r="DQ92" s="13">
        <f t="shared" si="97"/>
        <v>4.1725404435445377E-12</v>
      </c>
      <c r="DR92" s="20">
        <f t="shared" si="70"/>
        <v>7.820597394917325E-12</v>
      </c>
      <c r="DS92" s="59">
        <f t="shared" si="71"/>
        <v>274.02264371153143</v>
      </c>
      <c r="DT92" s="59">
        <f ca="1">AVERAGE(OFFSET($DS$3,0,0,'Données projet'!$E$14+1,1))-AVERAGE(OFFSET($H$3,0,0,'Données projet'!$E$14+1,1))</f>
        <v>407.05634973057056</v>
      </c>
      <c r="DU92" s="59">
        <f t="shared" si="98"/>
        <v>375.32891954889965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158.38826917815013</v>
      </c>
      <c r="EB92" s="21">
        <f>EXP(-LN(2)/25)*EB91+(1-EXP(-LN(2)/25))/(LN(2)/25)*Calculateur!DW92*Calculateur!DY92*VLOOKUP('Données projet'!$B$14,Paramètres!$A$1:$I$89,3,0)*0.475*44/12</f>
        <v>45.324930713368772</v>
      </c>
      <c r="EC92" s="21">
        <f>EXP(-LN(2)/2)*EC91+(1-EXP(-LN(2)/2))/(LN(2)/2)*DW92*DZ92*VLOOKUP('Données projet'!$B$14,Paramètres!$A$1:$I$89,3,0)*0.475*44/12</f>
        <v>0.10427825833146828</v>
      </c>
      <c r="ED92" s="22">
        <f t="shared" si="72"/>
        <v>203.81747814985039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1.1368683772161603E-13</v>
      </c>
      <c r="EK92" s="17">
        <f>EJ92*VLOOKUP('Données projet'!$B$15,Paramètres!$A$1:$I$89,3,0)*VLOOKUP('Données projet'!$B$15,Paramètres!$A$1:$I$89,5,0)</f>
        <v>5.0249582272954292E-14</v>
      </c>
      <c r="EL92" s="13">
        <f t="shared" si="99"/>
        <v>8.1784820119191593E-13</v>
      </c>
      <c r="EM92" s="20">
        <f t="shared" si="73"/>
        <v>1.5119369728679821E-12</v>
      </c>
      <c r="EN92" s="59">
        <f t="shared" si="74"/>
        <v>274.02264371152512</v>
      </c>
      <c r="EO92" s="59">
        <f ca="1">AVERAGE(OFFSET($EN$3,0,0,'Données projet'!$E$15+1,1))-AVERAGE(OFFSET($H$3,0,0,'Données projet'!$E$15+1,1))</f>
        <v>418.28022549686278</v>
      </c>
      <c r="EP92" s="59">
        <f t="shared" si="100"/>
        <v>354.55070454517158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172.89932250959029</v>
      </c>
      <c r="EW92" s="21">
        <f>EXP(-LN(2)/25)*EW91+(1-EXP(-LN(2)/25))/(LN(2)/25)*Calculateur!ER92*Calculateur!ET92*VLOOKUP('Données projet'!$B$15,Paramètres!$A$1:$I$89,3,0)*0.475*44/12</f>
        <v>56.018756256366657</v>
      </c>
      <c r="EX92" s="21">
        <f>EXP(-LN(2)/2)*EX91+(1-EXP(-LN(2)/2))/(LN(2)/2)*ER92*EU92*VLOOKUP('Données projet'!$B$15,Paramètres!$A$1:$I$89,3,0)*0.475*44/12</f>
        <v>3.4738340295482657</v>
      </c>
      <c r="EY92" s="22">
        <f t="shared" si="75"/>
        <v>232.39191279550522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6.7600000000000007</v>
      </c>
      <c r="FE92" s="12">
        <f>IF('Données projet'!$A$218&gt;35,FE91+FD92-FM91,IF(A92&lt;'Données projet'!$A$218,$FB$205^A92,IF(A92='Données projet'!$A$218,'Données projet'!$B$218,FE91+FD92-FM91)))</f>
        <v>212.00999999999993</v>
      </c>
      <c r="FF92" s="17">
        <f>FE92*VLOOKUP('Données projet'!$B$16,Paramètres!$A$1:$I$89,3,0)*VLOOKUP('Données projet'!$B$16,Paramètres!$A$1:$I$89,5,0)</f>
        <v>241.43698799999993</v>
      </c>
      <c r="FG92" s="13">
        <f t="shared" si="101"/>
        <v>58.748597951768716</v>
      </c>
      <c r="FH92" s="20">
        <f t="shared" si="76"/>
        <v>522.82322886599707</v>
      </c>
      <c r="FI92" s="59">
        <f t="shared" si="77"/>
        <v>796.84587257752059</v>
      </c>
      <c r="FJ92" s="59">
        <f ca="1">AVERAGE(OFFSET($FI$3,0,0,'Données projet'!$E$16+1,1))-AVERAGE(OFFSET($H$3,0,0,'Données projet'!$E$16+1,1))</f>
        <v>640.05156427113661</v>
      </c>
      <c r="FK92" s="59">
        <f t="shared" si="102"/>
        <v>308.77220155372902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6.7022830664418391</v>
      </c>
      <c r="FR92" s="21">
        <f>EXP(-LN(2)/25)*FR91+(1-EXP(-LN(2)/25))/(LN(2)/25)*Calculateur!FM92*Calculateur!FO92*VLOOKUP('Données projet'!$B$16,Paramètres!$A$1:$I$89,3,0)*0.475*44/12</f>
        <v>38.751901642363251</v>
      </c>
      <c r="FS92" s="21">
        <f>EXP(-LN(2)/2)*FS91+(1-EXP(-LN(2)/2))/(LN(2)/2)*FM92*FP92*VLOOKUP('Données projet'!$B$16,Paramètres!$A$1:$I$89,3,0)*0.475*44/12</f>
        <v>1.5496361206977267</v>
      </c>
      <c r="FT92" s="22">
        <f t="shared" si="78"/>
        <v>47.003820829502814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6.7984728957526396E-14</v>
      </c>
      <c r="P93" s="13">
        <f t="shared" si="87"/>
        <v>1.0682447123141398E-12</v>
      </c>
      <c r="Q93" s="20">
        <f t="shared" si="54"/>
        <v>1.978932943548152E-12</v>
      </c>
      <c r="R93" s="59">
        <f t="shared" si="55"/>
        <v>274.35764100422966</v>
      </c>
      <c r="S93" s="59">
        <f ca="1">AVERAGE(OFFSET($R$3,0,0,'Données projet'!$E$9+1,1))-AVERAGE(OFFSET($H$3,0,0,'Données projet'!$E$9+1,1))</f>
        <v>318.50474972254085</v>
      </c>
      <c r="T93" s="59">
        <f t="shared" si="88"/>
        <v>326.45858332753562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76.661963465603677</v>
      </c>
      <c r="AA93" s="21">
        <f>EXP(-LN(2)/25)*AA92+(1-EXP(-LN(2)/25))/(LN(2)/25)*Calculateur!V93*Calculateur!X93*VLOOKUP('Données projet'!$B$9,Paramètres!$A$1:$I$89,3,0)*0.475*44/12</f>
        <v>21.084960012838724</v>
      </c>
      <c r="AB93" s="21">
        <f>EXP(-LN(2)/2)*AB92+(1-EXP(-LN(2)/2))/(LN(2)/2)*V93*Y93*VLOOKUP('Données projet'!$B$9,Paramètres!$A$1:$I$89,3,0)*0.475*44/12</f>
        <v>1.8298780158494108E-3</v>
      </c>
      <c r="AC93" s="22">
        <f t="shared" si="57"/>
        <v>97.748753356458252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10.192500000000001</v>
      </c>
      <c r="AI93" s="13">
        <f>IF('Données projet'!$A$62&gt;35,AI92+AH93-AQ92,IF(A93&lt;'Données projet'!$A$62,$AF$205^A93,IF(A93='Données projet'!$A$62,'Données projet'!$B$62,AI92+AH93-AQ92)))</f>
        <v>380.40249999999992</v>
      </c>
      <c r="AJ93" s="13">
        <f>AI93*VLOOKUP('Données projet'!$B$10,Paramètres!$A$1:$I$89,3,0)*VLOOKUP('Données projet'!$B$10,Paramètres!$A$1:$I$89,5,0)</f>
        <v>178.02836999999997</v>
      </c>
      <c r="AK93" s="13">
        <f t="shared" si="89"/>
        <v>44.883254032720146</v>
      </c>
      <c r="AL93" s="20">
        <f t="shared" si="58"/>
        <v>388.23774519032082</v>
      </c>
      <c r="AM93" s="59">
        <f t="shared" si="59"/>
        <v>662.5953861945485</v>
      </c>
      <c r="AN93" s="59">
        <f ca="1">AVERAGE(OFFSET($AM$3,0,0,'Données projet'!$E$10+1,1))-AVERAGE(OFFSET($H$3,0,0,'Données projet'!$E$10+1,1))</f>
        <v>374.38106339726073</v>
      </c>
      <c r="AO93" s="59">
        <f t="shared" si="90"/>
        <v>296.53283288925957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51.418356392772736</v>
      </c>
      <c r="AV93" s="21">
        <f>EXP(-LN(2)/25)*AV92+(1-EXP(-LN(2)/25))/(LN(2)/25)*Calculateur!AQ93*Calculateur!AS93*VLOOKUP('Données projet'!$B$10,Paramètres!$A$1:$I$89,3,0)*0.475*44/12</f>
        <v>20.561577470191377</v>
      </c>
      <c r="AW93" s="21">
        <f>EXP(-LN(2)/2)*AW92+(1-EXP(-LN(2)/2))/(LN(2)/2)*AQ93*AT93*VLOOKUP('Données projet'!$B$10,Paramètres!$A$1:$I$89,3,0)*0.475*44/12</f>
        <v>1.8239713811716549</v>
      </c>
      <c r="AX93" s="21">
        <f t="shared" si="60"/>
        <v>73.803905244135777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9.1730000000000018</v>
      </c>
      <c r="BD93" s="12">
        <f>IF('Données projet'!$A$88&gt;35,BD92+BC93-BL92,IF(A93&lt;'Données projet'!$A$88,$BA$205^A93,IF(A93='Données projet'!$A$88,'Données projet'!$B$88,BD92+BC93-BL92)))</f>
        <v>343.4380000000005</v>
      </c>
      <c r="BE93" s="13">
        <f>BD93*VLOOKUP('Données projet'!$B$11,Paramètres!$A$1:$I$89,3,0)*VLOOKUP('Données projet'!$B$11,Paramètres!$A$1:$I$89,5,0)</f>
        <v>310.74270240000044</v>
      </c>
      <c r="BF93" s="13">
        <f t="shared" si="91"/>
        <v>73.423914385133031</v>
      </c>
      <c r="BG93" s="20">
        <f t="shared" si="61"/>
        <v>669.09019090077402</v>
      </c>
      <c r="BH93" s="59">
        <f t="shared" si="62"/>
        <v>943.44783190500175</v>
      </c>
      <c r="BI93" s="59">
        <f ca="1">AVERAGE(OFFSET($BH$3,0,0,'Données projet'!$E$11+1,1))-AVERAGE(OFFSET($H$3,0,0,'Données projet'!$E$11+1,1))</f>
        <v>681.47578137804555</v>
      </c>
      <c r="BJ93" s="59">
        <f t="shared" si="92"/>
        <v>300.88511065995885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19.567755010801328</v>
      </c>
      <c r="BQ93" s="21">
        <f>EXP(-LN(2)/25)*BQ92+(1-EXP(-LN(2)/25))/(LN(2)/25)*Calculateur!BL93*Calculateur!BN93*VLOOKUP('Données projet'!$B$11,Paramètres!$A$1:$I$89,3,0)*0.475*44/12</f>
        <v>25.045479349798896</v>
      </c>
      <c r="BR93" s="21">
        <f>EXP(-LN(2)/2)*BR92+(1-EXP(-LN(2)/2))/(LN(2)/2)*BL93*BO93*VLOOKUP('Données projet'!$B$11,Paramètres!$A$1:$I$89,3,0)*0.475*44/12</f>
        <v>0.73003893101161477</v>
      </c>
      <c r="BS93" s="22">
        <f t="shared" si="63"/>
        <v>45.343273291611837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149.35897435897434</v>
      </c>
      <c r="BW93" s="12">
        <f>VLOOKUP(A93,'Données projet'!$A$113:$I$133,9,0)</f>
        <v>1.9230769230769169</v>
      </c>
      <c r="BX93" s="12">
        <f t="array" ref="BX93">INDEX(BW:BW,MIN(IF(ISNUMBER(BW93:BW289),ROW(BW93:BW289),"")))</f>
        <v>1.9230769230769169</v>
      </c>
      <c r="BY93" s="12">
        <f>IF('Données projet'!$A$114&gt;35,BY92+BX93-CG92,IF(A93&lt;'Données projet'!$A$114,$BV$205^A93,IF(A93='Données projet'!$A$114,'Données projet'!$B$114,BY92+BX93-CG92)))</f>
        <v>149.35897435897436</v>
      </c>
      <c r="BZ93" s="13">
        <f>BY93*VLOOKUP('Données projet'!$B$12,Paramètres!$A$1:$I$89,3,0)*VLOOKUP('Données projet'!$B$12,Paramètres!$A$1:$I$89,5,0)</f>
        <v>156.11000000000001</v>
      </c>
      <c r="CA93" s="13">
        <f t="shared" si="93"/>
        <v>39.963862158593372</v>
      </c>
      <c r="CB93" s="20">
        <f t="shared" si="64"/>
        <v>341.49530992621681</v>
      </c>
      <c r="CC93" s="59">
        <f t="shared" si="65"/>
        <v>615.85295093044442</v>
      </c>
      <c r="CD93" s="59">
        <f ca="1">AVERAGE(OFFSET($CC$3,0,0,'Données projet'!$E$12+1,1))-AVERAGE(OFFSET($H$3,0,0,'Données projet'!$E$12+1,1))</f>
        <v>290.69667785754848</v>
      </c>
      <c r="CE93" s="59">
        <f t="shared" si="94"/>
        <v>256.28124185489082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7.0512820512820511</v>
      </c>
      <c r="CH93" s="16">
        <f>IF(ISNA(VLOOKUP(A93,'Données projet'!$A$113:$I$133,5,0)),0%,VLOOKUP(A93,'Données projet'!$A$113:$I$133,5,0)*VLOOKUP('Données projet'!$B$12,Paramètres!$A$1:$I$89,7,0))</f>
        <v>4.3000000000000003E-2</v>
      </c>
      <c r="CI93" s="16">
        <f>IF(ISNA(VLOOKUP(A93,'Données projet'!$A$113:$I$133,6,0)),0%,VLOOKUP(A93,'Données projet'!$A$113:$I$133,6,0)*VLOOKUP('Données projet'!$B$12,Paramètres!$A$1:$I$89,7,0))</f>
        <v>0.215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2.6753025015198952</v>
      </c>
      <c r="CL93" s="21">
        <f>EXP(-LN(2)/25)*CL92+(1-EXP(-LN(2)/25))/(LN(2)/25)*Calculateur!CG93*Calculateur!CI93*VLOOKUP('Données projet'!$B$12,Paramètres!$A$1:$I$89,3,0)*0.475*44/12</f>
        <v>17.778446590752356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20.45374909227225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408.246209980743</v>
      </c>
      <c r="CZ93" s="59">
        <f t="shared" si="96"/>
        <v>394.10236303013903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46.823405995576927</v>
      </c>
      <c r="DG93" s="21">
        <f>EXP(-LN(2)/25)*DG92+(1-EXP(-LN(2)/25))/(LN(2)/25)*Calculateur!DB93*Calculateur!DD93*VLOOKUP('Données projet'!$B$13,Paramètres!$A$1:$I$89,3,0)*0.475*44/12</f>
        <v>42.709472425562844</v>
      </c>
      <c r="DH93" s="21">
        <f>EXP(-LN(2)/2)*DH92+(1-EXP(-LN(2)/2))/(LN(2)/2)*DB93*DE93*VLOOKUP('Données projet'!$B$13,Paramètres!$A$1:$I$89,3,0)*0.475*44/12</f>
        <v>2.1419080805431756</v>
      </c>
      <c r="DI93" s="22">
        <f t="shared" si="69"/>
        <v>91.674786501682945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5.6843418860808015E-13</v>
      </c>
      <c r="DP93" s="17">
        <f>DO93*VLOOKUP('Données projet'!$B$14,Paramètres!$A$1:$I$89,3,0)*VLOOKUP('Données projet'!$B$14,Paramètres!$A$1:$I$89,5,0)</f>
        <v>3.177547114319168E-13</v>
      </c>
      <c r="DQ93" s="13">
        <f t="shared" si="97"/>
        <v>4.1725404435445377E-12</v>
      </c>
      <c r="DR93" s="20">
        <f t="shared" si="70"/>
        <v>7.820597394917325E-12</v>
      </c>
      <c r="DS93" s="59">
        <f t="shared" si="71"/>
        <v>274.35764100423552</v>
      </c>
      <c r="DT93" s="59">
        <f ca="1">AVERAGE(OFFSET($DS$3,0,0,'Données projet'!$E$14+1,1))-AVERAGE(OFFSET($H$3,0,0,'Données projet'!$E$14+1,1))</f>
        <v>407.05634973057056</v>
      </c>
      <c r="DU93" s="59">
        <f t="shared" si="98"/>
        <v>375.32891954889965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155.28237182687161</v>
      </c>
      <c r="EB93" s="21">
        <f>EXP(-LN(2)/25)*EB92+(1-EXP(-LN(2)/25))/(LN(2)/25)*Calculateur!DW93*Calculateur!DY93*VLOOKUP('Données projet'!$B$14,Paramètres!$A$1:$I$89,3,0)*0.475*44/12</f>
        <v>44.085518099477191</v>
      </c>
      <c r="EC93" s="21">
        <f>EXP(-LN(2)/2)*EC92+(1-EXP(-LN(2)/2))/(LN(2)/2)*DW93*DZ93*VLOOKUP('Données projet'!$B$14,Paramètres!$A$1:$I$89,3,0)*0.475*44/12</f>
        <v>7.3735863596503817E-2</v>
      </c>
      <c r="ED93" s="22">
        <f t="shared" si="72"/>
        <v>199.44162578994531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1.1368683772161603E-13</v>
      </c>
      <c r="EK93" s="17">
        <f>EJ93*VLOOKUP('Données projet'!$B$15,Paramètres!$A$1:$I$89,3,0)*VLOOKUP('Données projet'!$B$15,Paramètres!$A$1:$I$89,5,0)</f>
        <v>5.0249582272954292E-14</v>
      </c>
      <c r="EL93" s="13">
        <f t="shared" si="99"/>
        <v>8.1784820119191593E-13</v>
      </c>
      <c r="EM93" s="20">
        <f t="shared" si="73"/>
        <v>1.5119369728679821E-12</v>
      </c>
      <c r="EN93" s="59">
        <f t="shared" si="74"/>
        <v>274.35764100422921</v>
      </c>
      <c r="EO93" s="59">
        <f ca="1">AVERAGE(OFFSET($EN$3,0,0,'Données projet'!$E$15+1,1))-AVERAGE(OFFSET($H$3,0,0,'Données projet'!$E$15+1,1))</f>
        <v>418.28022549686278</v>
      </c>
      <c r="EP93" s="59">
        <f t="shared" si="100"/>
        <v>354.55070454517158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169.50887225335083</v>
      </c>
      <c r="EW93" s="21">
        <f>EXP(-LN(2)/25)*EW92+(1-EXP(-LN(2)/25))/(LN(2)/25)*Calculateur!ER93*Calculateur!ET93*VLOOKUP('Données projet'!$B$15,Paramètres!$A$1:$I$89,3,0)*0.475*44/12</f>
        <v>54.486920420637951</v>
      </c>
      <c r="EX93" s="21">
        <f>EXP(-LN(2)/2)*EX92+(1-EXP(-LN(2)/2))/(LN(2)/2)*ER93*EU93*VLOOKUP('Données projet'!$B$15,Paramètres!$A$1:$I$89,3,0)*0.475*44/12</f>
        <v>2.4563715990101684</v>
      </c>
      <c r="EY93" s="22">
        <f t="shared" si="75"/>
        <v>226.45216427299894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6.7600000000000007</v>
      </c>
      <c r="FE93" s="12">
        <f>IF('Données projet'!$A$218&gt;35,FE92+FD93-FM92,IF(A93&lt;'Données projet'!$A$218,$FB$205^A93,IF(A93='Données projet'!$A$218,'Données projet'!$B$218,FE92+FD93-FM92)))</f>
        <v>218.76999999999992</v>
      </c>
      <c r="FF93" s="17">
        <f>FE93*VLOOKUP('Données projet'!$B$16,Paramètres!$A$1:$I$89,3,0)*VLOOKUP('Données projet'!$B$16,Paramètres!$A$1:$I$89,5,0)</f>
        <v>249.13527599999992</v>
      </c>
      <c r="FG93" s="13">
        <f t="shared" si="101"/>
        <v>60.4007358986577</v>
      </c>
      <c r="FH93" s="20">
        <f t="shared" si="76"/>
        <v>539.10855405682867</v>
      </c>
      <c r="FI93" s="59">
        <f t="shared" si="77"/>
        <v>813.4661950610564</v>
      </c>
      <c r="FJ93" s="59">
        <f ca="1">AVERAGE(OFFSET($FI$3,0,0,'Données projet'!$E$16+1,1))-AVERAGE(OFFSET($H$3,0,0,'Données projet'!$E$16+1,1))</f>
        <v>640.05156427113661</v>
      </c>
      <c r="FK93" s="59">
        <f t="shared" si="102"/>
        <v>308.77220155372902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6.5708553834979302</v>
      </c>
      <c r="FR93" s="21">
        <f>EXP(-LN(2)/25)*FR92+(1-EXP(-LN(2)/25))/(LN(2)/25)*Calculateur!FM93*Calculateur!FO93*VLOOKUP('Données projet'!$B$16,Paramètres!$A$1:$I$89,3,0)*0.475*44/12</f>
        <v>37.692228854078891</v>
      </c>
      <c r="FS93" s="21">
        <f>EXP(-LN(2)/2)*FS92+(1-EXP(-LN(2)/2))/(LN(2)/2)*FM93*FP93*VLOOKUP('Données projet'!$B$16,Paramètres!$A$1:$I$89,3,0)*0.475*44/12</f>
        <v>1.0957582093169778</v>
      </c>
      <c r="FT93" s="22">
        <f t="shared" si="78"/>
        <v>45.358842446893796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6.7984728957526396E-14</v>
      </c>
      <c r="P94" s="13">
        <f t="shared" si="87"/>
        <v>1.0682447123141398E-12</v>
      </c>
      <c r="Q94" s="20">
        <f t="shared" si="54"/>
        <v>1.978932943548152E-12</v>
      </c>
      <c r="R94" s="59">
        <f t="shared" si="55"/>
        <v>274.68682684284704</v>
      </c>
      <c r="S94" s="59">
        <f ca="1">AVERAGE(OFFSET($R$3,0,0,'Données projet'!$E$9+1,1))-AVERAGE(OFFSET($H$3,0,0,'Données projet'!$E$9+1,1))</f>
        <v>318.50474972254085</v>
      </c>
      <c r="T94" s="59">
        <f t="shared" si="88"/>
        <v>326.45858332753562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75.158669121223824</v>
      </c>
      <c r="AA94" s="21">
        <f>EXP(-LN(2)/25)*AA93+(1-EXP(-LN(2)/25))/(LN(2)/25)*Calculateur!V94*Calculateur!X94*VLOOKUP('Données projet'!$B$9,Paramètres!$A$1:$I$89,3,0)*0.475*44/12</f>
        <v>20.508390672477791</v>
      </c>
      <c r="AB94" s="21">
        <f>EXP(-LN(2)/2)*AB93+(1-EXP(-LN(2)/2))/(LN(2)/2)*V94*Y94*VLOOKUP('Données projet'!$B$9,Paramètres!$A$1:$I$89,3,0)*0.475*44/12</f>
        <v>1.2939191537513031E-3</v>
      </c>
      <c r="AC94" s="22">
        <f t="shared" si="57"/>
        <v>95.668353712855364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10.192500000000001</v>
      </c>
      <c r="AI94" s="13">
        <f>IF('Données projet'!$A$62&gt;35,AI93+AH94-AQ93,IF(A94&lt;'Données projet'!$A$62,$AF$205^A94,IF(A94='Données projet'!$A$62,'Données projet'!$B$62,AI93+AH94-AQ93)))</f>
        <v>390.59499999999991</v>
      </c>
      <c r="AJ94" s="13">
        <f>AI94*VLOOKUP('Données projet'!$B$10,Paramètres!$A$1:$I$89,3,0)*VLOOKUP('Données projet'!$B$10,Paramètres!$A$1:$I$89,5,0)</f>
        <v>182.79845999999995</v>
      </c>
      <c r="AK94" s="13">
        <f t="shared" si="89"/>
        <v>45.944231835010378</v>
      </c>
      <c r="AL94" s="20">
        <f t="shared" si="58"/>
        <v>398.39352161264304</v>
      </c>
      <c r="AM94" s="59">
        <f t="shared" si="59"/>
        <v>673.08034845548809</v>
      </c>
      <c r="AN94" s="59">
        <f ca="1">AVERAGE(OFFSET($AM$3,0,0,'Données projet'!$E$10+1,1))-AVERAGE(OFFSET($H$3,0,0,'Données projet'!$E$10+1,1))</f>
        <v>374.38106339726073</v>
      </c>
      <c r="AO94" s="59">
        <f t="shared" si="90"/>
        <v>296.53283288925957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50.410073786011111</v>
      </c>
      <c r="AV94" s="21">
        <f>EXP(-LN(2)/25)*AV93+(1-EXP(-LN(2)/25))/(LN(2)/25)*Calculateur!AQ94*Calculateur!AS94*VLOOKUP('Données projet'!$B$10,Paramètres!$A$1:$I$89,3,0)*0.475*44/12</f>
        <v>19.999320052982629</v>
      </c>
      <c r="AW94" s="21">
        <f>EXP(-LN(2)/2)*AW93+(1-EXP(-LN(2)/2))/(LN(2)/2)*AQ94*AT94*VLOOKUP('Données projet'!$B$10,Paramètres!$A$1:$I$89,3,0)*0.475*44/12</f>
        <v>1.2897425323166702</v>
      </c>
      <c r="AX94" s="21">
        <f t="shared" si="60"/>
        <v>71.699136371310402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9.1730000000000018</v>
      </c>
      <c r="BD94" s="12">
        <f>IF('Données projet'!$A$88&gt;35,BD93+BC94-BL93,IF(A94&lt;'Données projet'!$A$88,$BA$205^A94,IF(A94='Données projet'!$A$88,'Données projet'!$B$88,BD93+BC94-BL93)))</f>
        <v>352.6110000000005</v>
      </c>
      <c r="BE94" s="13">
        <f>BD94*VLOOKUP('Données projet'!$B$11,Paramètres!$A$1:$I$89,3,0)*VLOOKUP('Données projet'!$B$11,Paramètres!$A$1:$I$89,5,0)</f>
        <v>319.04243280000043</v>
      </c>
      <c r="BF94" s="13">
        <f t="shared" si="91"/>
        <v>75.154078446360543</v>
      </c>
      <c r="BG94" s="20">
        <f t="shared" si="61"/>
        <v>686.55892375407859</v>
      </c>
      <c r="BH94" s="59">
        <f t="shared" si="62"/>
        <v>961.2457505969237</v>
      </c>
      <c r="BI94" s="59">
        <f ca="1">AVERAGE(OFFSET($BH$3,0,0,'Données projet'!$E$11+1,1))-AVERAGE(OFFSET($H$3,0,0,'Données projet'!$E$11+1,1))</f>
        <v>681.47578137804555</v>
      </c>
      <c r="BJ94" s="59">
        <f t="shared" si="92"/>
        <v>300.88511065995885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19.184043270191573</v>
      </c>
      <c r="BQ94" s="21">
        <f>EXP(-LN(2)/25)*BQ93+(1-EXP(-LN(2)/25))/(LN(2)/25)*Calculateur!BL94*Calculateur!BN94*VLOOKUP('Données projet'!$B$11,Paramètres!$A$1:$I$89,3,0)*0.475*44/12</f>
        <v>24.360609399894127</v>
      </c>
      <c r="BR94" s="21">
        <f>EXP(-LN(2)/2)*BR93+(1-EXP(-LN(2)/2))/(LN(2)/2)*BL94*BO94*VLOOKUP('Données projet'!$B$11,Paramètres!$A$1:$I$89,3,0)*0.475*44/12</f>
        <v>0.51621547864849093</v>
      </c>
      <c r="BS94" s="22">
        <f t="shared" si="63"/>
        <v>44.060868148734187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1.7948717948717956</v>
      </c>
      <c r="BY94" s="12">
        <f>IF('Données projet'!$A$114&gt;35,BY93+BX94-CG93,IF(A94&lt;'Données projet'!$A$114,$BV$205^A94,IF(A94='Données projet'!$A$114,'Données projet'!$B$114,BY93+BX94-CG93)))</f>
        <v>144.10256410256412</v>
      </c>
      <c r="BZ94" s="13">
        <f>BY94*VLOOKUP('Données projet'!$B$12,Paramètres!$A$1:$I$89,3,0)*VLOOKUP('Données projet'!$B$12,Paramètres!$A$1:$I$89,5,0)</f>
        <v>150.61600000000004</v>
      </c>
      <c r="CA94" s="13">
        <f t="shared" si="93"/>
        <v>38.718540424004757</v>
      </c>
      <c r="CB94" s="20">
        <f t="shared" si="64"/>
        <v>329.75765790514163</v>
      </c>
      <c r="CC94" s="59">
        <f t="shared" si="65"/>
        <v>604.44448474798673</v>
      </c>
      <c r="CD94" s="59">
        <f ca="1">AVERAGE(OFFSET($CC$3,0,0,'Données projet'!$E$12+1,1))-AVERAGE(OFFSET($H$3,0,0,'Données projet'!$E$12+1,1))</f>
        <v>290.69667785754848</v>
      </c>
      <c r="CE94" s="59">
        <f t="shared" si="94"/>
        <v>256.28124185489082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2.6228414512384917</v>
      </c>
      <c r="CL94" s="21">
        <f>EXP(-LN(2)/25)*CL93+(1-EXP(-LN(2)/25))/(LN(2)/25)*Calculateur!CG94*Calculateur!CI94*VLOOKUP('Données projet'!$B$12,Paramètres!$A$1:$I$89,3,0)*0.475*44/12</f>
        <v>17.29229403380036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19.915135485038853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408.246209980743</v>
      </c>
      <c r="CZ94" s="59">
        <f t="shared" si="96"/>
        <v>394.10236303013903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45.90522756346131</v>
      </c>
      <c r="DG94" s="21">
        <f>EXP(-LN(2)/25)*DG93+(1-EXP(-LN(2)/25))/(LN(2)/25)*Calculateur!DB94*Calculateur!DD94*VLOOKUP('Données projet'!$B$13,Paramètres!$A$1:$I$89,3,0)*0.475*44/12</f>
        <v>41.541579656092289</v>
      </c>
      <c r="DH94" s="21">
        <f>EXP(-LN(2)/2)*DH93+(1-EXP(-LN(2)/2))/(LN(2)/2)*DB94*DE94*VLOOKUP('Données projet'!$B$13,Paramètres!$A$1:$I$89,3,0)*0.475*44/12</f>
        <v>1.5145577284303413</v>
      </c>
      <c r="DI94" s="22">
        <f t="shared" si="69"/>
        <v>88.961364947983938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5.6843418860808015E-13</v>
      </c>
      <c r="DP94" s="17">
        <f>DO94*VLOOKUP('Données projet'!$B$14,Paramètres!$A$1:$I$89,3,0)*VLOOKUP('Données projet'!$B$14,Paramètres!$A$1:$I$89,5,0)</f>
        <v>3.177547114319168E-13</v>
      </c>
      <c r="DQ94" s="13">
        <f t="shared" si="97"/>
        <v>4.1725404435445377E-12</v>
      </c>
      <c r="DR94" s="20">
        <f t="shared" si="70"/>
        <v>7.820597394917325E-12</v>
      </c>
      <c r="DS94" s="59">
        <f t="shared" si="71"/>
        <v>274.68682684285289</v>
      </c>
      <c r="DT94" s="59">
        <f ca="1">AVERAGE(OFFSET($DS$3,0,0,'Données projet'!$E$14+1,1))-AVERAGE(OFFSET($H$3,0,0,'Données projet'!$E$14+1,1))</f>
        <v>407.05634973057056</v>
      </c>
      <c r="DU94" s="59">
        <f t="shared" si="98"/>
        <v>375.32891954889965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152.23737922824134</v>
      </c>
      <c r="EB94" s="21">
        <f>EXP(-LN(2)/25)*EB93+(1-EXP(-LN(2)/25))/(LN(2)/25)*Calculateur!DW94*Calculateur!DY94*VLOOKUP('Données projet'!$B$14,Paramètres!$A$1:$I$89,3,0)*0.475*44/12</f>
        <v>42.879997288690348</v>
      </c>
      <c r="EC94" s="21">
        <f>EXP(-LN(2)/2)*EC93+(1-EXP(-LN(2)/2))/(LN(2)/2)*DW94*DZ94*VLOOKUP('Données projet'!$B$14,Paramètres!$A$1:$I$89,3,0)*0.475*44/12</f>
        <v>5.2139129165734141E-2</v>
      </c>
      <c r="ED94" s="22">
        <f t="shared" si="72"/>
        <v>195.16951564609744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1.1368683772161603E-13</v>
      </c>
      <c r="EK94" s="17">
        <f>EJ94*VLOOKUP('Données projet'!$B$15,Paramètres!$A$1:$I$89,3,0)*VLOOKUP('Données projet'!$B$15,Paramètres!$A$1:$I$89,5,0)</f>
        <v>5.0249582272954292E-14</v>
      </c>
      <c r="EL94" s="13">
        <f t="shared" si="99"/>
        <v>8.1784820119191593E-13</v>
      </c>
      <c r="EM94" s="20">
        <f t="shared" si="73"/>
        <v>1.5119369728679821E-12</v>
      </c>
      <c r="EN94" s="59">
        <f t="shared" si="74"/>
        <v>274.68682684284659</v>
      </c>
      <c r="EO94" s="59">
        <f ca="1">AVERAGE(OFFSET($EN$3,0,0,'Données projet'!$E$15+1,1))-AVERAGE(OFFSET($H$3,0,0,'Données projet'!$E$15+1,1))</f>
        <v>418.28022549686278</v>
      </c>
      <c r="EP94" s="59">
        <f t="shared" si="100"/>
        <v>354.55070454517158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166.18490665866577</v>
      </c>
      <c r="EW94" s="21">
        <f>EXP(-LN(2)/25)*EW93+(1-EXP(-LN(2)/25))/(LN(2)/25)*Calculateur!ER94*Calculateur!ET94*VLOOKUP('Données projet'!$B$15,Paramètres!$A$1:$I$89,3,0)*0.475*44/12</f>
        <v>52.996972716392996</v>
      </c>
      <c r="EX94" s="21">
        <f>EXP(-LN(2)/2)*EX93+(1-EXP(-LN(2)/2))/(LN(2)/2)*ER94*EU94*VLOOKUP('Données projet'!$B$15,Paramètres!$A$1:$I$89,3,0)*0.475*44/12</f>
        <v>1.7369170147741331</v>
      </c>
      <c r="EY94" s="22">
        <f t="shared" si="75"/>
        <v>220.91879638983289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6.7600000000000007</v>
      </c>
      <c r="FE94" s="12">
        <f>IF('Données projet'!$A$218&gt;35,FE93+FD94-FM93,IF(A94&lt;'Données projet'!$A$218,$FB$205^A94,IF(A94='Données projet'!$A$218,'Données projet'!$B$218,FE93+FD94-FM93)))</f>
        <v>225.52999999999992</v>
      </c>
      <c r="FF94" s="17">
        <f>FE94*VLOOKUP('Données projet'!$B$16,Paramètres!$A$1:$I$89,3,0)*VLOOKUP('Données projet'!$B$16,Paramètres!$A$1:$I$89,5,0)</f>
        <v>256.83356399999991</v>
      </c>
      <c r="FG94" s="13">
        <f t="shared" si="101"/>
        <v>62.046941172045024</v>
      </c>
      <c r="FH94" s="20">
        <f t="shared" si="76"/>
        <v>555.38354650797817</v>
      </c>
      <c r="FI94" s="59">
        <f t="shared" si="77"/>
        <v>830.07037335082327</v>
      </c>
      <c r="FJ94" s="59">
        <f ca="1">AVERAGE(OFFSET($FI$3,0,0,'Données projet'!$E$16+1,1))-AVERAGE(OFFSET($H$3,0,0,'Données projet'!$E$16+1,1))</f>
        <v>640.05156427113661</v>
      </c>
      <c r="FK94" s="59">
        <f t="shared" si="102"/>
        <v>308.77220155372902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6.4420049172535796</v>
      </c>
      <c r="FR94" s="21">
        <f>EXP(-LN(2)/25)*FR93+(1-EXP(-LN(2)/25))/(LN(2)/25)*Calculateur!FM94*Calculateur!FO94*VLOOKUP('Données projet'!$B$16,Paramètres!$A$1:$I$89,3,0)*0.475*44/12</f>
        <v>36.661532873915938</v>
      </c>
      <c r="FS94" s="21">
        <f>EXP(-LN(2)/2)*FS93+(1-EXP(-LN(2)/2))/(LN(2)/2)*FM94*FP94*VLOOKUP('Données projet'!$B$16,Paramètres!$A$1:$I$89,3,0)*0.475*44/12</f>
        <v>0.77481806034886336</v>
      </c>
      <c r="FT94" s="22">
        <f t="shared" si="78"/>
        <v>43.878355851518378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6.7984728957526396E-14</v>
      </c>
      <c r="P95" s="13">
        <f t="shared" si="87"/>
        <v>1.0682447123141398E-12</v>
      </c>
      <c r="Q95" s="20">
        <f t="shared" si="54"/>
        <v>1.978932943548152E-12</v>
      </c>
      <c r="R95" s="59">
        <f t="shared" si="55"/>
        <v>275.01030204311371</v>
      </c>
      <c r="S95" s="59">
        <f ca="1">AVERAGE(OFFSET($R$3,0,0,'Données projet'!$E$9+1,1))-AVERAGE(OFFSET($H$3,0,0,'Données projet'!$E$9+1,1))</f>
        <v>318.50474972254085</v>
      </c>
      <c r="T95" s="59">
        <f t="shared" si="88"/>
        <v>326.45858332753562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73.684853462018239</v>
      </c>
      <c r="AA95" s="21">
        <f>EXP(-LN(2)/25)*AA94+(1-EXP(-LN(2)/25))/(LN(2)/25)*Calculateur!V95*Calculateur!X95*VLOOKUP('Données projet'!$B$9,Paramètres!$A$1:$I$89,3,0)*0.475*44/12</f>
        <v>19.947587651049492</v>
      </c>
      <c r="AB95" s="21">
        <f>EXP(-LN(2)/2)*AB94+(1-EXP(-LN(2)/2))/(LN(2)/2)*V95*Y95*VLOOKUP('Données projet'!$B$9,Paramètres!$A$1:$I$89,3,0)*0.475*44/12</f>
        <v>9.1493900792470541E-4</v>
      </c>
      <c r="AC95" s="22">
        <f t="shared" si="57"/>
        <v>93.633356052075655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10.192500000000001</v>
      </c>
      <c r="AI95" s="13">
        <f>IF('Données projet'!$A$62&gt;35,AI94+AH95-AQ94,IF(A95&lt;'Données projet'!$A$62,$AF$205^A95,IF(A95='Données projet'!$A$62,'Données projet'!$B$62,AI94+AH95-AQ94)))</f>
        <v>400.78749999999991</v>
      </c>
      <c r="AJ95" s="13">
        <f>AI95*VLOOKUP('Données projet'!$B$10,Paramètres!$A$1:$I$89,3,0)*VLOOKUP('Données projet'!$B$10,Paramètres!$A$1:$I$89,5,0)</f>
        <v>187.56854999999999</v>
      </c>
      <c r="AK95" s="13">
        <f t="shared" si="89"/>
        <v>47.00199148936823</v>
      </c>
      <c r="AL95" s="20">
        <f t="shared" si="58"/>
        <v>408.54369309398299</v>
      </c>
      <c r="AM95" s="59">
        <f t="shared" si="59"/>
        <v>683.55399513709472</v>
      </c>
      <c r="AN95" s="59">
        <f ca="1">AVERAGE(OFFSET($AM$3,0,0,'Données projet'!$E$10+1,1))-AVERAGE(OFFSET($H$3,0,0,'Données projet'!$E$10+1,1))</f>
        <v>374.38106339726073</v>
      </c>
      <c r="AO95" s="59">
        <f t="shared" si="90"/>
        <v>296.53283288925957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49.421562986176419</v>
      </c>
      <c r="AV95" s="21">
        <f>EXP(-LN(2)/25)*AV94+(1-EXP(-LN(2)/25))/(LN(2)/25)*Calculateur!AQ95*Calculateur!AS95*VLOOKUP('Données projet'!$B$10,Paramètres!$A$1:$I$89,3,0)*0.475*44/12</f>
        <v>19.452437594415287</v>
      </c>
      <c r="AW95" s="21">
        <f>EXP(-LN(2)/2)*AW94+(1-EXP(-LN(2)/2))/(LN(2)/2)*AQ95*AT95*VLOOKUP('Données projet'!$B$10,Paramètres!$A$1:$I$89,3,0)*0.475*44/12</f>
        <v>0.91198569058582746</v>
      </c>
      <c r="AX95" s="21">
        <f t="shared" si="60"/>
        <v>69.785986271177535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9.1730000000000018</v>
      </c>
      <c r="BD95" s="12">
        <f>IF('Données projet'!$A$88&gt;35,BD94+BC95-BL94,IF(A95&lt;'Données projet'!$A$88,$BA$205^A95,IF(A95='Données projet'!$A$88,'Données projet'!$B$88,BD94+BC95-BL94)))</f>
        <v>361.7840000000005</v>
      </c>
      <c r="BE95" s="13">
        <f>BD95*VLOOKUP('Données projet'!$B$11,Paramètres!$A$1:$I$89,3,0)*VLOOKUP('Données projet'!$B$11,Paramètres!$A$1:$I$89,5,0)</f>
        <v>327.34216320000047</v>
      </c>
      <c r="BF95" s="13">
        <f t="shared" si="91"/>
        <v>76.87901071885527</v>
      </c>
      <c r="BG95" s="20">
        <f t="shared" si="61"/>
        <v>704.01854457534034</v>
      </c>
      <c r="BH95" s="59">
        <f t="shared" si="62"/>
        <v>979.02884661845201</v>
      </c>
      <c r="BI95" s="59">
        <f ca="1">AVERAGE(OFFSET($BH$3,0,0,'Données projet'!$E$11+1,1))-AVERAGE(OFFSET($H$3,0,0,'Données projet'!$E$11+1,1))</f>
        <v>681.47578137804555</v>
      </c>
      <c r="BJ95" s="59">
        <f t="shared" si="92"/>
        <v>300.88511065995885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18.807855882774124</v>
      </c>
      <c r="BQ95" s="21">
        <f>EXP(-LN(2)/25)*BQ94+(1-EXP(-LN(2)/25))/(LN(2)/25)*Calculateur!BL95*Calculateur!BN95*VLOOKUP('Données projet'!$B$11,Paramètres!$A$1:$I$89,3,0)*0.475*44/12</f>
        <v>23.694467254785252</v>
      </c>
      <c r="BR95" s="21">
        <f>EXP(-LN(2)/2)*BR94+(1-EXP(-LN(2)/2))/(LN(2)/2)*BL95*BO95*VLOOKUP('Données projet'!$B$11,Paramètres!$A$1:$I$89,3,0)*0.475*44/12</f>
        <v>0.36501946550580738</v>
      </c>
      <c r="BS95" s="22">
        <f t="shared" si="63"/>
        <v>42.867342603065183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1.7948717948717956</v>
      </c>
      <c r="BY95" s="12">
        <f>IF('Données projet'!$A$114&gt;35,BY94+BX95-CG94,IF(A95&lt;'Données projet'!$A$114,$BV$205^A95,IF(A95='Données projet'!$A$114,'Données projet'!$B$114,BY94+BX95-CG94)))</f>
        <v>145.89743589743591</v>
      </c>
      <c r="BZ95" s="13">
        <f>BY95*VLOOKUP('Données projet'!$B$12,Paramètres!$A$1:$I$89,3,0)*VLOOKUP('Données projet'!$B$12,Paramètres!$A$1:$I$89,5,0)</f>
        <v>152.49200000000002</v>
      </c>
      <c r="CA95" s="13">
        <f t="shared" si="93"/>
        <v>39.144357350259597</v>
      </c>
      <c r="CB95" s="20">
        <f t="shared" si="64"/>
        <v>333.76665571836884</v>
      </c>
      <c r="CC95" s="59">
        <f t="shared" si="65"/>
        <v>608.77695776148062</v>
      </c>
      <c r="CD95" s="59">
        <f ca="1">AVERAGE(OFFSET($CC$3,0,0,'Données projet'!$E$12+1,1))-AVERAGE(OFFSET($H$3,0,0,'Données projet'!$E$12+1,1))</f>
        <v>290.69667785754848</v>
      </c>
      <c r="CE95" s="59">
        <f t="shared" si="94"/>
        <v>256.28124185489082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2.5714091301550255</v>
      </c>
      <c r="CL95" s="21">
        <f>EXP(-LN(2)/25)*CL94+(1-EXP(-LN(2)/25))/(LN(2)/25)*Calculateur!CG95*Calculateur!CI95*VLOOKUP('Données projet'!$B$12,Paramètres!$A$1:$I$89,3,0)*0.475*44/12</f>
        <v>16.819435344083868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19.390844474238893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408.246209980743</v>
      </c>
      <c r="CZ95" s="59">
        <f t="shared" si="96"/>
        <v>394.10236303013903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45.005054050365935</v>
      </c>
      <c r="DG95" s="21">
        <f>EXP(-LN(2)/25)*DG94+(1-EXP(-LN(2)/25))/(LN(2)/25)*Calculateur!DB95*Calculateur!DD95*VLOOKUP('Données projet'!$B$13,Paramètres!$A$1:$I$89,3,0)*0.475*44/12</f>
        <v>40.405622975819718</v>
      </c>
      <c r="DH95" s="21">
        <f>EXP(-LN(2)/2)*DH94+(1-EXP(-LN(2)/2))/(LN(2)/2)*DB95*DE95*VLOOKUP('Données projet'!$B$13,Paramètres!$A$1:$I$89,3,0)*0.475*44/12</f>
        <v>1.0709540402715878</v>
      </c>
      <c r="DI95" s="22">
        <f t="shared" si="69"/>
        <v>86.48163106645724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5.6843418860808015E-13</v>
      </c>
      <c r="DP95" s="17">
        <f>DO95*VLOOKUP('Données projet'!$B$14,Paramètres!$A$1:$I$89,3,0)*VLOOKUP('Données projet'!$B$14,Paramètres!$A$1:$I$89,5,0)</f>
        <v>3.177547114319168E-13</v>
      </c>
      <c r="DQ95" s="13">
        <f t="shared" si="97"/>
        <v>4.1725404435445377E-12</v>
      </c>
      <c r="DR95" s="20">
        <f t="shared" si="70"/>
        <v>7.820597394917325E-12</v>
      </c>
      <c r="DS95" s="59">
        <f t="shared" si="71"/>
        <v>275.01030204311957</v>
      </c>
      <c r="DT95" s="59">
        <f ca="1">AVERAGE(OFFSET($DS$3,0,0,'Données projet'!$E$14+1,1))-AVERAGE(OFFSET($H$3,0,0,'Données projet'!$E$14+1,1))</f>
        <v>407.05634973057056</v>
      </c>
      <c r="DU95" s="59">
        <f t="shared" si="98"/>
        <v>375.32891954889965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149.25209707720813</v>
      </c>
      <c r="EB95" s="21">
        <f>EXP(-LN(2)/25)*EB94+(1-EXP(-LN(2)/25))/(LN(2)/25)*Calculateur!DW95*Calculateur!DY95*VLOOKUP('Données projet'!$B$14,Paramètres!$A$1:$I$89,3,0)*0.475*44/12</f>
        <v>41.707441507870058</v>
      </c>
      <c r="EC95" s="21">
        <f>EXP(-LN(2)/2)*EC94+(1-EXP(-LN(2)/2))/(LN(2)/2)*DW95*DZ95*VLOOKUP('Données projet'!$B$14,Paramètres!$A$1:$I$89,3,0)*0.475*44/12</f>
        <v>3.6867931798251909E-2</v>
      </c>
      <c r="ED95" s="22">
        <f t="shared" si="72"/>
        <v>190.99640651687642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1.1368683772161603E-13</v>
      </c>
      <c r="EK95" s="17">
        <f>EJ95*VLOOKUP('Données projet'!$B$15,Paramètres!$A$1:$I$89,3,0)*VLOOKUP('Données projet'!$B$15,Paramètres!$A$1:$I$89,5,0)</f>
        <v>5.0249582272954292E-14</v>
      </c>
      <c r="EL95" s="13">
        <f t="shared" si="99"/>
        <v>8.1784820119191593E-13</v>
      </c>
      <c r="EM95" s="20">
        <f t="shared" si="73"/>
        <v>1.5119369728679821E-12</v>
      </c>
      <c r="EN95" s="59">
        <f t="shared" si="74"/>
        <v>275.01030204311326</v>
      </c>
      <c r="EO95" s="59">
        <f ca="1">AVERAGE(OFFSET($EN$3,0,0,'Données projet'!$E$15+1,1))-AVERAGE(OFFSET($H$3,0,0,'Données projet'!$E$15+1,1))</f>
        <v>418.28022549686278</v>
      </c>
      <c r="EP95" s="59">
        <f t="shared" si="100"/>
        <v>354.55070454517158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162.92612200187364</v>
      </c>
      <c r="EW95" s="21">
        <f>EXP(-LN(2)/25)*EW94+(1-EXP(-LN(2)/25))/(LN(2)/25)*Calculateur!ER95*Calculateur!ET95*VLOOKUP('Données projet'!$B$15,Paramètres!$A$1:$I$89,3,0)*0.475*44/12</f>
        <v>51.547767710473558</v>
      </c>
      <c r="EX95" s="21">
        <f>EXP(-LN(2)/2)*EX94+(1-EXP(-LN(2)/2))/(LN(2)/2)*ER95*EU95*VLOOKUP('Données projet'!$B$15,Paramètres!$A$1:$I$89,3,0)*0.475*44/12</f>
        <v>1.2281857995050844</v>
      </c>
      <c r="EY95" s="22">
        <f t="shared" si="75"/>
        <v>215.70207551185229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6.7600000000000007</v>
      </c>
      <c r="FE95" s="12">
        <f>IF('Données projet'!$A$218&gt;35,FE94+FD95-FM94,IF(A95&lt;'Données projet'!$A$218,$FB$205^A95,IF(A95='Données projet'!$A$218,'Données projet'!$B$218,FE94+FD95-FM94)))</f>
        <v>232.28999999999991</v>
      </c>
      <c r="FF95" s="17">
        <f>FE95*VLOOKUP('Données projet'!$B$16,Paramètres!$A$1:$I$89,3,0)*VLOOKUP('Données projet'!$B$16,Paramètres!$A$1:$I$89,5,0)</f>
        <v>264.5318519999999</v>
      </c>
      <c r="FG95" s="13">
        <f t="shared" si="101"/>
        <v>63.687412010040255</v>
      </c>
      <c r="FH95" s="20">
        <f t="shared" si="76"/>
        <v>571.64855148415324</v>
      </c>
      <c r="FI95" s="59">
        <f t="shared" si="77"/>
        <v>846.65885352726491</v>
      </c>
      <c r="FJ95" s="59">
        <f ca="1">AVERAGE(OFFSET($FI$3,0,0,'Données projet'!$E$16+1,1))-AVERAGE(OFFSET($H$3,0,0,'Données projet'!$E$16+1,1))</f>
        <v>640.05156427113661</v>
      </c>
      <c r="FK95" s="59">
        <f t="shared" si="102"/>
        <v>308.77220155372902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6.3156811300612565</v>
      </c>
      <c r="FR95" s="21">
        <f>EXP(-LN(2)/25)*FR94+(1-EXP(-LN(2)/25))/(LN(2)/25)*Calculateur!FM95*Calculateur!FO95*VLOOKUP('Données projet'!$B$16,Paramètres!$A$1:$I$89,3,0)*0.475*44/12</f>
        <v>35.659021329532486</v>
      </c>
      <c r="FS95" s="21">
        <f>EXP(-LN(2)/2)*FS94+(1-EXP(-LN(2)/2))/(LN(2)/2)*FM95*FP95*VLOOKUP('Données projet'!$B$16,Paramètres!$A$1:$I$89,3,0)*0.475*44/12</f>
        <v>0.54787910465848888</v>
      </c>
      <c r="FT95" s="22">
        <f t="shared" si="78"/>
        <v>42.522581564252235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6.7984728957526396E-14</v>
      </c>
      <c r="P96" s="13">
        <f t="shared" si="87"/>
        <v>1.0682447123141398E-12</v>
      </c>
      <c r="Q96" s="20">
        <f t="shared" si="54"/>
        <v>1.978932943548152E-12</v>
      </c>
      <c r="R96" s="59">
        <f t="shared" si="55"/>
        <v>275.32816567183795</v>
      </c>
      <c r="S96" s="59">
        <f ca="1">AVERAGE(OFFSET($R$3,0,0,'Données projet'!$E$9+1,1))-AVERAGE(OFFSET($H$3,0,0,'Données projet'!$E$9+1,1))</f>
        <v>318.50474972254085</v>
      </c>
      <c r="T96" s="59">
        <f t="shared" si="88"/>
        <v>326.45858332753562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72.239938428950893</v>
      </c>
      <c r="AA96" s="21">
        <f>EXP(-LN(2)/25)*AA95+(1-EXP(-LN(2)/25))/(LN(2)/25)*Calculateur!V96*Calculateur!X96*VLOOKUP('Données projet'!$B$9,Paramètres!$A$1:$I$89,3,0)*0.475*44/12</f>
        <v>19.402119817733499</v>
      </c>
      <c r="AB96" s="21">
        <f>EXP(-LN(2)/2)*AB95+(1-EXP(-LN(2)/2))/(LN(2)/2)*V96*Y96*VLOOKUP('Données projet'!$B$9,Paramètres!$A$1:$I$89,3,0)*0.475*44/12</f>
        <v>6.4695957687565153E-4</v>
      </c>
      <c r="AC96" s="22">
        <f t="shared" si="57"/>
        <v>91.642705206261269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10.192500000000001</v>
      </c>
      <c r="AI96" s="13">
        <f>IF('Données projet'!$A$62&gt;35,AI95+AH96-AQ95,IF(A96&lt;'Données projet'!$A$62,$AF$205^A96,IF(A96='Données projet'!$A$62,'Données projet'!$B$62,AI95+AH96-AQ95)))</f>
        <v>410.9799999999999</v>
      </c>
      <c r="AJ96" s="13">
        <f>AI96*VLOOKUP('Données projet'!$B$10,Paramètres!$A$1:$I$89,3,0)*VLOOKUP('Données projet'!$B$10,Paramètres!$A$1:$I$89,5,0)</f>
        <v>192.33863999999997</v>
      </c>
      <c r="AK96" s="13">
        <f t="shared" si="89"/>
        <v>48.056624248232239</v>
      </c>
      <c r="AL96" s="20">
        <f t="shared" si="58"/>
        <v>418.68841856567104</v>
      </c>
      <c r="AM96" s="59">
        <f t="shared" si="59"/>
        <v>694.016584237507</v>
      </c>
      <c r="AN96" s="59">
        <f ca="1">AVERAGE(OFFSET($AM$3,0,0,'Données projet'!$E$10+1,1))-AVERAGE(OFFSET($H$3,0,0,'Données projet'!$E$10+1,1))</f>
        <v>374.38106339726073</v>
      </c>
      <c r="AO96" s="59">
        <f t="shared" si="90"/>
        <v>296.53283288925957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48.452436280194433</v>
      </c>
      <c r="AV96" s="21">
        <f>EXP(-LN(2)/25)*AV95+(1-EXP(-LN(2)/25))/(LN(2)/25)*Calculateur!AQ96*Calculateur!AS96*VLOOKUP('Données projet'!$B$10,Paramètres!$A$1:$I$89,3,0)*0.475*44/12</f>
        <v>18.920509665436768</v>
      </c>
      <c r="AW96" s="21">
        <f>EXP(-LN(2)/2)*AW95+(1-EXP(-LN(2)/2))/(LN(2)/2)*AQ96*AT96*VLOOKUP('Données projet'!$B$10,Paramètres!$A$1:$I$89,3,0)*0.475*44/12</f>
        <v>0.64487126615833512</v>
      </c>
      <c r="AX96" s="21">
        <f t="shared" si="60"/>
        <v>68.017817211789534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9.1730000000000018</v>
      </c>
      <c r="BD96" s="12">
        <f>IF('Données projet'!$A$88&gt;35,BD95+BC96-BL95,IF(A96&lt;'Données projet'!$A$88,$BA$205^A96,IF(A96='Données projet'!$A$88,'Données projet'!$B$88,BD95+BC96-BL95)))</f>
        <v>370.95700000000051</v>
      </c>
      <c r="BE96" s="13">
        <f>BD96*VLOOKUP('Données projet'!$B$11,Paramètres!$A$1:$I$89,3,0)*VLOOKUP('Données projet'!$B$11,Paramètres!$A$1:$I$89,5,0)</f>
        <v>335.64189360000046</v>
      </c>
      <c r="BF96" s="13">
        <f t="shared" si="91"/>
        <v>78.598859108522404</v>
      </c>
      <c r="BG96" s="20">
        <f t="shared" si="61"/>
        <v>721.46931096734397</v>
      </c>
      <c r="BH96" s="59">
        <f t="shared" si="62"/>
        <v>996.79747663917988</v>
      </c>
      <c r="BI96" s="59">
        <f ca="1">AVERAGE(OFFSET($BH$3,0,0,'Données projet'!$E$11+1,1))-AVERAGE(OFFSET($H$3,0,0,'Données projet'!$E$11+1,1))</f>
        <v>681.47578137804555</v>
      </c>
      <c r="BJ96" s="59">
        <f t="shared" si="92"/>
        <v>300.88511065995885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18.439045300572278</v>
      </c>
      <c r="BQ96" s="21">
        <f>EXP(-LN(2)/25)*BQ95+(1-EXP(-LN(2)/25))/(LN(2)/25)*Calculateur!BL96*Calculateur!BN96*VLOOKUP('Données projet'!$B$11,Paramètres!$A$1:$I$89,3,0)*0.475*44/12</f>
        <v>23.04654080166527</v>
      </c>
      <c r="BR96" s="21">
        <f>EXP(-LN(2)/2)*BR95+(1-EXP(-LN(2)/2))/(LN(2)/2)*BL96*BO96*VLOOKUP('Données projet'!$B$11,Paramètres!$A$1:$I$89,3,0)*0.475*44/12</f>
        <v>0.25810773932424547</v>
      </c>
      <c r="BS96" s="22">
        <f t="shared" si="63"/>
        <v>41.743693841561793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1.7948717948717956</v>
      </c>
      <c r="BY96" s="12">
        <f>IF('Données projet'!$A$114&gt;35,BY95+BX96-CG95,IF(A96&lt;'Données projet'!$A$114,$BV$205^A96,IF(A96='Données projet'!$A$114,'Données projet'!$B$114,BY95+BX96-CG95)))</f>
        <v>147.69230769230771</v>
      </c>
      <c r="BZ96" s="13">
        <f>BY96*VLOOKUP('Données projet'!$B$12,Paramètres!$A$1:$I$89,3,0)*VLOOKUP('Données projet'!$B$12,Paramètres!$A$1:$I$89,5,0)</f>
        <v>154.36800000000002</v>
      </c>
      <c r="CA96" s="13">
        <f t="shared" si="93"/>
        <v>39.569564932787465</v>
      </c>
      <c r="CB96" s="20">
        <f t="shared" si="64"/>
        <v>337.7745922579382</v>
      </c>
      <c r="CC96" s="59">
        <f t="shared" si="65"/>
        <v>613.10275792977416</v>
      </c>
      <c r="CD96" s="59">
        <f ca="1">AVERAGE(OFFSET($CC$3,0,0,'Données projet'!$E$12+1,1))-AVERAGE(OFFSET($H$3,0,0,'Données projet'!$E$12+1,1))</f>
        <v>290.69667785754848</v>
      </c>
      <c r="CE96" s="59">
        <f t="shared" si="94"/>
        <v>256.28124185489082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2.5209853655173879</v>
      </c>
      <c r="CL96" s="21">
        <f>EXP(-LN(2)/25)*CL95+(1-EXP(-LN(2)/25))/(LN(2)/25)*Calculateur!CG96*Calculateur!CI96*VLOOKUP('Données projet'!$B$12,Paramètres!$A$1:$I$89,3,0)*0.475*44/12</f>
        <v>16.35950700010423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18.880492365621617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408.246209980743</v>
      </c>
      <c r="CZ96" s="59">
        <f t="shared" si="96"/>
        <v>394.10236303013903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44.122532390810733</v>
      </c>
      <c r="DG96" s="21">
        <f>EXP(-LN(2)/25)*DG95+(1-EXP(-LN(2)/25))/(LN(2)/25)*Calculateur!DB96*Calculateur!DD96*VLOOKUP('Données projet'!$B$13,Paramètres!$A$1:$I$89,3,0)*0.475*44/12</f>
        <v>39.300729090706561</v>
      </c>
      <c r="DH96" s="21">
        <f>EXP(-LN(2)/2)*DH95+(1-EXP(-LN(2)/2))/(LN(2)/2)*DB96*DE96*VLOOKUP('Données projet'!$B$13,Paramètres!$A$1:$I$89,3,0)*0.475*44/12</f>
        <v>0.75727886421517066</v>
      </c>
      <c r="DI96" s="22">
        <f t="shared" si="69"/>
        <v>84.180540345732467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5.6843418860808015E-13</v>
      </c>
      <c r="DP96" s="17">
        <f>DO96*VLOOKUP('Données projet'!$B$14,Paramètres!$A$1:$I$89,3,0)*VLOOKUP('Données projet'!$B$14,Paramètres!$A$1:$I$89,5,0)</f>
        <v>3.177547114319168E-13</v>
      </c>
      <c r="DQ96" s="13">
        <f t="shared" si="97"/>
        <v>4.1725404435445377E-12</v>
      </c>
      <c r="DR96" s="20">
        <f t="shared" si="70"/>
        <v>7.820597394917325E-12</v>
      </c>
      <c r="DS96" s="59">
        <f t="shared" si="71"/>
        <v>275.32816567184381</v>
      </c>
      <c r="DT96" s="59">
        <f ca="1">AVERAGE(OFFSET($DS$3,0,0,'Données projet'!$E$14+1,1))-AVERAGE(OFFSET($H$3,0,0,'Données projet'!$E$14+1,1))</f>
        <v>407.05634973057056</v>
      </c>
      <c r="DU96" s="59">
        <f t="shared" si="98"/>
        <v>375.32891954889965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146.32535448831436</v>
      </c>
      <c r="EB96" s="21">
        <f>EXP(-LN(2)/25)*EB95+(1-EXP(-LN(2)/25))/(LN(2)/25)*Calculateur!DW96*Calculateur!DY96*VLOOKUP('Données projet'!$B$14,Paramètres!$A$1:$I$89,3,0)*0.475*44/12</f>
        <v>40.566949326538328</v>
      </c>
      <c r="EC96" s="21">
        <f>EXP(-LN(2)/2)*EC95+(1-EXP(-LN(2)/2))/(LN(2)/2)*DW96*DZ96*VLOOKUP('Données projet'!$B$14,Paramètres!$A$1:$I$89,3,0)*0.475*44/12</f>
        <v>2.6069564582867071E-2</v>
      </c>
      <c r="ED96" s="22">
        <f t="shared" si="72"/>
        <v>186.91837337943554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1.1368683772161603E-13</v>
      </c>
      <c r="EK96" s="17">
        <f>EJ96*VLOOKUP('Données projet'!$B$15,Paramètres!$A$1:$I$89,3,0)*VLOOKUP('Données projet'!$B$15,Paramètres!$A$1:$I$89,5,0)</f>
        <v>5.0249582272954292E-14</v>
      </c>
      <c r="EL96" s="13">
        <f t="shared" si="99"/>
        <v>8.1784820119191593E-13</v>
      </c>
      <c r="EM96" s="20">
        <f t="shared" si="73"/>
        <v>1.5119369728679821E-12</v>
      </c>
      <c r="EN96" s="59">
        <f t="shared" si="74"/>
        <v>275.3281656718375</v>
      </c>
      <c r="EO96" s="59">
        <f ca="1">AVERAGE(OFFSET($EN$3,0,0,'Données projet'!$E$15+1,1))-AVERAGE(OFFSET($H$3,0,0,'Données projet'!$E$15+1,1))</f>
        <v>418.28022549686278</v>
      </c>
      <c r="EP96" s="59">
        <f t="shared" si="100"/>
        <v>354.55070454517158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159.73124012453883</v>
      </c>
      <c r="EW96" s="21">
        <f>EXP(-LN(2)/25)*EW95+(1-EXP(-LN(2)/25))/(LN(2)/25)*Calculateur!ER96*Calculateur!ET96*VLOOKUP('Données projet'!$B$15,Paramètres!$A$1:$I$89,3,0)*0.475*44/12</f>
        <v>50.138191291651367</v>
      </c>
      <c r="EX96" s="21">
        <f>EXP(-LN(2)/2)*EX95+(1-EXP(-LN(2)/2))/(LN(2)/2)*ER96*EU96*VLOOKUP('Données projet'!$B$15,Paramètres!$A$1:$I$89,3,0)*0.475*44/12</f>
        <v>0.86845850738706676</v>
      </c>
      <c r="EY96" s="22">
        <f t="shared" si="75"/>
        <v>210.73788992357726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6.7600000000000007</v>
      </c>
      <c r="FE96" s="12">
        <f>IF('Données projet'!$A$218&gt;35,FE95+FD96-FM95,IF(A96&lt;'Données projet'!$A$218,$FB$205^A96,IF(A96='Données projet'!$A$218,'Données projet'!$B$218,FE95+FD96-FM95)))</f>
        <v>239.0499999999999</v>
      </c>
      <c r="FF96" s="17">
        <f>FE96*VLOOKUP('Données projet'!$B$16,Paramètres!$A$1:$I$89,3,0)*VLOOKUP('Données projet'!$B$16,Paramètres!$A$1:$I$89,5,0)</f>
        <v>272.23013999999989</v>
      </c>
      <c r="FG96" s="13">
        <f t="shared" si="101"/>
        <v>65.322334456608132</v>
      </c>
      <c r="FH96" s="20">
        <f t="shared" si="76"/>
        <v>587.90389301192556</v>
      </c>
      <c r="FI96" s="59">
        <f t="shared" si="77"/>
        <v>863.23205868376158</v>
      </c>
      <c r="FJ96" s="59">
        <f ca="1">AVERAGE(OFFSET($FI$3,0,0,'Données projet'!$E$16+1,1))-AVERAGE(OFFSET($H$3,0,0,'Données projet'!$E$16+1,1))</f>
        <v>640.05156427113661</v>
      </c>
      <c r="FK96" s="59">
        <f t="shared" si="102"/>
        <v>308.77220155372902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6.1918344752858729</v>
      </c>
      <c r="FR96" s="21">
        <f>EXP(-LN(2)/25)*FR95+(1-EXP(-LN(2)/25))/(LN(2)/25)*Calculateur!FM96*Calculateur!FO96*VLOOKUP('Données projet'!$B$16,Paramètres!$A$1:$I$89,3,0)*0.475*44/12</f>
        <v>34.683923516049987</v>
      </c>
      <c r="FS96" s="21">
        <f>EXP(-LN(2)/2)*FS95+(1-EXP(-LN(2)/2))/(LN(2)/2)*FM96*FP96*VLOOKUP('Données projet'!$B$16,Paramètres!$A$1:$I$89,3,0)*0.475*44/12</f>
        <v>0.38740903017443168</v>
      </c>
      <c r="FT96" s="22">
        <f t="shared" si="78"/>
        <v>41.263167021510291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6.7984728957526396E-14</v>
      </c>
      <c r="P97" s="13">
        <f t="shared" si="87"/>
        <v>1.0682447123141398E-12</v>
      </c>
      <c r="Q97" s="20">
        <f t="shared" si="54"/>
        <v>1.978932943548152E-12</v>
      </c>
      <c r="R97" s="59">
        <f t="shared" si="55"/>
        <v>275.64051507724048</v>
      </c>
      <c r="S97" s="59">
        <f ca="1">AVERAGE(OFFSET($R$3,0,0,'Données projet'!$E$9+1,1))-AVERAGE(OFFSET($H$3,0,0,'Données projet'!$E$9+1,1))</f>
        <v>318.50474972254085</v>
      </c>
      <c r="T97" s="59">
        <f t="shared" si="88"/>
        <v>326.45858332753562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70.823357298370851</v>
      </c>
      <c r="AA97" s="21">
        <f>EXP(-LN(2)/25)*AA96+(1-EXP(-LN(2)/25))/(LN(2)/25)*Calculateur!V97*Calculateur!X97*VLOOKUP('Données projet'!$B$9,Paramètres!$A$1:$I$89,3,0)*0.475*44/12</f>
        <v>18.871567831004441</v>
      </c>
      <c r="AB97" s="21">
        <f>EXP(-LN(2)/2)*AB96+(1-EXP(-LN(2)/2))/(LN(2)/2)*V97*Y97*VLOOKUP('Données projet'!$B$9,Paramètres!$A$1:$I$89,3,0)*0.475*44/12</f>
        <v>4.574695039623527E-4</v>
      </c>
      <c r="AC97" s="22">
        <f t="shared" si="57"/>
        <v>89.695382598879249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10.192500000000001</v>
      </c>
      <c r="AI97" s="13">
        <f>IF('Données projet'!$A$62&gt;35,AI96+AH97-AQ96,IF(A97&lt;'Données projet'!$A$62,$AF$205^A97,IF(A97='Données projet'!$A$62,'Données projet'!$B$62,AI96+AH97-AQ96)))</f>
        <v>421.1724999999999</v>
      </c>
      <c r="AJ97" s="13">
        <f>AI97*VLOOKUP('Données projet'!$B$10,Paramètres!$A$1:$I$89,3,0)*VLOOKUP('Données projet'!$B$10,Paramètres!$A$1:$I$89,5,0)</f>
        <v>197.10872999999995</v>
      </c>
      <c r="AK97" s="13">
        <f t="shared" si="89"/>
        <v>49.108216579835904</v>
      </c>
      <c r="AL97" s="20">
        <f t="shared" si="58"/>
        <v>428.82784862654739</v>
      </c>
      <c r="AM97" s="59">
        <f t="shared" si="59"/>
        <v>704.46836370378583</v>
      </c>
      <c r="AN97" s="59">
        <f ca="1">AVERAGE(OFFSET($AM$3,0,0,'Données projet'!$E$10+1,1))-AVERAGE(OFFSET($H$3,0,0,'Données projet'!$E$10+1,1))</f>
        <v>374.38106339726073</v>
      </c>
      <c r="AO97" s="59">
        <f t="shared" si="90"/>
        <v>296.53283288925957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47.502313557807831</v>
      </c>
      <c r="AV97" s="21">
        <f>EXP(-LN(2)/25)*AV96+(1-EXP(-LN(2)/25))/(LN(2)/25)*Calculateur!AQ97*Calculateur!AS97*VLOOKUP('Données projet'!$B$10,Paramètres!$A$1:$I$89,3,0)*0.475*44/12</f>
        <v>18.403127333649039</v>
      </c>
      <c r="AW97" s="21">
        <f>EXP(-LN(2)/2)*AW96+(1-EXP(-LN(2)/2))/(LN(2)/2)*AQ97*AT97*VLOOKUP('Données projet'!$B$10,Paramètres!$A$1:$I$89,3,0)*0.475*44/12</f>
        <v>0.45599284529291373</v>
      </c>
      <c r="AX97" s="21">
        <f t="shared" si="60"/>
        <v>66.361433736749774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9.1730000000000018</v>
      </c>
      <c r="BC97" s="12">
        <f t="array" ref="BC97">INDEX(BB:BB,MIN(IF(ISNUMBER(BB97:BB293),ROW(BB97:BB293),"")))</f>
        <v>9.1730000000000018</v>
      </c>
      <c r="BD97" s="12">
        <f>IF('Données projet'!$A$88&gt;35,BD96+BC97-BL96,IF(A97&lt;'Données projet'!$A$88,$BA$205^A97,IF(A97='Données projet'!$A$88,'Données projet'!$B$88,BD96+BC97-BL96)))</f>
        <v>380.13000000000051</v>
      </c>
      <c r="BE97" s="13">
        <f>BD97*VLOOKUP('Données projet'!$B$11,Paramètres!$A$1:$I$89,3,0)*VLOOKUP('Données projet'!$B$11,Paramètres!$A$1:$I$89,5,0)</f>
        <v>343.94162400000044</v>
      </c>
      <c r="BF97" s="13">
        <f t="shared" si="91"/>
        <v>80.313763789484966</v>
      </c>
      <c r="BG97" s="20">
        <f t="shared" si="61"/>
        <v>738.91146706668712</v>
      </c>
      <c r="BH97" s="59">
        <f t="shared" si="62"/>
        <v>1014.5519821439257</v>
      </c>
      <c r="BI97" s="59">
        <f ca="1">AVERAGE(OFFSET($BH$3,0,0,'Données projet'!$E$11+1,1))-AVERAGE(OFFSET($H$3,0,0,'Données projet'!$E$11+1,1))</f>
        <v>681.47578137804555</v>
      </c>
      <c r="BJ97" s="59">
        <f t="shared" si="92"/>
        <v>300.88511065995885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67.350000000000023</v>
      </c>
      <c r="BM97" s="16">
        <f>IF(ISNA(VLOOKUP(A97,'Données projet'!$A$87:$I$107,5,0)),0%,VLOOKUP(A97,'Données projet'!$A$87:$I$107,5,0)*VLOOKUP('Données projet'!$B$11,Paramètres!$A$1:$I$89,7,0))</f>
        <v>0.15049999999999999</v>
      </c>
      <c r="BN97" s="16">
        <f>IF(ISNA(VLOOKUP(A97,'Données projet'!$A$87:$I$107,6,0)),0%,VLOOKUP(A97,'Données projet'!$A$87:$I$107,6,0)*VLOOKUP('Données projet'!$B$11,Paramètres!$A$1:$I$89,7,0))</f>
        <v>8.6000000000000007E-2</v>
      </c>
      <c r="BO97" s="16">
        <f>IF(ISNA(VLOOKUP(A97,'Données projet'!$A$87:$I$107,7,0)),0%,VLOOKUP(A97,'Données projet'!$A$87:$I$107,7,0))</f>
        <v>0.1</v>
      </c>
      <c r="BP97" s="21">
        <f>EXP(-LN(2)/35)*BP96+(1-EXP(-LN(2)/35))/(LN(2)/35)*BL97*BM97*VLOOKUP('Données projet'!$B$11,Paramètres!$A$1:$I$89,3,0)*0.475*44/12</f>
        <v>28.215969128647792</v>
      </c>
      <c r="BQ97" s="21">
        <f>EXP(-LN(2)/25)*BQ96+(1-EXP(-LN(2)/25))/(LN(2)/25)*Calculateur!BL97*Calculateur!BN97*VLOOKUP('Données projet'!$B$11,Paramètres!$A$1:$I$89,3,0)*0.475*44/12</f>
        <v>28.18695085333249</v>
      </c>
      <c r="BR97" s="21">
        <f>EXP(-LN(2)/2)*BR96+(1-EXP(-LN(2)/2))/(LN(2)/2)*BL97*BO97*VLOOKUP('Données projet'!$B$11,Paramètres!$A$1:$I$89,3,0)*0.475*44/12</f>
        <v>5.9322004637288286</v>
      </c>
      <c r="BS97" s="22">
        <f t="shared" si="63"/>
        <v>62.335120445709109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1.7948717948717956</v>
      </c>
      <c r="BY97" s="12">
        <f>IF('Données projet'!$A$114&gt;35,BY96+BX97-CG96,IF(A97&lt;'Données projet'!$A$114,$BV$205^A97,IF(A97='Données projet'!$A$114,'Données projet'!$B$114,BY96+BX97-CG96)))</f>
        <v>149.4871794871795</v>
      </c>
      <c r="BZ97" s="13">
        <f>BY97*VLOOKUP('Données projet'!$B$12,Paramètres!$A$1:$I$89,3,0)*VLOOKUP('Données projet'!$B$12,Paramètres!$A$1:$I$89,5,0)</f>
        <v>156.24400000000003</v>
      </c>
      <c r="CA97" s="13">
        <f t="shared" si="93"/>
        <v>39.994171433339048</v>
      </c>
      <c r="CB97" s="20">
        <f t="shared" si="64"/>
        <v>341.78148191306553</v>
      </c>
      <c r="CC97" s="59">
        <f t="shared" si="65"/>
        <v>617.42199699030402</v>
      </c>
      <c r="CD97" s="59">
        <f ca="1">AVERAGE(OFFSET($CC$3,0,0,'Données projet'!$E$12+1,1))-AVERAGE(OFFSET($H$3,0,0,'Données projet'!$E$12+1,1))</f>
        <v>290.69667785754848</v>
      </c>
      <c r="CE97" s="59">
        <f t="shared" si="94"/>
        <v>256.28124185489082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2.4715503801488348</v>
      </c>
      <c r="CL97" s="21">
        <f>EXP(-LN(2)/25)*CL96+(1-EXP(-LN(2)/25))/(LN(2)/25)*Calculateur!CG97*Calculateur!CI97*VLOOKUP('Données projet'!$B$12,Paramètres!$A$1:$I$89,3,0)*0.475*44/12</f>
        <v>15.912155420877298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18.383705801026132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408.246209980743</v>
      </c>
      <c r="CZ97" s="59">
        <f t="shared" si="96"/>
        <v>394.10236303013903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43.257316442714348</v>
      </c>
      <c r="DG97" s="21">
        <f>EXP(-LN(2)/25)*DG96+(1-EXP(-LN(2)/25))/(LN(2)/25)*Calculateur!DB97*Calculateur!DD97*VLOOKUP('Données projet'!$B$13,Paramètres!$A$1:$I$89,3,0)*0.475*44/12</f>
        <v>38.226048586985669</v>
      </c>
      <c r="DH97" s="21">
        <f>EXP(-LN(2)/2)*DH96+(1-EXP(-LN(2)/2))/(LN(2)/2)*DB97*DE97*VLOOKUP('Données projet'!$B$13,Paramètres!$A$1:$I$89,3,0)*0.475*44/12</f>
        <v>0.5354770201357939</v>
      </c>
      <c r="DI97" s="22">
        <f t="shared" si="69"/>
        <v>82.018842049835825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5.6843418860808015E-13</v>
      </c>
      <c r="DP97" s="17">
        <f>DO97*VLOOKUP('Données projet'!$B$14,Paramètres!$A$1:$I$89,3,0)*VLOOKUP('Données projet'!$B$14,Paramètres!$A$1:$I$89,5,0)</f>
        <v>3.177547114319168E-13</v>
      </c>
      <c r="DQ97" s="13">
        <f t="shared" si="97"/>
        <v>4.1725404435445377E-12</v>
      </c>
      <c r="DR97" s="20">
        <f t="shared" si="70"/>
        <v>7.820597394917325E-12</v>
      </c>
      <c r="DS97" s="59">
        <f t="shared" si="71"/>
        <v>275.64051507724633</v>
      </c>
      <c r="DT97" s="59">
        <f ca="1">AVERAGE(OFFSET($DS$3,0,0,'Données projet'!$E$14+1,1))-AVERAGE(OFFSET($H$3,0,0,'Données projet'!$E$14+1,1))</f>
        <v>407.05634973057056</v>
      </c>
      <c r="DU97" s="59">
        <f t="shared" si="98"/>
        <v>375.32891954889965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143.45600353645207</v>
      </c>
      <c r="EB97" s="21">
        <f>EXP(-LN(2)/25)*EB96+(1-EXP(-LN(2)/25))/(LN(2)/25)*Calculateur!DW97*Calculateur!DY97*VLOOKUP('Données projet'!$B$14,Paramètres!$A$1:$I$89,3,0)*0.475*44/12</f>
        <v>39.45764396388099</v>
      </c>
      <c r="EC97" s="21">
        <f>EXP(-LN(2)/2)*EC96+(1-EXP(-LN(2)/2))/(LN(2)/2)*DW97*DZ97*VLOOKUP('Données projet'!$B$14,Paramètres!$A$1:$I$89,3,0)*0.475*44/12</f>
        <v>1.8433965899125954E-2</v>
      </c>
      <c r="ED97" s="22">
        <f t="shared" si="72"/>
        <v>182.93208146623221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1.1368683772161603E-13</v>
      </c>
      <c r="EK97" s="17">
        <f>EJ97*VLOOKUP('Données projet'!$B$15,Paramètres!$A$1:$I$89,3,0)*VLOOKUP('Données projet'!$B$15,Paramètres!$A$1:$I$89,5,0)</f>
        <v>5.0249582272954292E-14</v>
      </c>
      <c r="EL97" s="13">
        <f t="shared" si="99"/>
        <v>8.1784820119191593E-13</v>
      </c>
      <c r="EM97" s="20">
        <f t="shared" si="73"/>
        <v>1.5119369728679821E-12</v>
      </c>
      <c r="EN97" s="59">
        <f t="shared" si="74"/>
        <v>275.64051507724002</v>
      </c>
      <c r="EO97" s="59">
        <f ca="1">AVERAGE(OFFSET($EN$3,0,0,'Données projet'!$E$15+1,1))-AVERAGE(OFFSET($H$3,0,0,'Données projet'!$E$15+1,1))</f>
        <v>418.28022549686278</v>
      </c>
      <c r="EP97" s="59">
        <f t="shared" si="100"/>
        <v>354.55070454517158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156.59900793213305</v>
      </c>
      <c r="EW97" s="21">
        <f>EXP(-LN(2)/25)*EW96+(1-EXP(-LN(2)/25))/(LN(2)/25)*Calculateur!ER97*Calculateur!ET97*VLOOKUP('Données projet'!$B$15,Paramètres!$A$1:$I$89,3,0)*0.475*44/12</f>
        <v>48.76715981412827</v>
      </c>
      <c r="EX97" s="21">
        <f>EXP(-LN(2)/2)*EX96+(1-EXP(-LN(2)/2))/(LN(2)/2)*ER97*EU97*VLOOKUP('Données projet'!$B$15,Paramètres!$A$1:$I$89,3,0)*0.475*44/12</f>
        <v>0.61409289975254233</v>
      </c>
      <c r="EY97" s="22">
        <f t="shared" si="75"/>
        <v>205.98026064601385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6.7600000000000007</v>
      </c>
      <c r="FE97" s="12">
        <f>IF('Données projet'!$A$218&gt;35,FE96+FD97-FM96,IF(A97&lt;'Données projet'!$A$218,$FB$205^A97,IF(A97='Données projet'!$A$218,'Données projet'!$B$218,FE96+FD97-FM96)))</f>
        <v>245.80999999999989</v>
      </c>
      <c r="FF97" s="17">
        <f>FE97*VLOOKUP('Données projet'!$B$16,Paramètres!$A$1:$I$89,3,0)*VLOOKUP('Données projet'!$B$16,Paramètres!$A$1:$I$89,5,0)</f>
        <v>279.92842799999988</v>
      </c>
      <c r="FG97" s="13">
        <f t="shared" si="101"/>
        <v>66.951883435020946</v>
      </c>
      <c r="FH97" s="20">
        <f t="shared" si="76"/>
        <v>604.14987574932786</v>
      </c>
      <c r="FI97" s="59">
        <f t="shared" si="77"/>
        <v>879.79039082656641</v>
      </c>
      <c r="FJ97" s="59">
        <f ca="1">AVERAGE(OFFSET($FI$3,0,0,'Données projet'!$E$16+1,1))-AVERAGE(OFFSET($H$3,0,0,'Données projet'!$E$16+1,1))</f>
        <v>640.05156427113661</v>
      </c>
      <c r="FK97" s="59">
        <f t="shared" si="102"/>
        <v>308.77220155372902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6.0704163778716342</v>
      </c>
      <c r="FR97" s="21">
        <f>EXP(-LN(2)/25)*FR96+(1-EXP(-LN(2)/25))/(LN(2)/25)*Calculateur!FM97*Calculateur!FO97*VLOOKUP('Données projet'!$B$16,Paramètres!$A$1:$I$89,3,0)*0.475*44/12</f>
        <v>33.735489803555332</v>
      </c>
      <c r="FS97" s="21">
        <f>EXP(-LN(2)/2)*FS96+(1-EXP(-LN(2)/2))/(LN(2)/2)*FM97*FP97*VLOOKUP('Données projet'!$B$16,Paramètres!$A$1:$I$89,3,0)*0.475*44/12</f>
        <v>0.27393955232924444</v>
      </c>
      <c r="FT97" s="22">
        <f t="shared" si="78"/>
        <v>40.079845733756208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6.7984728957526396E-14</v>
      </c>
      <c r="P98" s="13">
        <f t="shared" si="87"/>
        <v>1.0682447123141398E-12</v>
      </c>
      <c r="Q98" s="20">
        <f t="shared" si="54"/>
        <v>1.978932943548152E-12</v>
      </c>
      <c r="R98" s="59">
        <f t="shared" si="55"/>
        <v>275.94744591876793</v>
      </c>
      <c r="S98" s="59">
        <f ca="1">AVERAGE(OFFSET($R$3,0,0,'Données projet'!$E$9+1,1))-AVERAGE(OFFSET($H$3,0,0,'Données projet'!$E$9+1,1))</f>
        <v>318.50474972254085</v>
      </c>
      <c r="T98" s="59">
        <f t="shared" si="88"/>
        <v>326.45858332753562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69.434554459732311</v>
      </c>
      <c r="AA98" s="21">
        <f>EXP(-LN(2)/25)*AA97+(1-EXP(-LN(2)/25))/(LN(2)/25)*Calculateur!V98*Calculateur!X98*VLOOKUP('Données projet'!$B$9,Paramètres!$A$1:$I$89,3,0)*0.475*44/12</f>
        <v>18.355523816253005</v>
      </c>
      <c r="AB98" s="21">
        <f>EXP(-LN(2)/2)*AB97+(1-EXP(-LN(2)/2))/(LN(2)/2)*V98*Y98*VLOOKUP('Données projet'!$B$9,Paramètres!$A$1:$I$89,3,0)*0.475*44/12</f>
        <v>3.2347978843782577E-4</v>
      </c>
      <c r="AC98" s="22">
        <f t="shared" si="57"/>
        <v>87.790401755773743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10.192500000000001</v>
      </c>
      <c r="AI98" s="13">
        <f>IF('Données projet'!$A$62&gt;35,AI97+AH98-AQ97,IF(A98&lt;'Données projet'!$A$62,$AF$205^A98,IF(A98='Données projet'!$A$62,'Données projet'!$B$62,AI97+AH98-AQ97)))</f>
        <v>431.3649999999999</v>
      </c>
      <c r="AJ98" s="13">
        <f>AI98*VLOOKUP('Données projet'!$B$10,Paramètres!$A$1:$I$89,3,0)*VLOOKUP('Données projet'!$B$10,Paramètres!$A$1:$I$89,5,0)</f>
        <v>201.87881999999993</v>
      </c>
      <c r="AK98" s="13">
        <f t="shared" si="89"/>
        <v>50.156850528656342</v>
      </c>
      <c r="AL98" s="20">
        <f t="shared" si="58"/>
        <v>438.96212617074298</v>
      </c>
      <c r="AM98" s="59">
        <f t="shared" si="59"/>
        <v>714.90957208950886</v>
      </c>
      <c r="AN98" s="59">
        <f ca="1">AVERAGE(OFFSET($AM$3,0,0,'Données projet'!$E$10+1,1))-AVERAGE(OFFSET($H$3,0,0,'Données projet'!$E$10+1,1))</f>
        <v>374.38106339726073</v>
      </c>
      <c r="AO98" s="59">
        <f t="shared" si="90"/>
        <v>296.53283288925957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46.570822162489591</v>
      </c>
      <c r="AV98" s="21">
        <f>EXP(-LN(2)/25)*AV97+(1-EXP(-LN(2)/25))/(LN(2)/25)*Calculateur!AQ98*Calculateur!AS98*VLOOKUP('Données projet'!$B$10,Paramètres!$A$1:$I$89,3,0)*0.475*44/12</f>
        <v>17.899892848932001</v>
      </c>
      <c r="AW98" s="21">
        <f>EXP(-LN(2)/2)*AW97+(1-EXP(-LN(2)/2))/(LN(2)/2)*AQ98*AT98*VLOOKUP('Données projet'!$B$10,Paramètres!$A$1:$I$89,3,0)*0.475*44/12</f>
        <v>0.32243563307916756</v>
      </c>
      <c r="AX98" s="21">
        <f t="shared" si="60"/>
        <v>64.793150644500756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8.9420000000000019</v>
      </c>
      <c r="BD98" s="12">
        <f>IF('Données projet'!$A$88&gt;35,BD97+BC98-BL97,IF(A98&lt;'Données projet'!$A$88,$BA$205^A98,IF(A98='Données projet'!$A$88,'Données projet'!$B$88,BD97+BC98-BL97)))</f>
        <v>321.72200000000049</v>
      </c>
      <c r="BE98" s="13">
        <f>BD98*VLOOKUP('Données projet'!$B$11,Paramètres!$A$1:$I$89,3,0)*VLOOKUP('Données projet'!$B$11,Paramètres!$A$1:$I$89,5,0)</f>
        <v>291.09406560000048</v>
      </c>
      <c r="BF98" s="13">
        <f t="shared" si="91"/>
        <v>69.306175582041092</v>
      </c>
      <c r="BG98" s="20">
        <f t="shared" si="61"/>
        <v>627.697086725389</v>
      </c>
      <c r="BH98" s="59">
        <f t="shared" si="62"/>
        <v>903.64453264415488</v>
      </c>
      <c r="BI98" s="59">
        <f ca="1">AVERAGE(OFFSET($BH$3,0,0,'Données projet'!$E$11+1,1))-AVERAGE(OFFSET($H$3,0,0,'Données projet'!$E$11+1,1))</f>
        <v>681.47578137804555</v>
      </c>
      <c r="BJ98" s="59">
        <f t="shared" si="92"/>
        <v>300.88511065995885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27.662671184076828</v>
      </c>
      <c r="BQ98" s="21">
        <f>EXP(-LN(2)/25)*BQ97+(1-EXP(-LN(2)/25))/(LN(2)/25)*Calculateur!BL98*Calculateur!BN98*VLOOKUP('Données projet'!$B$11,Paramètres!$A$1:$I$89,3,0)*0.475*44/12</f>
        <v>27.416177199960789</v>
      </c>
      <c r="BR98" s="21">
        <f>EXP(-LN(2)/2)*BR97+(1-EXP(-LN(2)/2))/(LN(2)/2)*BL98*BO98*VLOOKUP('Données projet'!$B$11,Paramètres!$A$1:$I$89,3,0)*0.475*44/12</f>
        <v>4.1946991752606371</v>
      </c>
      <c r="BS98" s="22">
        <f t="shared" si="63"/>
        <v>59.273547559298251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151.28205128205127</v>
      </c>
      <c r="BW98" s="12">
        <f>VLOOKUP(A98,'Données projet'!$A$113:$I$133,9,0)</f>
        <v>1.7948717948717956</v>
      </c>
      <c r="BX98" s="12">
        <f t="array" ref="BX98">INDEX(BW:BW,MIN(IF(ISNUMBER(BW98:BW294),ROW(BW98:BW294),"")))</f>
        <v>1.7948717948717956</v>
      </c>
      <c r="BY98" s="12">
        <f>IF('Données projet'!$A$114&gt;35,BY97+BX98-CG97,IF(A98&lt;'Données projet'!$A$114,$BV$205^A98,IF(A98='Données projet'!$A$114,'Données projet'!$B$114,BY97+BX98-CG97)))</f>
        <v>151.2820512820513</v>
      </c>
      <c r="BZ98" s="13">
        <f>BY98*VLOOKUP('Données projet'!$B$12,Paramètres!$A$1:$I$89,3,0)*VLOOKUP('Données projet'!$B$12,Paramètres!$A$1:$I$89,5,0)</f>
        <v>158.12000000000003</v>
      </c>
      <c r="CA98" s="13">
        <f t="shared" si="93"/>
        <v>40.418184903854836</v>
      </c>
      <c r="CB98" s="20">
        <f t="shared" si="64"/>
        <v>345.78733870754724</v>
      </c>
      <c r="CC98" s="59">
        <f t="shared" si="65"/>
        <v>621.73478462631317</v>
      </c>
      <c r="CD98" s="59">
        <f ca="1">AVERAGE(OFFSET($CC$3,0,0,'Données projet'!$E$12+1,1))-AVERAGE(OFFSET($H$3,0,0,'Données projet'!$E$12+1,1))</f>
        <v>290.69667785754848</v>
      </c>
      <c r="CE98" s="59">
        <f t="shared" si="94"/>
        <v>256.28124185489082</v>
      </c>
      <c r="CF98" s="15">
        <f>IF(ISNA(VLOOKUP(A98,'Données projet'!$A$113:$I$133,3,0)),0,VLOOKUP(A98,'Données projet'!$A$113:$I$133,3,0))</f>
        <v>16</v>
      </c>
      <c r="CG98" s="15">
        <f>IF(ISNA(VLOOKUP(A98,'Données projet'!$A$113:$I$133,4,0)),0,VLOOKUP(A98,'Données projet'!$A$113:$I$133,4,0))</f>
        <v>7.0512820512820511</v>
      </c>
      <c r="CH98" s="16">
        <f>IF(ISNA(VLOOKUP(A98,'Données projet'!$A$113:$I$133,5,0)),0%,VLOOKUP(A98,'Données projet'!$A$113:$I$133,5,0)*VLOOKUP('Données projet'!$B$12,Paramètres!$A$1:$I$89,7,0))</f>
        <v>4.3000000000000003E-2</v>
      </c>
      <c r="CI98" s="16">
        <f>IF(ISNA(VLOOKUP(A98,'Données projet'!$A$113:$I$133,6,0)),0%,VLOOKUP(A98,'Données projet'!$A$113:$I$133,6,0)*VLOOKUP('Données projet'!$B$12,Paramètres!$A$1:$I$89,7,0))</f>
        <v>0.215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2.7734194026687824</v>
      </c>
      <c r="CL98" s="21">
        <f>EXP(-LN(2)/25)*CL97+(1-EXP(-LN(2)/25))/(LN(2)/25)*Calculateur!CG98*Calculateur!CI98*VLOOKUP('Données projet'!$B$12,Paramètres!$A$1:$I$89,3,0)*0.475*44/12</f>
        <v>17.221812779603791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19.995232182272574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408.246209980743</v>
      </c>
      <c r="CZ98" s="59">
        <f t="shared" si="96"/>
        <v>394.10236303013903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42.409066851630513</v>
      </c>
      <c r="DG98" s="21">
        <f>EXP(-LN(2)/25)*DG97+(1-EXP(-LN(2)/25))/(LN(2)/25)*Calculateur!DB98*Calculateur!DD98*VLOOKUP('Données projet'!$B$13,Paramètres!$A$1:$I$89,3,0)*0.475*44/12</f>
        <v>37.180755278154017</v>
      </c>
      <c r="DH98" s="21">
        <f>EXP(-LN(2)/2)*DH97+(1-EXP(-LN(2)/2))/(LN(2)/2)*DB98*DE98*VLOOKUP('Données projet'!$B$13,Paramètres!$A$1:$I$89,3,0)*0.475*44/12</f>
        <v>0.37863943210758533</v>
      </c>
      <c r="DI98" s="22">
        <f t="shared" si="69"/>
        <v>79.968461561892113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5.6843418860808015E-13</v>
      </c>
      <c r="DP98" s="17">
        <f>DO98*VLOOKUP('Données projet'!$B$14,Paramètres!$A$1:$I$89,3,0)*VLOOKUP('Données projet'!$B$14,Paramètres!$A$1:$I$89,5,0)</f>
        <v>3.177547114319168E-13</v>
      </c>
      <c r="DQ98" s="13">
        <f t="shared" si="97"/>
        <v>4.1725404435445377E-12</v>
      </c>
      <c r="DR98" s="20">
        <f t="shared" si="70"/>
        <v>7.820597394917325E-12</v>
      </c>
      <c r="DS98" s="59">
        <f t="shared" si="71"/>
        <v>275.94744591877378</v>
      </c>
      <c r="DT98" s="59">
        <f ca="1">AVERAGE(OFFSET($DS$3,0,0,'Données projet'!$E$14+1,1))-AVERAGE(OFFSET($H$3,0,0,'Données projet'!$E$14+1,1))</f>
        <v>407.05634973057056</v>
      </c>
      <c r="DU98" s="59">
        <f t="shared" si="98"/>
        <v>375.32891954889965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140.64291880662455</v>
      </c>
      <c r="EB98" s="21">
        <f>EXP(-LN(2)/25)*EB97+(1-EXP(-LN(2)/25))/(LN(2)/25)*Calculateur!DW98*Calculateur!DY98*VLOOKUP('Données projet'!$B$14,Paramètres!$A$1:$I$89,3,0)*0.475*44/12</f>
        <v>38.378672614701351</v>
      </c>
      <c r="EC98" s="21">
        <f>EXP(-LN(2)/2)*EC97+(1-EXP(-LN(2)/2))/(LN(2)/2)*DW98*DZ98*VLOOKUP('Données projet'!$B$14,Paramètres!$A$1:$I$89,3,0)*0.475*44/12</f>
        <v>1.3034782291433535E-2</v>
      </c>
      <c r="ED98" s="22">
        <f t="shared" si="72"/>
        <v>179.03462620361734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1.1368683772161603E-13</v>
      </c>
      <c r="EK98" s="17">
        <f>EJ98*VLOOKUP('Données projet'!$B$15,Paramètres!$A$1:$I$89,3,0)*VLOOKUP('Données projet'!$B$15,Paramètres!$A$1:$I$89,5,0)</f>
        <v>5.0249582272954292E-14</v>
      </c>
      <c r="EL98" s="13">
        <f t="shared" si="99"/>
        <v>8.1784820119191593E-13</v>
      </c>
      <c r="EM98" s="20">
        <f t="shared" si="73"/>
        <v>1.5119369728679821E-12</v>
      </c>
      <c r="EN98" s="59">
        <f t="shared" si="74"/>
        <v>275.94744591876747</v>
      </c>
      <c r="EO98" s="59">
        <f ca="1">AVERAGE(OFFSET($EN$3,0,0,'Données projet'!$E$15+1,1))-AVERAGE(OFFSET($H$3,0,0,'Données projet'!$E$15+1,1))</f>
        <v>418.28022549686278</v>
      </c>
      <c r="EP98" s="59">
        <f t="shared" si="100"/>
        <v>354.55070454517158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153.52819690254734</v>
      </c>
      <c r="EW98" s="21">
        <f>EXP(-LN(2)/25)*EW97+(1-EXP(-LN(2)/25))/(LN(2)/25)*Calculateur!ER98*Calculateur!ET98*VLOOKUP('Données projet'!$B$15,Paramètres!$A$1:$I$89,3,0)*0.475*44/12</f>
        <v>47.433619264457455</v>
      </c>
      <c r="EX98" s="21">
        <f>EXP(-LN(2)/2)*EX97+(1-EXP(-LN(2)/2))/(LN(2)/2)*ER98*EU98*VLOOKUP('Données projet'!$B$15,Paramètres!$A$1:$I$89,3,0)*0.475*44/12</f>
        <v>0.43422925369353343</v>
      </c>
      <c r="EY98" s="22">
        <f t="shared" si="75"/>
        <v>201.39604542069833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252.57</v>
      </c>
      <c r="FC98" s="12">
        <f>VLOOKUP(A98,'Données projet'!$A$217:$I$237,9,0)</f>
        <v>6.7600000000000007</v>
      </c>
      <c r="FD98" s="12">
        <f t="array" ref="FD98">INDEX(FC:FC,MIN(IF(ISNUMBER(FC98:FC294),ROW(FC98:FC294),"")))</f>
        <v>6.7600000000000007</v>
      </c>
      <c r="FE98" s="12">
        <f>IF('Données projet'!$A$218&gt;35,FE97+FD98-FM97,IF(A98&lt;'Données projet'!$A$218,$FB$205^A98,IF(A98='Données projet'!$A$218,'Données projet'!$B$218,FE97+FD98-FM97)))</f>
        <v>252.56999999999988</v>
      </c>
      <c r="FF98" s="17">
        <f>FE98*VLOOKUP('Données projet'!$B$16,Paramètres!$A$1:$I$89,3,0)*VLOOKUP('Données projet'!$B$16,Paramètres!$A$1:$I$89,5,0)</f>
        <v>287.62671599999982</v>
      </c>
      <c r="FG98" s="13">
        <f t="shared" si="101"/>
        <v>68.576223699906507</v>
      </c>
      <c r="FH98" s="20">
        <f t="shared" si="76"/>
        <v>620.38678664400345</v>
      </c>
      <c r="FI98" s="59">
        <f t="shared" si="77"/>
        <v>896.33423256276933</v>
      </c>
      <c r="FJ98" s="59">
        <f ca="1">AVERAGE(OFFSET($FI$3,0,0,'Données projet'!$E$16+1,1))-AVERAGE(OFFSET($H$3,0,0,'Données projet'!$E$16+1,1))</f>
        <v>640.05156427113661</v>
      </c>
      <c r="FK98" s="59">
        <f t="shared" si="102"/>
        <v>308.77220155372902</v>
      </c>
      <c r="FL98" s="15">
        <f>IF(ISNA(VLOOKUP(A98,'Données projet'!$A$217:$I$237,3,0)),0,VLOOKUP(A98,'Données projet'!$A$217:$I$237,3,0))</f>
        <v>5</v>
      </c>
      <c r="FM98" s="15">
        <f>IF(ISNA(VLOOKUP(A98,'Données projet'!$A$217:$I$237,4,0)),0,VLOOKUP(A98,'Données projet'!$A$217:$I$237,4,0))</f>
        <v>42.199999999999989</v>
      </c>
      <c r="FN98" s="16">
        <f>IF(ISNA(VLOOKUP(A98,'Données projet'!$A$217:$I$237,5,0)),0%,VLOOKUP(A98,'Données projet'!$A$217:$I$237,5,0)*VLOOKUP('Données projet'!$B$16,Paramètres!$A$1:$I$89,7,0))</f>
        <v>0.15049999999999999</v>
      </c>
      <c r="FO98" s="16">
        <f>IF(ISNA(VLOOKUP(A98,'Données projet'!$A$217:$I$237,6,0)),0%,VLOOKUP(A98,'Données projet'!$A$217:$I$237,6,0)*VLOOKUP('Données projet'!$B$16,Paramètres!$A$1:$I$89,7,0))</f>
        <v>8.6000000000000007E-2</v>
      </c>
      <c r="FP98" s="16">
        <f>IF(ISNA(VLOOKUP(A98,'Données projet'!$A$217:$I$237,7,0)),0%,VLOOKUP(A98,'Données projet'!$A$217:$I$237,7,0))</f>
        <v>0.1</v>
      </c>
      <c r="FQ98" s="21">
        <f>EXP(-LN(2)/35)*FQ97+(1-EXP(-LN(2)/35))/(LN(2)/35)*FM98*FN98*VLOOKUP('Données projet'!$B$16,Paramètres!$A$1:$I$89,3,0)*0.475*44/12</f>
        <v>13.946840409071978</v>
      </c>
      <c r="FR98" s="21">
        <f>EXP(-LN(2)/25)*FR97+(1-EXP(-LN(2)/25))/(LN(2)/25)*Calculateur!FM98*Calculateur!FO98*VLOOKUP('Données projet'!$B$16,Paramètres!$A$1:$I$89,3,0)*0.475*44/12</f>
        <v>37.363836784549115</v>
      </c>
      <c r="FS98" s="21">
        <f>EXP(-LN(2)/2)*FS97+(1-EXP(-LN(2)/2))/(LN(2)/2)*FM98*FP98*VLOOKUP('Données projet'!$B$16,Paramètres!$A$1:$I$89,3,0)*0.475*44/12</f>
        <v>4.7280457755752554</v>
      </c>
      <c r="FT98" s="22">
        <f t="shared" si="78"/>
        <v>56.038722969196343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6.7984728957526396E-14</v>
      </c>
      <c r="P99" s="13">
        <f t="shared" si="87"/>
        <v>1.0682447123141398E-12</v>
      </c>
      <c r="Q99" s="20">
        <f t="shared" ref="Q99:Q130" si="107">(O99+P99)*0.475*44/12</f>
        <v>1.978932943548152E-12</v>
      </c>
      <c r="R99" s="59">
        <f t="shared" si="55"/>
        <v>276.24905219638941</v>
      </c>
      <c r="S99" s="59">
        <f ca="1">AVERAGE(OFFSET($R$3,0,0,'Données projet'!$E$9+1,1))-AVERAGE(OFFSET($H$3,0,0,'Données projet'!$E$9+1,1))</f>
        <v>318.50474972254085</v>
      </c>
      <c r="T99" s="59">
        <f t="shared" si="88"/>
        <v>326.45858332753562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68.072985197673376</v>
      </c>
      <c r="AA99" s="21">
        <f>EXP(-LN(2)/25)*AA98+(1-EXP(-LN(2)/25))/(LN(2)/25)*Calculateur!V99*Calculateur!X99*VLOOKUP('Données projet'!$B$9,Paramètres!$A$1:$I$89,3,0)*0.475*44/12</f>
        <v>17.853591052222519</v>
      </c>
      <c r="AB99" s="21">
        <f>EXP(-LN(2)/2)*AB98+(1-EXP(-LN(2)/2))/(LN(2)/2)*V99*Y99*VLOOKUP('Données projet'!$B$9,Paramètres!$A$1:$I$89,3,0)*0.475*44/12</f>
        <v>2.2873475198117635E-4</v>
      </c>
      <c r="AC99" s="22">
        <f t="shared" si="57"/>
        <v>85.926804984647887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10.192500000000001</v>
      </c>
      <c r="AI99" s="13">
        <f>IF('Données projet'!$A$62&gt;35,AI98+AH99-AQ98,IF(A99&lt;'Données projet'!$A$62,$AF$205^A99,IF(A99='Données projet'!$A$62,'Données projet'!$B$62,AI98+AH99-AQ98)))</f>
        <v>441.55749999999989</v>
      </c>
      <c r="AJ99" s="13">
        <f>AI99*VLOOKUP('Données projet'!$B$10,Paramètres!$A$1:$I$89,3,0)*VLOOKUP('Données projet'!$B$10,Paramètres!$A$1:$I$89,5,0)</f>
        <v>206.64890999999994</v>
      </c>
      <c r="AK99" s="13">
        <f t="shared" si="89"/>
        <v>51.202604040835197</v>
      </c>
      <c r="AL99" s="20">
        <f t="shared" si="58"/>
        <v>449.09138695445449</v>
      </c>
      <c r="AM99" s="59">
        <f t="shared" si="59"/>
        <v>725.34043915084192</v>
      </c>
      <c r="AN99" s="59">
        <f ca="1">AVERAGE(OFFSET($AM$3,0,0,'Données projet'!$E$10+1,1))-AVERAGE(OFFSET($H$3,0,0,'Données projet'!$E$10+1,1))</f>
        <v>374.38106339726073</v>
      </c>
      <c r="AO99" s="59">
        <f t="shared" si="90"/>
        <v>296.53283288925957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45.657596745279889</v>
      </c>
      <c r="AV99" s="21">
        <f>EXP(-LN(2)/25)*AV98+(1-EXP(-LN(2)/25))/(LN(2)/25)*Calculateur!AQ99*Calculateur!AS99*VLOOKUP('Données projet'!$B$10,Paramètres!$A$1:$I$89,3,0)*0.475*44/12</f>
        <v>17.410419337663502</v>
      </c>
      <c r="AW99" s="21">
        <f>EXP(-LN(2)/2)*AW98+(1-EXP(-LN(2)/2))/(LN(2)/2)*AQ99*AT99*VLOOKUP('Données projet'!$B$10,Paramètres!$A$1:$I$89,3,0)*0.475*44/12</f>
        <v>0.22799642264645686</v>
      </c>
      <c r="AX99" s="21">
        <f t="shared" si="60"/>
        <v>63.296012505589843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8.9420000000000019</v>
      </c>
      <c r="BD99" s="12">
        <f>IF('Données projet'!$A$88&gt;35,BD98+BC99-BL98,IF(A99&lt;'Données projet'!$A$88,$BA$205^A99,IF(A99='Données projet'!$A$88,'Données projet'!$B$88,BD98+BC99-BL98)))</f>
        <v>330.6640000000005</v>
      </c>
      <c r="BE99" s="13">
        <f>BD99*VLOOKUP('Données projet'!$B$11,Paramètres!$A$1:$I$89,3,0)*VLOOKUP('Données projet'!$B$11,Paramètres!$A$1:$I$89,5,0)</f>
        <v>299.18478720000041</v>
      </c>
      <c r="BF99" s="13">
        <f t="shared" si="91"/>
        <v>71.005536504727559</v>
      </c>
      <c r="BG99" s="20">
        <f t="shared" si="61"/>
        <v>644.74814711906788</v>
      </c>
      <c r="BH99" s="59">
        <f t="shared" si="62"/>
        <v>920.9971993154553</v>
      </c>
      <c r="BI99" s="59">
        <f ca="1">AVERAGE(OFFSET($BH$3,0,0,'Données projet'!$E$11+1,1))-AVERAGE(OFFSET($H$3,0,0,'Données projet'!$E$11+1,1))</f>
        <v>681.47578137804555</v>
      </c>
      <c r="BJ99" s="59">
        <f t="shared" si="92"/>
        <v>300.88511065995885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27.120223074720478</v>
      </c>
      <c r="BQ99" s="21">
        <f>EXP(-LN(2)/25)*BQ98+(1-EXP(-LN(2)/25))/(LN(2)/25)*Calculateur!BL99*Calculateur!BN99*VLOOKUP('Données projet'!$B$11,Paramètres!$A$1:$I$89,3,0)*0.475*44/12</f>
        <v>26.666480392673762</v>
      </c>
      <c r="BR99" s="21">
        <f>EXP(-LN(2)/2)*BR98+(1-EXP(-LN(2)/2))/(LN(2)/2)*BL99*BO99*VLOOKUP('Données projet'!$B$11,Paramètres!$A$1:$I$89,3,0)*0.475*44/12</f>
        <v>2.9661002318644147</v>
      </c>
      <c r="BS99" s="22">
        <f t="shared" si="63"/>
        <v>56.752803699258656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1.9230769230769227</v>
      </c>
      <c r="BY99" s="12">
        <f>IF('Données projet'!$A$114&gt;35,BY98+BX99-CG98,IF(A99&lt;'Données projet'!$A$114,$BV$205^A99,IF(A99='Données projet'!$A$114,'Données projet'!$B$114,BY98+BX99-CG98)))</f>
        <v>146.15384615384619</v>
      </c>
      <c r="BZ99" s="13">
        <f>BY99*VLOOKUP('Données projet'!$B$12,Paramètres!$A$1:$I$89,3,0)*VLOOKUP('Données projet'!$B$12,Paramètres!$A$1:$I$89,5,0)</f>
        <v>152.76000000000005</v>
      </c>
      <c r="CA99" s="13">
        <f t="shared" si="93"/>
        <v>39.205138402364092</v>
      </c>
      <c r="CB99" s="20">
        <f t="shared" si="64"/>
        <v>334.33928271745089</v>
      </c>
      <c r="CC99" s="59">
        <f t="shared" si="65"/>
        <v>610.58833491383825</v>
      </c>
      <c r="CD99" s="59">
        <f ca="1">AVERAGE(OFFSET($CC$3,0,0,'Données projet'!$E$12+1,1))-AVERAGE(OFFSET($H$3,0,0,'Données projet'!$E$12+1,1))</f>
        <v>290.69667785754848</v>
      </c>
      <c r="CE99" s="59">
        <f t="shared" si="94"/>
        <v>256.28124185489082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2.7190343398012495</v>
      </c>
      <c r="CL99" s="21">
        <f>EXP(-LN(2)/25)*CL98+(1-EXP(-LN(2)/25))/(LN(2)/25)*Calculateur!CG99*Calculateur!CI99*VLOOKUP('Données projet'!$B$12,Paramètres!$A$1:$I$89,3,0)*0.475*44/12</f>
        <v>16.750881403489753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19.469915743291004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408.246209980743</v>
      </c>
      <c r="CZ99" s="59">
        <f t="shared" si="96"/>
        <v>394.10236303013903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41.577450917646665</v>
      </c>
      <c r="DG99" s="21">
        <f>EXP(-LN(2)/25)*DG98+(1-EXP(-LN(2)/25))/(LN(2)/25)*Calculateur!DB99*Calculateur!DD99*VLOOKUP('Données projet'!$B$13,Paramètres!$A$1:$I$89,3,0)*0.475*44/12</f>
        <v>36.164045569821951</v>
      </c>
      <c r="DH99" s="21">
        <f>EXP(-LN(2)/2)*DH98+(1-EXP(-LN(2)/2))/(LN(2)/2)*DB99*DE99*VLOOKUP('Données projet'!$B$13,Paramètres!$A$1:$I$89,3,0)*0.475*44/12</f>
        <v>0.26773851006789695</v>
      </c>
      <c r="DI99" s="22">
        <f t="shared" si="69"/>
        <v>78.009234997536524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5.6843418860808015E-13</v>
      </c>
      <c r="DP99" s="17">
        <f>DO99*VLOOKUP('Données projet'!$B$14,Paramètres!$A$1:$I$89,3,0)*VLOOKUP('Données projet'!$B$14,Paramètres!$A$1:$I$89,5,0)</f>
        <v>3.177547114319168E-13</v>
      </c>
      <c r="DQ99" s="13">
        <f t="shared" si="97"/>
        <v>4.1725404435445377E-12</v>
      </c>
      <c r="DR99" s="20">
        <f t="shared" si="70"/>
        <v>7.820597394917325E-12</v>
      </c>
      <c r="DS99" s="59">
        <f t="shared" si="71"/>
        <v>276.24905219639527</v>
      </c>
      <c r="DT99" s="59">
        <f ca="1">AVERAGE(OFFSET($DS$3,0,0,'Données projet'!$E$14+1,1))-AVERAGE(OFFSET($H$3,0,0,'Données projet'!$E$14+1,1))</f>
        <v>407.05634973057056</v>
      </c>
      <c r="DU99" s="59">
        <f t="shared" si="98"/>
        <v>375.32891954889965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137.88499695253668</v>
      </c>
      <c r="EB99" s="21">
        <f>EXP(-LN(2)/25)*EB98+(1-EXP(-LN(2)/25))/(LN(2)/25)*Calculateur!DW99*Calculateur!DY99*VLOOKUP('Données projet'!$B$14,Paramètres!$A$1:$I$89,3,0)*0.475*44/12</f>
        <v>37.329205793805663</v>
      </c>
      <c r="EC99" s="21">
        <f>EXP(-LN(2)/2)*EC98+(1-EXP(-LN(2)/2))/(LN(2)/2)*DW99*DZ99*VLOOKUP('Données projet'!$B$14,Paramètres!$A$1:$I$89,3,0)*0.475*44/12</f>
        <v>9.2169829495629772E-3</v>
      </c>
      <c r="ED99" s="22">
        <f t="shared" si="72"/>
        <v>175.22341972929192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1.1368683772161603E-13</v>
      </c>
      <c r="EK99" s="17">
        <f>EJ99*VLOOKUP('Données projet'!$B$15,Paramètres!$A$1:$I$89,3,0)*VLOOKUP('Données projet'!$B$15,Paramètres!$A$1:$I$89,5,0)</f>
        <v>5.0249582272954292E-14</v>
      </c>
      <c r="EL99" s="13">
        <f t="shared" si="99"/>
        <v>8.1784820119191593E-13</v>
      </c>
      <c r="EM99" s="20">
        <f t="shared" si="73"/>
        <v>1.5119369728679821E-12</v>
      </c>
      <c r="EN99" s="59">
        <f t="shared" si="74"/>
        <v>276.24905219638896</v>
      </c>
      <c r="EO99" s="59">
        <f ca="1">AVERAGE(OFFSET($EN$3,0,0,'Données projet'!$E$15+1,1))-AVERAGE(OFFSET($H$3,0,0,'Données projet'!$E$15+1,1))</f>
        <v>418.28022549686278</v>
      </c>
      <c r="EP99" s="59">
        <f t="shared" si="100"/>
        <v>354.55070454517158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150.51760260424203</v>
      </c>
      <c r="EW99" s="21">
        <f>EXP(-LN(2)/25)*EW98+(1-EXP(-LN(2)/25))/(LN(2)/25)*Calculateur!ER99*Calculateur!ET99*VLOOKUP('Données projet'!$B$15,Paramètres!$A$1:$I$89,3,0)*0.475*44/12</f>
        <v>46.136544451245243</v>
      </c>
      <c r="EX99" s="21">
        <f>EXP(-LN(2)/2)*EX98+(1-EXP(-LN(2)/2))/(LN(2)/2)*ER99*EU99*VLOOKUP('Données projet'!$B$15,Paramètres!$A$1:$I$89,3,0)*0.475*44/12</f>
        <v>0.30704644987627122</v>
      </c>
      <c r="EY99" s="22">
        <f t="shared" si="75"/>
        <v>196.96119350536355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6.7777777777777777</v>
      </c>
      <c r="FE99" s="12">
        <f>IF('Données projet'!$A$218&gt;35,FE98+FD99-FM98,IF(A99&lt;'Données projet'!$A$218,$FB$205^A99,IF(A99='Données projet'!$A$218,'Données projet'!$B$218,FE98+FD99-FM98)))</f>
        <v>217.14777777777766</v>
      </c>
      <c r="FF99" s="17">
        <f>FE99*VLOOKUP('Données projet'!$B$16,Paramètres!$A$1:$I$89,3,0)*VLOOKUP('Données projet'!$B$16,Paramètres!$A$1:$I$89,5,0)</f>
        <v>247.28788933333323</v>
      </c>
      <c r="FG99" s="13">
        <f t="shared" si="101"/>
        <v>60.004815004836068</v>
      </c>
      <c r="FH99" s="20">
        <f t="shared" si="76"/>
        <v>535.20146005564482</v>
      </c>
      <c r="FI99" s="59">
        <f t="shared" si="77"/>
        <v>811.45051225203224</v>
      </c>
      <c r="FJ99" s="59">
        <f ca="1">AVERAGE(OFFSET($FI$3,0,0,'Données projet'!$E$16+1,1))-AVERAGE(OFFSET($H$3,0,0,'Données projet'!$E$16+1,1))</f>
        <v>640.05156427113661</v>
      </c>
      <c r="FK99" s="59">
        <f t="shared" si="102"/>
        <v>308.77220155372902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13.673351375382756</v>
      </c>
      <c r="FR99" s="21">
        <f>EXP(-LN(2)/25)*FR98+(1-EXP(-LN(2)/25))/(LN(2)/25)*Calculateur!FM99*Calculateur!FO99*VLOOKUP('Données projet'!$B$16,Paramètres!$A$1:$I$89,3,0)*0.475*44/12</f>
        <v>36.342120702796841</v>
      </c>
      <c r="FS99" s="21">
        <f>EXP(-LN(2)/2)*FS98+(1-EXP(-LN(2)/2))/(LN(2)/2)*FM99*FP99*VLOOKUP('Données projet'!$B$16,Paramètres!$A$1:$I$89,3,0)*0.475*44/12</f>
        <v>3.3432332296696727</v>
      </c>
      <c r="FT99" s="22">
        <f t="shared" si="78"/>
        <v>53.35870530784927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6.7984728957526396E-14</v>
      </c>
      <c r="P100" s="13">
        <f t="shared" si="87"/>
        <v>1.0682447123141398E-12</v>
      </c>
      <c r="Q100" s="20">
        <f t="shared" si="107"/>
        <v>1.978932943548152E-12</v>
      </c>
      <c r="R100" s="59">
        <f t="shared" si="55"/>
        <v>276.5454262793848</v>
      </c>
      <c r="S100" s="59">
        <f ca="1">AVERAGE(OFFSET($R$3,0,0,'Données projet'!$E$9+1,1))-AVERAGE(OFFSET($H$3,0,0,'Données projet'!$E$9+1,1))</f>
        <v>318.50474972254085</v>
      </c>
      <c r="T100" s="59">
        <f t="shared" si="88"/>
        <v>326.45858332753562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66.738115478368172</v>
      </c>
      <c r="AA100" s="21">
        <f>EXP(-LN(2)/25)*AA99+(1-EXP(-LN(2)/25))/(LN(2)/25)*Calculateur!V100*Calculateur!X100*VLOOKUP('Données projet'!$B$9,Paramètres!$A$1:$I$89,3,0)*0.475*44/12</f>
        <v>17.365383666019945</v>
      </c>
      <c r="AB100" s="21">
        <f>EXP(-LN(2)/2)*AB99+(1-EXP(-LN(2)/2))/(LN(2)/2)*V100*Y100*VLOOKUP('Données projet'!$B$9,Paramètres!$A$1:$I$89,3,0)*0.475*44/12</f>
        <v>1.6173989421891288E-4</v>
      </c>
      <c r="AC100" s="22">
        <f t="shared" si="57"/>
        <v>84.103660884282334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>
        <f>VLOOKUP(A100,'Données projet'!$A$61:$I$81,2,0)</f>
        <v>451.75</v>
      </c>
      <c r="AG100" s="12">
        <f>VLOOKUP(A100,'Données projet'!$A$61:$I$81,9,0)</f>
        <v>10.192500000000001</v>
      </c>
      <c r="AH100" s="12">
        <f t="array" ref="AH100">INDEX(AG:AG,MIN(IF(ISNUMBER(AG100:AG296),ROW(AG100:AG296),"")))</f>
        <v>10.192500000000001</v>
      </c>
      <c r="AI100" s="13">
        <f>IF('Données projet'!$A$62&gt;35,AI99+AH100-AQ99,IF(A100&lt;'Données projet'!$A$62,$AF$205^A100,IF(A100='Données projet'!$A$62,'Données projet'!$B$62,AI99+AH100-AQ99)))</f>
        <v>451.74999999999989</v>
      </c>
      <c r="AJ100" s="13">
        <f>AI100*VLOOKUP('Données projet'!$B$10,Paramètres!$A$1:$I$89,3,0)*VLOOKUP('Données projet'!$B$10,Paramètres!$A$1:$I$89,5,0)</f>
        <v>211.41899999999995</v>
      </c>
      <c r="AK100" s="13">
        <f t="shared" si="89"/>
        <v>52.245551258706243</v>
      </c>
      <c r="AL100" s="20">
        <f t="shared" si="58"/>
        <v>459.21576010891323</v>
      </c>
      <c r="AM100" s="59">
        <f t="shared" si="59"/>
        <v>735.76118638829598</v>
      </c>
      <c r="AN100" s="59">
        <f ca="1">AVERAGE(OFFSET($AM$3,0,0,'Données projet'!$E$10+1,1))-AVERAGE(OFFSET($H$3,0,0,'Données projet'!$E$10+1,1))</f>
        <v>374.38106339726073</v>
      </c>
      <c r="AO100" s="59">
        <f t="shared" si="90"/>
        <v>296.53283288925957</v>
      </c>
      <c r="AP100" s="15">
        <f>IF(ISNA(VLOOKUP(A100,'Données projet'!$A$61:$I$81,3,0)),0,VLOOKUP(A100,'Données projet'!$A$61:$I$81,3,0))</f>
        <v>5</v>
      </c>
      <c r="AQ100" s="15">
        <f>IF(ISNA(VLOOKUP(A100,'Données projet'!$A$61:$I$81,4,0)),0,VLOOKUP(A100,'Données projet'!$A$61:$I$81,4,0))</f>
        <v>90.589999999999975</v>
      </c>
      <c r="AR100" s="16">
        <f>IF(ISNA(VLOOKUP(A100,'Données projet'!$A$61:$I$81,5,0)),0%,VLOOKUP(A100,'Données projet'!$A$61:$I$81,5,0)*VLOOKUP('Données projet'!$B$10,Paramètres!$A$1:$I$89,7,0))</f>
        <v>0.33</v>
      </c>
      <c r="AS100" s="16">
        <f>IF(ISNA(VLOOKUP(A100,'Données projet'!$A$61:$I$81,6,0)),0%,VLOOKUP(A100,'Données projet'!$A$61:$I$81,6,0)*VLOOKUP('Données projet'!$B$10,Paramètres!$A$1:$I$89,7,0))</f>
        <v>0.11000000000000001</v>
      </c>
      <c r="AT100" s="16">
        <f>IF(ISNA(VLOOKUP(A100,'Données projet'!$A$61:$I$81,7,0)),0%,VLOOKUP(A100,'Données projet'!$A$61:$I$81,7,0))</f>
        <v>0.2</v>
      </c>
      <c r="AU100" s="21">
        <f>EXP(-LN(2)/35)*AU99+(1-EXP(-LN(2)/35))/(LN(2)/35)*AQ100*AR100*VLOOKUP('Données projet'!$B$10,Paramètres!$A$1:$I$89,3,0)*0.475*44/12</f>
        <v>63.321870448870456</v>
      </c>
      <c r="AV100" s="21">
        <f>EXP(-LN(2)/25)*AV99+(1-EXP(-LN(2)/25))/(LN(2)/25)*Calculateur!AQ100*Calculateur!AS100*VLOOKUP('Données projet'!$B$10,Paramètres!$A$1:$I$89,3,0)*0.475*44/12</f>
        <v>23.096502220156491</v>
      </c>
      <c r="AW100" s="21">
        <f>EXP(-LN(2)/2)*AW99+(1-EXP(-LN(2)/2))/(LN(2)/2)*AQ100*AT100*VLOOKUP('Données projet'!$B$10,Paramètres!$A$1:$I$89,3,0)*0.475*44/12</f>
        <v>9.7616690873011311</v>
      </c>
      <c r="AX100" s="21">
        <f t="shared" si="60"/>
        <v>96.18004175632808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8.9420000000000019</v>
      </c>
      <c r="BD100" s="12">
        <f>IF('Données projet'!$A$88&gt;35,BD99+BC100-BL99,IF(A100&lt;'Données projet'!$A$88,$BA$205^A100,IF(A100='Données projet'!$A$88,'Données projet'!$B$88,BD99+BC100-BL99)))</f>
        <v>339.60600000000051</v>
      </c>
      <c r="BE100" s="13">
        <f>BD100*VLOOKUP('Données projet'!$B$11,Paramètres!$A$1:$I$89,3,0)*VLOOKUP('Données projet'!$B$11,Paramètres!$A$1:$I$89,5,0)</f>
        <v>307.27550880000041</v>
      </c>
      <c r="BF100" s="13">
        <f t="shared" si="91"/>
        <v>72.699555980078841</v>
      </c>
      <c r="BG100" s="20">
        <f t="shared" si="61"/>
        <v>661.78990449197136</v>
      </c>
      <c r="BH100" s="59">
        <f t="shared" si="62"/>
        <v>938.33533077135417</v>
      </c>
      <c r="BI100" s="59">
        <f ca="1">AVERAGE(OFFSET($BH$3,0,0,'Données projet'!$E$11+1,1))-AVERAGE(OFFSET($H$3,0,0,'Données projet'!$E$11+1,1))</f>
        <v>681.47578137804555</v>
      </c>
      <c r="BJ100" s="59">
        <f t="shared" si="92"/>
        <v>300.88511065995885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26.588412041927928</v>
      </c>
      <c r="BQ100" s="21">
        <f>EXP(-LN(2)/25)*BQ99+(1-EXP(-LN(2)/25))/(LN(2)/25)*Calculateur!BL100*Calculateur!BN100*VLOOKUP('Données projet'!$B$11,Paramètres!$A$1:$I$89,3,0)*0.475*44/12</f>
        <v>25.937284084006841</v>
      </c>
      <c r="BR100" s="21">
        <f>EXP(-LN(2)/2)*BR99+(1-EXP(-LN(2)/2))/(LN(2)/2)*BL100*BO100*VLOOKUP('Données projet'!$B$11,Paramètres!$A$1:$I$89,3,0)*0.475*44/12</f>
        <v>2.0973495876303185</v>
      </c>
      <c r="BS100" s="22">
        <f t="shared" si="63"/>
        <v>54.623045713565091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1.9230769230769227</v>
      </c>
      <c r="BY100" s="12">
        <f>IF('Données projet'!$A$114&gt;35,BY99+BX100-CG99,IF(A100&lt;'Données projet'!$A$114,$BV$205^A100,IF(A100='Données projet'!$A$114,'Données projet'!$B$114,BY99+BX100-CG99)))</f>
        <v>148.07692307692312</v>
      </c>
      <c r="BZ100" s="13">
        <f>BY100*VLOOKUP('Données projet'!$B$12,Paramètres!$A$1:$I$89,3,0)*VLOOKUP('Données projet'!$B$12,Paramètres!$A$1:$I$89,5,0)</f>
        <v>154.77000000000007</v>
      </c>
      <c r="CA100" s="13">
        <f t="shared" si="93"/>
        <v>39.660602363834606</v>
      </c>
      <c r="CB100" s="20">
        <f t="shared" si="64"/>
        <v>338.63329911701209</v>
      </c>
      <c r="CC100" s="59">
        <f t="shared" si="65"/>
        <v>615.17872539639484</v>
      </c>
      <c r="CD100" s="59">
        <f ca="1">AVERAGE(OFFSET($CC$3,0,0,'Données projet'!$E$12+1,1))-AVERAGE(OFFSET($H$3,0,0,'Données projet'!$E$12+1,1))</f>
        <v>290.69667785754848</v>
      </c>
      <c r="CE100" s="59">
        <f t="shared" si="94"/>
        <v>256.28124185489082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2.6657157348449361</v>
      </c>
      <c r="CL100" s="21">
        <f>EXP(-LN(2)/25)*CL99+(1-EXP(-LN(2)/25))/(LN(2)/25)*Calculateur!CG100*Calculateur!CI100*VLOOKUP('Données projet'!$B$12,Paramètres!$A$1:$I$89,3,0)*0.475*44/12</f>
        <v>16.292827670620756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18.958543405465694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408.246209980743</v>
      </c>
      <c r="CZ100" s="59">
        <f t="shared" si="96"/>
        <v>394.10236303013903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40.762142464892605</v>
      </c>
      <c r="DG100" s="21">
        <f>EXP(-LN(2)/25)*DG99+(1-EXP(-LN(2)/25))/(LN(2)/25)*Calculateur!DB100*Calculateur!DD100*VLOOKUP('Données projet'!$B$13,Paramètres!$A$1:$I$89,3,0)*0.475*44/12</f>
        <v>35.17513784193067</v>
      </c>
      <c r="DH100" s="21">
        <f>EXP(-LN(2)/2)*DH99+(1-EXP(-LN(2)/2))/(LN(2)/2)*DB100*DE100*VLOOKUP('Données projet'!$B$13,Paramètres!$A$1:$I$89,3,0)*0.475*44/12</f>
        <v>0.18931971605379266</v>
      </c>
      <c r="DI100" s="22">
        <f t="shared" si="69"/>
        <v>76.126600022877071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5.6843418860808015E-13</v>
      </c>
      <c r="DP100" s="17">
        <f>DO100*VLOOKUP('Données projet'!$B$14,Paramètres!$A$1:$I$89,3,0)*VLOOKUP('Données projet'!$B$14,Paramètres!$A$1:$I$89,5,0)</f>
        <v>3.177547114319168E-13</v>
      </c>
      <c r="DQ100" s="13">
        <f t="shared" si="97"/>
        <v>4.1725404435445377E-12</v>
      </c>
      <c r="DR100" s="20">
        <f t="shared" si="70"/>
        <v>7.820597394917325E-12</v>
      </c>
      <c r="DS100" s="59">
        <f t="shared" si="71"/>
        <v>276.54542627939065</v>
      </c>
      <c r="DT100" s="59">
        <f ca="1">AVERAGE(OFFSET($DS$3,0,0,'Données projet'!$E$14+1,1))-AVERAGE(OFFSET($H$3,0,0,'Données projet'!$E$14+1,1))</f>
        <v>407.05634973057056</v>
      </c>
      <c r="DU100" s="59">
        <f t="shared" si="98"/>
        <v>375.32891954889965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135.18115626384125</v>
      </c>
      <c r="EB100" s="21">
        <f>EXP(-LN(2)/25)*EB99+(1-EXP(-LN(2)/25))/(LN(2)/25)*Calculateur!DW100*Calculateur!DY100*VLOOKUP('Données projet'!$B$14,Paramètres!$A$1:$I$89,3,0)*0.475*44/12</f>
        <v>36.308436698316434</v>
      </c>
      <c r="EC100" s="21">
        <f>EXP(-LN(2)/2)*EC99+(1-EXP(-LN(2)/2))/(LN(2)/2)*DW100*DZ100*VLOOKUP('Données projet'!$B$14,Paramètres!$A$1:$I$89,3,0)*0.475*44/12</f>
        <v>6.5173911457167676E-3</v>
      </c>
      <c r="ED100" s="22">
        <f t="shared" si="72"/>
        <v>171.49611035330338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1.1368683772161603E-13</v>
      </c>
      <c r="EK100" s="17">
        <f>EJ100*VLOOKUP('Données projet'!$B$15,Paramètres!$A$1:$I$89,3,0)*VLOOKUP('Données projet'!$B$15,Paramètres!$A$1:$I$89,5,0)</f>
        <v>5.0249582272954292E-14</v>
      </c>
      <c r="EL100" s="13">
        <f t="shared" si="99"/>
        <v>8.1784820119191593E-13</v>
      </c>
      <c r="EM100" s="20">
        <f t="shared" si="73"/>
        <v>1.5119369728679821E-12</v>
      </c>
      <c r="EN100" s="59">
        <f t="shared" si="74"/>
        <v>276.54542627938434</v>
      </c>
      <c r="EO100" s="59">
        <f ca="1">AVERAGE(OFFSET($EN$3,0,0,'Données projet'!$E$15+1,1))-AVERAGE(OFFSET($H$3,0,0,'Données projet'!$E$15+1,1))</f>
        <v>418.28022549686278</v>
      </c>
      <c r="EP100" s="59">
        <f t="shared" si="100"/>
        <v>354.55070454517158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147.56604422384527</v>
      </c>
      <c r="EW100" s="21">
        <f>EXP(-LN(2)/25)*EW99+(1-EXP(-LN(2)/25))/(LN(2)/25)*Calculateur!ER100*Calculateur!ET100*VLOOKUP('Données projet'!$B$15,Paramètres!$A$1:$I$89,3,0)*0.475*44/12</f>
        <v>44.874938217010516</v>
      </c>
      <c r="EX100" s="21">
        <f>EXP(-LN(2)/2)*EX99+(1-EXP(-LN(2)/2))/(LN(2)/2)*ER100*EU100*VLOOKUP('Données projet'!$B$15,Paramètres!$A$1:$I$89,3,0)*0.475*44/12</f>
        <v>0.21711462684676677</v>
      </c>
      <c r="EY100" s="22">
        <f t="shared" si="75"/>
        <v>192.65809706770256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6.7777777777777777</v>
      </c>
      <c r="FE100" s="12">
        <f>IF('Données projet'!$A$218&gt;35,FE99+FD100-FM99,IF(A100&lt;'Données projet'!$A$218,$FB$205^A100,IF(A100='Données projet'!$A$218,'Données projet'!$B$218,FE99+FD100-FM99)))</f>
        <v>223.92555555555543</v>
      </c>
      <c r="FF100" s="17">
        <f>FE100*VLOOKUP('Données projet'!$B$16,Paramètres!$A$1:$I$89,3,0)*VLOOKUP('Données projet'!$B$16,Paramètres!$A$1:$I$89,5,0)</f>
        <v>255.00642266666651</v>
      </c>
      <c r="FG100" s="13">
        <f t="shared" si="101"/>
        <v>61.656750661172069</v>
      </c>
      <c r="FH100" s="20">
        <f t="shared" si="76"/>
        <v>551.5216935459855</v>
      </c>
      <c r="FI100" s="59">
        <f t="shared" si="77"/>
        <v>828.06711982536831</v>
      </c>
      <c r="FJ100" s="59">
        <f ca="1">AVERAGE(OFFSET($FI$3,0,0,'Données projet'!$E$16+1,1))-AVERAGE(OFFSET($H$3,0,0,'Données projet'!$E$16+1,1))</f>
        <v>640.05156427113661</v>
      </c>
      <c r="FK100" s="59">
        <f t="shared" si="102"/>
        <v>308.77220155372902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13.405225294832341</v>
      </c>
      <c r="FR100" s="21">
        <f>EXP(-LN(2)/25)*FR99+(1-EXP(-LN(2)/25))/(LN(2)/25)*Calculateur!FM100*Calculateur!FO100*VLOOKUP('Données projet'!$B$16,Paramètres!$A$1:$I$89,3,0)*0.475*44/12</f>
        <v>35.348343501029795</v>
      </c>
      <c r="FS100" s="21">
        <f>EXP(-LN(2)/2)*FS99+(1-EXP(-LN(2)/2))/(LN(2)/2)*FM100*FP100*VLOOKUP('Données projet'!$B$16,Paramètres!$A$1:$I$89,3,0)*0.475*44/12</f>
        <v>2.3640228877876281</v>
      </c>
      <c r="FT100" s="22">
        <f t="shared" si="78"/>
        <v>51.117591683649763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6.7984728957526396E-14</v>
      </c>
      <c r="P101" s="13">
        <f t="shared" si="87"/>
        <v>1.0682447123141398E-12</v>
      </c>
      <c r="Q101" s="20">
        <f t="shared" si="107"/>
        <v>1.978932943548152E-12</v>
      </c>
      <c r="R101" s="59">
        <f t="shared" si="55"/>
        <v>276.83665893463336</v>
      </c>
      <c r="S101" s="59">
        <f ca="1">AVERAGE(OFFSET($R$3,0,0,'Données projet'!$E$9+1,1))-AVERAGE(OFFSET($H$3,0,0,'Données projet'!$E$9+1,1))</f>
        <v>318.50474972254085</v>
      </c>
      <c r="T101" s="59">
        <f t="shared" si="88"/>
        <v>326.45858332753562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65.429421740068406</v>
      </c>
      <c r="AA101" s="21">
        <f>EXP(-LN(2)/25)*AA100+(1-EXP(-LN(2)/25))/(LN(2)/25)*Calculateur!V101*Calculateur!X101*VLOOKUP('Données projet'!$B$9,Paramètres!$A$1:$I$89,3,0)*0.475*44/12</f>
        <v>16.890526336466792</v>
      </c>
      <c r="AB101" s="21">
        <f>EXP(-LN(2)/2)*AB100+(1-EXP(-LN(2)/2))/(LN(2)/2)*V101*Y101*VLOOKUP('Données projet'!$B$9,Paramètres!$A$1:$I$89,3,0)*0.475*44/12</f>
        <v>1.1436737599058818E-4</v>
      </c>
      <c r="AC101" s="22">
        <f t="shared" si="57"/>
        <v>82.320062443911183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9.1833333333333318</v>
      </c>
      <c r="AI101" s="13">
        <f>IF('Données projet'!$A$62&gt;35,AI100+AH101-AQ100,IF(A101&lt;'Données projet'!$A$62,$AF$205^A101,IF(A101='Données projet'!$A$62,'Données projet'!$B$62,AI100+AH101-AQ100)))</f>
        <v>370.34333333333325</v>
      </c>
      <c r="AJ101" s="13">
        <f>AI101*VLOOKUP('Données projet'!$B$10,Paramètres!$A$1:$I$89,3,0)*VLOOKUP('Données projet'!$B$10,Paramètres!$A$1:$I$89,5,0)</f>
        <v>173.32067999999998</v>
      </c>
      <c r="AK101" s="13">
        <f t="shared" si="89"/>
        <v>43.832906027777845</v>
      </c>
      <c r="AL101" s="20">
        <f t="shared" si="58"/>
        <v>378.209162331713</v>
      </c>
      <c r="AM101" s="59">
        <f t="shared" si="59"/>
        <v>655.04582126634432</v>
      </c>
      <c r="AN101" s="59">
        <f ca="1">AVERAGE(OFFSET($AM$3,0,0,'Données projet'!$E$10+1,1))-AVERAGE(OFFSET($H$3,0,0,'Données projet'!$E$10+1,1))</f>
        <v>374.38106339726073</v>
      </c>
      <c r="AO101" s="59">
        <f t="shared" si="90"/>
        <v>296.53283288925957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62.08016719189542</v>
      </c>
      <c r="AV101" s="21">
        <f>EXP(-LN(2)/25)*AV100+(1-EXP(-LN(2)/25))/(LN(2)/25)*Calculateur!AQ101*Calculateur!AS101*VLOOKUP('Données projet'!$B$10,Paramètres!$A$1:$I$89,3,0)*0.475*44/12</f>
        <v>22.464927152354047</v>
      </c>
      <c r="AW101" s="21">
        <f>EXP(-LN(2)/2)*AW100+(1-EXP(-LN(2)/2))/(LN(2)/2)*AQ101*AT101*VLOOKUP('Données projet'!$B$10,Paramètres!$A$1:$I$89,3,0)*0.475*44/12</f>
        <v>6.9025424073297268</v>
      </c>
      <c r="AX101" s="21">
        <f t="shared" si="60"/>
        <v>91.447636751579196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8.9420000000000019</v>
      </c>
      <c r="BD101" s="12">
        <f>IF('Données projet'!$A$88&gt;35,BD100+BC101-BL100,IF(A101&lt;'Données projet'!$A$88,$BA$205^A101,IF(A101='Données projet'!$A$88,'Données projet'!$B$88,BD100+BC101-BL100)))</f>
        <v>348.54800000000051</v>
      </c>
      <c r="BE101" s="13">
        <f>BD101*VLOOKUP('Données projet'!$B$11,Paramètres!$A$1:$I$89,3,0)*VLOOKUP('Données projet'!$B$11,Paramètres!$A$1:$I$89,5,0)</f>
        <v>315.36623040000046</v>
      </c>
      <c r="BF101" s="13">
        <f t="shared" si="91"/>
        <v>74.38839081830163</v>
      </c>
      <c r="BG101" s="20">
        <f t="shared" si="61"/>
        <v>678.82263195520943</v>
      </c>
      <c r="BH101" s="59">
        <f t="shared" si="62"/>
        <v>955.6592908898408</v>
      </c>
      <c r="BI101" s="59">
        <f ca="1">AVERAGE(OFFSET($BH$3,0,0,'Données projet'!$E$11+1,1))-AVERAGE(OFFSET($H$3,0,0,'Données projet'!$E$11+1,1))</f>
        <v>681.47578137804555</v>
      </c>
      <c r="BJ101" s="59">
        <f t="shared" si="92"/>
        <v>300.88511065995885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26.067029499115737</v>
      </c>
      <c r="BQ101" s="21">
        <f>EXP(-LN(2)/25)*BQ100+(1-EXP(-LN(2)/25))/(LN(2)/25)*Calculateur!BL101*Calculateur!BN101*VLOOKUP('Données projet'!$B$11,Paramètres!$A$1:$I$89,3,0)*0.475*44/12</f>
        <v>25.228027686747183</v>
      </c>
      <c r="BR101" s="21">
        <f>EXP(-LN(2)/2)*BR100+(1-EXP(-LN(2)/2))/(LN(2)/2)*BL101*BO101*VLOOKUP('Données projet'!$B$11,Paramètres!$A$1:$I$89,3,0)*0.475*44/12</f>
        <v>1.4830501159322074</v>
      </c>
      <c r="BS101" s="22">
        <f t="shared" si="63"/>
        <v>52.778107301795124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1.9230769230769227</v>
      </c>
      <c r="BY101" s="12">
        <f>IF('Données projet'!$A$114&gt;35,BY100+BX101-CG100,IF(A101&lt;'Données projet'!$A$114,$BV$205^A101,IF(A101='Données projet'!$A$114,'Données projet'!$B$114,BY100+BX101-CG100)))</f>
        <v>150.00000000000006</v>
      </c>
      <c r="BZ101" s="13">
        <f>BY101*VLOOKUP('Données projet'!$B$12,Paramètres!$A$1:$I$89,3,0)*VLOOKUP('Données projet'!$B$12,Paramètres!$A$1:$I$89,5,0)</f>
        <v>156.78000000000006</v>
      </c>
      <c r="CA101" s="13">
        <f t="shared" si="93"/>
        <v>40.115378305457973</v>
      </c>
      <c r="CB101" s="20">
        <f t="shared" si="64"/>
        <v>342.92611721533939</v>
      </c>
      <c r="CC101" s="59">
        <f t="shared" si="65"/>
        <v>619.7627761499707</v>
      </c>
      <c r="CD101" s="59">
        <f ca="1">AVERAGE(OFFSET($CC$3,0,0,'Données projet'!$E$12+1,1))-AVERAGE(OFFSET($H$3,0,0,'Données projet'!$E$12+1,1))</f>
        <v>290.69667785754848</v>
      </c>
      <c r="CE101" s="59">
        <f t="shared" si="94"/>
        <v>256.28124185489082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2.6134426752106781</v>
      </c>
      <c r="CL101" s="21">
        <f>EXP(-LN(2)/25)*CL100+(1-EXP(-LN(2)/25))/(LN(2)/25)*Calculateur!CG101*Calculateur!CI101*VLOOKUP('Données projet'!$B$12,Paramètres!$A$1:$I$89,3,0)*0.475*44/12</f>
        <v>15.847299441165061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18.460742116375741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408.246209980743</v>
      </c>
      <c r="CZ101" s="59">
        <f t="shared" si="96"/>
        <v>394.10236303013903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39.962821713608001</v>
      </c>
      <c r="DG101" s="21">
        <f>EXP(-LN(2)/25)*DG100+(1-EXP(-LN(2)/25))/(LN(2)/25)*Calculateur!DB101*Calculateur!DD101*VLOOKUP('Données projet'!$B$13,Paramètres!$A$1:$I$89,3,0)*0.475*44/12</f>
        <v>34.21327184786297</v>
      </c>
      <c r="DH101" s="21">
        <f>EXP(-LN(2)/2)*DH100+(1-EXP(-LN(2)/2))/(LN(2)/2)*DB101*DE101*VLOOKUP('Données projet'!$B$13,Paramètres!$A$1:$I$89,3,0)*0.475*44/12</f>
        <v>0.13386925503394848</v>
      </c>
      <c r="DI101" s="22">
        <f t="shared" si="69"/>
        <v>74.309962816504907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5.6843418860808015E-13</v>
      </c>
      <c r="DP101" s="17">
        <f>DO101*VLOOKUP('Données projet'!$B$14,Paramètres!$A$1:$I$89,3,0)*VLOOKUP('Données projet'!$B$14,Paramètres!$A$1:$I$89,5,0)</f>
        <v>3.177547114319168E-13</v>
      </c>
      <c r="DQ101" s="13">
        <f t="shared" si="97"/>
        <v>4.1725404435445377E-12</v>
      </c>
      <c r="DR101" s="20">
        <f t="shared" si="70"/>
        <v>7.820597394917325E-12</v>
      </c>
      <c r="DS101" s="59">
        <f t="shared" si="71"/>
        <v>276.83665893463922</v>
      </c>
      <c r="DT101" s="59">
        <f ca="1">AVERAGE(OFFSET($DS$3,0,0,'Données projet'!$E$14+1,1))-AVERAGE(OFFSET($H$3,0,0,'Données projet'!$E$14+1,1))</f>
        <v>407.05634973057056</v>
      </c>
      <c r="DU101" s="59">
        <f t="shared" si="98"/>
        <v>375.32891954889965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132.53033624187114</v>
      </c>
      <c r="EB101" s="21">
        <f>EXP(-LN(2)/25)*EB100+(1-EXP(-LN(2)/25))/(LN(2)/25)*Calculateur!DW101*Calculateur!DY101*VLOOKUP('Données projet'!$B$14,Paramètres!$A$1:$I$89,3,0)*0.475*44/12</f>
        <v>35.31558058742327</v>
      </c>
      <c r="EC101" s="21">
        <f>EXP(-LN(2)/2)*EC100+(1-EXP(-LN(2)/2))/(LN(2)/2)*DW101*DZ101*VLOOKUP('Données projet'!$B$14,Paramètres!$A$1:$I$89,3,0)*0.475*44/12</f>
        <v>4.6084914747814886E-3</v>
      </c>
      <c r="ED101" s="22">
        <f t="shared" si="72"/>
        <v>167.85052532076921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1.1368683772161603E-13</v>
      </c>
      <c r="EK101" s="17">
        <f>EJ101*VLOOKUP('Données projet'!$B$15,Paramètres!$A$1:$I$89,3,0)*VLOOKUP('Données projet'!$B$15,Paramètres!$A$1:$I$89,5,0)</f>
        <v>5.0249582272954292E-14</v>
      </c>
      <c r="EL101" s="13">
        <f t="shared" si="99"/>
        <v>8.1784820119191593E-13</v>
      </c>
      <c r="EM101" s="20">
        <f t="shared" si="73"/>
        <v>1.5119369728679821E-12</v>
      </c>
      <c r="EN101" s="59">
        <f t="shared" si="74"/>
        <v>276.83665893463291</v>
      </c>
      <c r="EO101" s="59">
        <f ca="1">AVERAGE(OFFSET($EN$3,0,0,'Données projet'!$E$15+1,1))-AVERAGE(OFFSET($H$3,0,0,'Données projet'!$E$15+1,1))</f>
        <v>418.28022549686278</v>
      </c>
      <c r="EP101" s="59">
        <f t="shared" si="100"/>
        <v>354.55070454517158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144.67236410301524</v>
      </c>
      <c r="EW101" s="21">
        <f>EXP(-LN(2)/25)*EW100+(1-EXP(-LN(2)/25))/(LN(2)/25)*Calculateur!ER101*Calculateur!ET101*VLOOKUP('Données projet'!$B$15,Paramètres!$A$1:$I$89,3,0)*0.475*44/12</f>
        <v>43.647830671595926</v>
      </c>
      <c r="EX101" s="21">
        <f>EXP(-LN(2)/2)*EX100+(1-EXP(-LN(2)/2))/(LN(2)/2)*ER101*EU101*VLOOKUP('Données projet'!$B$15,Paramètres!$A$1:$I$89,3,0)*0.475*44/12</f>
        <v>0.15352322493813564</v>
      </c>
      <c r="EY101" s="22">
        <f t="shared" si="75"/>
        <v>188.47371799954931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6.7777777777777777</v>
      </c>
      <c r="FE101" s="12">
        <f>IF('Données projet'!$A$218&gt;35,FE100+FD101-FM100,IF(A101&lt;'Données projet'!$A$218,$FB$205^A101,IF(A101='Données projet'!$A$218,'Données projet'!$B$218,FE100+FD101-FM100)))</f>
        <v>230.70333333333321</v>
      </c>
      <c r="FF101" s="17">
        <f>FE101*VLOOKUP('Données projet'!$B$16,Paramètres!$A$1:$I$89,3,0)*VLOOKUP('Données projet'!$B$16,Paramètres!$A$1:$I$89,5,0)</f>
        <v>262.72495599999985</v>
      </c>
      <c r="FG101" s="13">
        <f t="shared" si="101"/>
        <v>63.302875529710846</v>
      </c>
      <c r="FH101" s="20">
        <f t="shared" si="76"/>
        <v>567.83180658091271</v>
      </c>
      <c r="FI101" s="59">
        <f t="shared" si="77"/>
        <v>844.66846551554409</v>
      </c>
      <c r="FJ101" s="59">
        <f ca="1">AVERAGE(OFFSET($FI$3,0,0,'Données projet'!$E$16+1,1))-AVERAGE(OFFSET($H$3,0,0,'Données projet'!$E$16+1,1))</f>
        <v>640.05156427113661</v>
      </c>
      <c r="FK101" s="59">
        <f t="shared" si="102"/>
        <v>308.77220155372902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13.142357003180759</v>
      </c>
      <c r="FR101" s="21">
        <f>EXP(-LN(2)/25)*FR100+(1-EXP(-LN(2)/25))/(LN(2)/25)*Calculateur!FM101*Calculateur!FO101*VLOOKUP('Données projet'!$B$16,Paramètres!$A$1:$I$89,3,0)*0.475*44/12</f>
        <v>34.38174118910554</v>
      </c>
      <c r="FS101" s="21">
        <f>EXP(-LN(2)/2)*FS100+(1-EXP(-LN(2)/2))/(LN(2)/2)*FM101*FP101*VLOOKUP('Données projet'!$B$16,Paramètres!$A$1:$I$89,3,0)*0.475*44/12</f>
        <v>1.6716166148348366</v>
      </c>
      <c r="FT101" s="22">
        <f t="shared" si="78"/>
        <v>49.195714807121142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6.7984728957526396E-14</v>
      </c>
      <c r="P102" s="13">
        <f t="shared" si="87"/>
        <v>1.0682447123141398E-12</v>
      </c>
      <c r="Q102" s="20">
        <f t="shared" si="107"/>
        <v>1.978932943548152E-12</v>
      </c>
      <c r="R102" s="59">
        <f t="shared" si="55"/>
        <v>277.12283935441212</v>
      </c>
      <c r="S102" s="59">
        <f ca="1">AVERAGE(OFFSET($R$3,0,0,'Données projet'!$E$9+1,1))-AVERAGE(OFFSET($H$3,0,0,'Données projet'!$E$9+1,1))</f>
        <v>318.50474972254085</v>
      </c>
      <c r="T102" s="59">
        <f t="shared" si="88"/>
        <v>326.45858332753562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64.146390687752344</v>
      </c>
      <c r="AA102" s="21">
        <f>EXP(-LN(2)/25)*AA101+(1-EXP(-LN(2)/25))/(LN(2)/25)*Calculateur!V102*Calculateur!X102*VLOOKUP('Données projet'!$B$9,Paramètres!$A$1:$I$89,3,0)*0.475*44/12</f>
        <v>16.428654005561931</v>
      </c>
      <c r="AB102" s="21">
        <f>EXP(-LN(2)/2)*AB101+(1-EXP(-LN(2)/2))/(LN(2)/2)*V102*Y102*VLOOKUP('Données projet'!$B$9,Paramètres!$A$1:$I$89,3,0)*0.475*44/12</f>
        <v>8.0869947109456442E-5</v>
      </c>
      <c r="AC102" s="22">
        <f t="shared" si="57"/>
        <v>80.575125563261395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9.1833333333333318</v>
      </c>
      <c r="AI102" s="13">
        <f>IF('Données projet'!$A$62&gt;35,AI101+AH102-AQ101,IF(A102&lt;'Données projet'!$A$62,$AF$205^A102,IF(A102='Données projet'!$A$62,'Données projet'!$B$62,AI101+AH102-AQ101)))</f>
        <v>379.52666666666659</v>
      </c>
      <c r="AJ102" s="13">
        <f>AI102*VLOOKUP('Données projet'!$B$10,Paramètres!$A$1:$I$89,3,0)*VLOOKUP('Données projet'!$B$10,Paramètres!$A$1:$I$89,5,0)</f>
        <v>177.61847999999995</v>
      </c>
      <c r="AK102" s="13">
        <f t="shared" si="89"/>
        <v>44.791931827234123</v>
      </c>
      <c r="AL102" s="20">
        <f t="shared" si="58"/>
        <v>387.36480059909928</v>
      </c>
      <c r="AM102" s="59">
        <f t="shared" si="59"/>
        <v>664.48763995350942</v>
      </c>
      <c r="AN102" s="59">
        <f ca="1">AVERAGE(OFFSET($AM$3,0,0,'Données projet'!$E$10+1,1))-AVERAGE(OFFSET($H$3,0,0,'Données projet'!$E$10+1,1))</f>
        <v>374.38106339726073</v>
      </c>
      <c r="AO102" s="59">
        <f t="shared" si="90"/>
        <v>296.53283288925957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60.862812978425467</v>
      </c>
      <c r="AV102" s="21">
        <f>EXP(-LN(2)/25)*AV101+(1-EXP(-LN(2)/25))/(LN(2)/25)*Calculateur!AQ102*Calculateur!AS102*VLOOKUP('Données projet'!$B$10,Paramètres!$A$1:$I$89,3,0)*0.475*44/12</f>
        <v>21.85062253799375</v>
      </c>
      <c r="AW102" s="21">
        <f>EXP(-LN(2)/2)*AW101+(1-EXP(-LN(2)/2))/(LN(2)/2)*AQ102*AT102*VLOOKUP('Données projet'!$B$10,Paramètres!$A$1:$I$89,3,0)*0.475*44/12</f>
        <v>4.8808345436505665</v>
      </c>
      <c r="AX102" s="21">
        <f t="shared" si="60"/>
        <v>87.594270060069789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8.9420000000000019</v>
      </c>
      <c r="BD102" s="12">
        <f>IF('Données projet'!$A$88&gt;35,BD101+BC102-BL101,IF(A102&lt;'Données projet'!$A$88,$BA$205^A102,IF(A102='Données projet'!$A$88,'Données projet'!$B$88,BD101+BC102-BL101)))</f>
        <v>357.49000000000052</v>
      </c>
      <c r="BE102" s="13">
        <f>BD102*VLOOKUP('Données projet'!$B$11,Paramètres!$A$1:$I$89,3,0)*VLOOKUP('Données projet'!$B$11,Paramètres!$A$1:$I$89,5,0)</f>
        <v>323.45695200000046</v>
      </c>
      <c r="BF102" s="13">
        <f t="shared" si="91"/>
        <v>76.072189325282608</v>
      </c>
      <c r="BG102" s="20">
        <f t="shared" si="61"/>
        <v>695.84658780820121</v>
      </c>
      <c r="BH102" s="59">
        <f t="shared" si="62"/>
        <v>972.96942716261128</v>
      </c>
      <c r="BI102" s="59">
        <f ca="1">AVERAGE(OFFSET($BH$3,0,0,'Données projet'!$E$11+1,1))-AVERAGE(OFFSET($H$3,0,0,'Données projet'!$E$11+1,1))</f>
        <v>681.47578137804555</v>
      </c>
      <c r="BJ102" s="59">
        <f t="shared" si="92"/>
        <v>300.88511065995885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25.555870949956144</v>
      </c>
      <c r="BQ102" s="21">
        <f>EXP(-LN(2)/25)*BQ101+(1-EXP(-LN(2)/25))/(LN(2)/25)*Calculateur!BL102*Calculateur!BN102*VLOOKUP('Données projet'!$B$11,Paramètres!$A$1:$I$89,3,0)*0.475*44/12</f>
        <v>24.538165942968764</v>
      </c>
      <c r="BR102" s="21">
        <f>EXP(-LN(2)/2)*BR101+(1-EXP(-LN(2)/2))/(LN(2)/2)*BL102*BO102*VLOOKUP('Données projet'!$B$11,Paramètres!$A$1:$I$89,3,0)*0.475*44/12</f>
        <v>1.0486747938151593</v>
      </c>
      <c r="BS102" s="22">
        <f t="shared" si="63"/>
        <v>51.142711686740064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1.9230769230769227</v>
      </c>
      <c r="BY102" s="12">
        <f>IF('Données projet'!$A$114&gt;35,BY101+BX102-CG101,IF(A102&lt;'Données projet'!$A$114,$BV$205^A102,IF(A102='Données projet'!$A$114,'Données projet'!$B$114,BY101+BX102-CG101)))</f>
        <v>151.92307692307699</v>
      </c>
      <c r="BZ102" s="13">
        <f>BY102*VLOOKUP('Données projet'!$B$12,Paramètres!$A$1:$I$89,3,0)*VLOOKUP('Données projet'!$B$12,Paramètres!$A$1:$I$89,5,0)</f>
        <v>158.79000000000008</v>
      </c>
      <c r="CA102" s="13">
        <f t="shared" si="93"/>
        <v>40.569476067936968</v>
      </c>
      <c r="CB102" s="20">
        <f t="shared" si="64"/>
        <v>347.21775415165695</v>
      </c>
      <c r="CC102" s="59">
        <f t="shared" si="65"/>
        <v>624.34059350606708</v>
      </c>
      <c r="CD102" s="59">
        <f ca="1">AVERAGE(OFFSET($CC$3,0,0,'Données projet'!$E$12+1,1))-AVERAGE(OFFSET($H$3,0,0,'Données projet'!$E$12+1,1))</f>
        <v>290.69667785754848</v>
      </c>
      <c r="CE102" s="59">
        <f t="shared" si="94"/>
        <v>256.28124185489082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2.5621946583924298</v>
      </c>
      <c r="CL102" s="21">
        <f>EXP(-LN(2)/25)*CL101+(1-EXP(-LN(2)/25))/(LN(2)/25)*Calculateur!CG102*Calculateur!CI102*VLOOKUP('Données projet'!$B$12,Paramètres!$A$1:$I$89,3,0)*0.475*44/12</f>
        <v>15.413954204573145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17.976148862965573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408.246209980743</v>
      </c>
      <c r="CZ102" s="59">
        <f t="shared" si="96"/>
        <v>394.10236303013903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39.179175154718571</v>
      </c>
      <c r="DG102" s="21">
        <f>EXP(-LN(2)/25)*DG101+(1-EXP(-LN(2)/25))/(LN(2)/25)*Calculateur!DB102*Calculateur!DD102*VLOOKUP('Données projet'!$B$13,Paramètres!$A$1:$I$89,3,0)*0.475*44/12</f>
        <v>33.277708129985385</v>
      </c>
      <c r="DH102" s="21">
        <f>EXP(-LN(2)/2)*DH101+(1-EXP(-LN(2)/2))/(LN(2)/2)*DB102*DE102*VLOOKUP('Données projet'!$B$13,Paramètres!$A$1:$I$89,3,0)*0.475*44/12</f>
        <v>9.4659858026896332E-2</v>
      </c>
      <c r="DI102" s="22">
        <f t="shared" si="69"/>
        <v>72.551543142730864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5.6843418860808015E-13</v>
      </c>
      <c r="DP102" s="17">
        <f>DO102*VLOOKUP('Données projet'!$B$14,Paramètres!$A$1:$I$89,3,0)*VLOOKUP('Données projet'!$B$14,Paramètres!$A$1:$I$89,5,0)</f>
        <v>3.177547114319168E-13</v>
      </c>
      <c r="DQ102" s="13">
        <f t="shared" si="97"/>
        <v>4.1725404435445377E-12</v>
      </c>
      <c r="DR102" s="20">
        <f t="shared" si="70"/>
        <v>7.820597394917325E-12</v>
      </c>
      <c r="DS102" s="59">
        <f t="shared" si="71"/>
        <v>277.12283935441798</v>
      </c>
      <c r="DT102" s="59">
        <f ca="1">AVERAGE(OFFSET($DS$3,0,0,'Données projet'!$E$14+1,1))-AVERAGE(OFFSET($H$3,0,0,'Données projet'!$E$14+1,1))</f>
        <v>407.05634973057056</v>
      </c>
      <c r="DU102" s="59">
        <f t="shared" si="98"/>
        <v>375.32891954889965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129.93149718369131</v>
      </c>
      <c r="EB102" s="21">
        <f>EXP(-LN(2)/25)*EB101+(1-EXP(-LN(2)/25))/(LN(2)/25)*Calculateur!DW102*Calculateur!DY102*VLOOKUP('Données projet'!$B$14,Paramètres!$A$1:$I$89,3,0)*0.475*44/12</f>
        <v>34.349874179094513</v>
      </c>
      <c r="EC102" s="21">
        <f>EXP(-LN(2)/2)*EC101+(1-EXP(-LN(2)/2))/(LN(2)/2)*DW102*DZ102*VLOOKUP('Données projet'!$B$14,Paramètres!$A$1:$I$89,3,0)*0.475*44/12</f>
        <v>3.2586955728583838E-3</v>
      </c>
      <c r="ED102" s="22">
        <f t="shared" si="72"/>
        <v>164.28463005835869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1.1368683772161603E-13</v>
      </c>
      <c r="EK102" s="17">
        <f>EJ102*VLOOKUP('Données projet'!$B$15,Paramètres!$A$1:$I$89,3,0)*VLOOKUP('Données projet'!$B$15,Paramètres!$A$1:$I$89,5,0)</f>
        <v>5.0249582272954292E-14</v>
      </c>
      <c r="EL102" s="13">
        <f t="shared" si="99"/>
        <v>8.1784820119191593E-13</v>
      </c>
      <c r="EM102" s="20">
        <f t="shared" si="73"/>
        <v>1.5119369728679821E-12</v>
      </c>
      <c r="EN102" s="59">
        <f t="shared" si="74"/>
        <v>277.12283935441167</v>
      </c>
      <c r="EO102" s="59">
        <f ca="1">AVERAGE(OFFSET($EN$3,0,0,'Données projet'!$E$15+1,1))-AVERAGE(OFFSET($H$3,0,0,'Données projet'!$E$15+1,1))</f>
        <v>418.28022549686278</v>
      </c>
      <c r="EP102" s="59">
        <f t="shared" si="100"/>
        <v>354.55070454517158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141.83542728438411</v>
      </c>
      <c r="EW102" s="21">
        <f>EXP(-LN(2)/25)*EW101+(1-EXP(-LN(2)/25))/(LN(2)/25)*Calculateur!ER102*Calculateur!ET102*VLOOKUP('Données projet'!$B$15,Paramètres!$A$1:$I$89,3,0)*0.475*44/12</f>
        <v>42.45427844654148</v>
      </c>
      <c r="EX102" s="21">
        <f>EXP(-LN(2)/2)*EX101+(1-EXP(-LN(2)/2))/(LN(2)/2)*ER102*EU102*VLOOKUP('Données projet'!$B$15,Paramètres!$A$1:$I$89,3,0)*0.475*44/12</f>
        <v>0.1085573134233834</v>
      </c>
      <c r="EY102" s="22">
        <f t="shared" si="75"/>
        <v>184.39826304434897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6.7777777777777777</v>
      </c>
      <c r="FE102" s="12">
        <f>IF('Données projet'!$A$218&gt;35,FE101+FD102-FM101,IF(A102&lt;'Données projet'!$A$218,$FB$205^A102,IF(A102='Données projet'!$A$218,'Données projet'!$B$218,FE101+FD102-FM101)))</f>
        <v>237.48111111111098</v>
      </c>
      <c r="FF102" s="17">
        <f>FE102*VLOOKUP('Données projet'!$B$16,Paramètres!$A$1:$I$89,3,0)*VLOOKUP('Données projet'!$B$16,Paramètres!$A$1:$I$89,5,0)</f>
        <v>270.44348933333316</v>
      </c>
      <c r="FG102" s="13">
        <f t="shared" si="101"/>
        <v>64.943379925271046</v>
      </c>
      <c r="FH102" s="20">
        <f t="shared" si="76"/>
        <v>584.13213062540228</v>
      </c>
      <c r="FI102" s="59">
        <f t="shared" si="77"/>
        <v>861.25496997981236</v>
      </c>
      <c r="FJ102" s="59">
        <f ca="1">AVERAGE(OFFSET($FI$3,0,0,'Données projet'!$E$16+1,1))-AVERAGE(OFFSET($H$3,0,0,'Données projet'!$E$16+1,1))</f>
        <v>640.05156427113661</v>
      </c>
      <c r="FK102" s="59">
        <f t="shared" si="102"/>
        <v>308.77220155372902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12.884643398394637</v>
      </c>
      <c r="FR102" s="21">
        <f>EXP(-LN(2)/25)*FR101+(1-EXP(-LN(2)/25))/(LN(2)/25)*Calculateur!FM102*Calculateur!FO102*VLOOKUP('Données projet'!$B$16,Paramètres!$A$1:$I$89,3,0)*0.475*44/12</f>
        <v>33.441570668232259</v>
      </c>
      <c r="FS102" s="21">
        <f>EXP(-LN(2)/2)*FS101+(1-EXP(-LN(2)/2))/(LN(2)/2)*FM102*FP102*VLOOKUP('Données projet'!$B$16,Paramètres!$A$1:$I$89,3,0)*0.475*44/12</f>
        <v>1.1820114438938141</v>
      </c>
      <c r="FT102" s="22">
        <f t="shared" si="78"/>
        <v>47.50822551052071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6.7984728957526396E-14</v>
      </c>
      <c r="P103" s="13">
        <f t="shared" si="87"/>
        <v>1.0682447123141398E-12</v>
      </c>
      <c r="Q103" s="20">
        <f t="shared" si="107"/>
        <v>1.978932943548152E-12</v>
      </c>
      <c r="R103" s="59">
        <f t="shared" si="55"/>
        <v>277.40405518371119</v>
      </c>
      <c r="S103" s="59">
        <f ca="1">AVERAGE(OFFSET($R$3,0,0,'Données projet'!$E$9+1,1))-AVERAGE(OFFSET($H$3,0,0,'Données projet'!$E$9+1,1))</f>
        <v>318.50474972254085</v>
      </c>
      <c r="T103" s="59">
        <f t="shared" si="88"/>
        <v>326.45858332753562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62.888519091800525</v>
      </c>
      <c r="AA103" s="21">
        <f>EXP(-LN(2)/25)*AA102+(1-EXP(-LN(2)/25))/(LN(2)/25)*Calculateur!V103*Calculateur!X103*VLOOKUP('Données projet'!$B$9,Paramètres!$A$1:$I$89,3,0)*0.475*44/12</f>
        <v>15.979411597834474</v>
      </c>
      <c r="AB103" s="21">
        <f>EXP(-LN(2)/2)*AB102+(1-EXP(-LN(2)/2))/(LN(2)/2)*V103*Y103*VLOOKUP('Données projet'!$B$9,Paramètres!$A$1:$I$89,3,0)*0.475*44/12</f>
        <v>5.7183687995294088E-5</v>
      </c>
      <c r="AC103" s="22">
        <f t="shared" si="57"/>
        <v>78.867987873323003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9.1833333333333318</v>
      </c>
      <c r="AI103" s="13">
        <f>IF('Données projet'!$A$62&gt;35,AI102+AH103-AQ102,IF(A103&lt;'Données projet'!$A$62,$AF$205^A103,IF(A103='Données projet'!$A$62,'Données projet'!$B$62,AI102+AH103-AQ102)))</f>
        <v>388.70999999999992</v>
      </c>
      <c r="AJ103" s="13">
        <f>AI103*VLOOKUP('Données projet'!$B$10,Paramètres!$A$1:$I$89,3,0)*VLOOKUP('Données projet'!$B$10,Paramètres!$A$1:$I$89,5,0)</f>
        <v>181.91627999999997</v>
      </c>
      <c r="AK103" s="13">
        <f t="shared" si="89"/>
        <v>45.748260044655694</v>
      </c>
      <c r="AL103" s="20">
        <f t="shared" si="58"/>
        <v>396.51574057777526</v>
      </c>
      <c r="AM103" s="59">
        <f t="shared" si="59"/>
        <v>673.91979576148447</v>
      </c>
      <c r="AN103" s="59">
        <f ca="1">AVERAGE(OFFSET($AM$3,0,0,'Données projet'!$E$10+1,1))-AVERAGE(OFFSET($H$3,0,0,'Données projet'!$E$10+1,1))</f>
        <v>374.38106339726073</v>
      </c>
      <c r="AO103" s="59">
        <f t="shared" si="90"/>
        <v>296.53283288925957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59.669330338568905</v>
      </c>
      <c r="AV103" s="21">
        <f>EXP(-LN(2)/25)*AV102+(1-EXP(-LN(2)/25))/(LN(2)/25)*Calculateur!AQ103*Calculateur!AS103*VLOOKUP('Données projet'!$B$10,Paramètres!$A$1:$I$89,3,0)*0.475*44/12</f>
        <v>21.253116115618013</v>
      </c>
      <c r="AW103" s="21">
        <f>EXP(-LN(2)/2)*AW102+(1-EXP(-LN(2)/2))/(LN(2)/2)*AQ103*AT103*VLOOKUP('Données projet'!$B$10,Paramètres!$A$1:$I$89,3,0)*0.475*44/12</f>
        <v>3.4512712036648638</v>
      </c>
      <c r="AX103" s="21">
        <f t="shared" si="60"/>
        <v>84.37371765785177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8.9420000000000019</v>
      </c>
      <c r="BD103" s="12">
        <f>IF('Données projet'!$A$88&gt;35,BD102+BC103-BL102,IF(A103&lt;'Données projet'!$A$88,$BA$205^A103,IF(A103='Données projet'!$A$88,'Données projet'!$B$88,BD102+BC103-BL102)))</f>
        <v>366.43200000000053</v>
      </c>
      <c r="BE103" s="13">
        <f>BD103*VLOOKUP('Données projet'!$B$11,Paramètres!$A$1:$I$89,3,0)*VLOOKUP('Données projet'!$B$11,Paramètres!$A$1:$I$89,5,0)</f>
        <v>331.54767360000045</v>
      </c>
      <c r="BF103" s="13">
        <f t="shared" si="91"/>
        <v>77.751091964826287</v>
      </c>
      <c r="BG103" s="20">
        <f t="shared" si="61"/>
        <v>712.86201669207321</v>
      </c>
      <c r="BH103" s="59">
        <f t="shared" si="62"/>
        <v>990.26607187578247</v>
      </c>
      <c r="BI103" s="59">
        <f ca="1">AVERAGE(OFFSET($BH$3,0,0,'Données projet'!$E$11+1,1))-AVERAGE(OFFSET($H$3,0,0,'Données projet'!$E$11+1,1))</f>
        <v>681.47578137804555</v>
      </c>
      <c r="BJ103" s="59">
        <f t="shared" si="92"/>
        <v>300.88511065995885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25.054735908169643</v>
      </c>
      <c r="BQ103" s="21">
        <f>EXP(-LN(2)/25)*BQ102+(1-EXP(-LN(2)/25))/(LN(2)/25)*Calculateur!BL103*Calculateur!BN103*VLOOKUP('Données projet'!$B$11,Paramètres!$A$1:$I$89,3,0)*0.475*44/12</f>
        <v>23.86716850485222</v>
      </c>
      <c r="BR103" s="21">
        <f>EXP(-LN(2)/2)*BR102+(1-EXP(-LN(2)/2))/(LN(2)/2)*BL103*BO103*VLOOKUP('Données projet'!$B$11,Paramètres!$A$1:$I$89,3,0)*0.475*44/12</f>
        <v>0.74152505796610368</v>
      </c>
      <c r="BS103" s="22">
        <f t="shared" si="63"/>
        <v>49.663429470987964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153.84615384615384</v>
      </c>
      <c r="BW103" s="12">
        <f>VLOOKUP(A103,'Données projet'!$A$113:$I$133,9,0)</f>
        <v>1.9230769230769227</v>
      </c>
      <c r="BX103" s="12">
        <f t="array" ref="BX103">INDEX(BW:BW,MIN(IF(ISNUMBER(BW103:BW299),ROW(BW103:BW299),"")))</f>
        <v>1.9230769230769227</v>
      </c>
      <c r="BY103" s="12">
        <f>IF('Données projet'!$A$114&gt;35,BY102+BX103-CG102,IF(A103&lt;'Données projet'!$A$114,$BV$205^A103,IF(A103='Données projet'!$A$114,'Données projet'!$B$114,BY102+BX103-CG102)))</f>
        <v>153.84615384615392</v>
      </c>
      <c r="BZ103" s="13">
        <f>BY103*VLOOKUP('Données projet'!$B$12,Paramètres!$A$1:$I$89,3,0)*VLOOKUP('Données projet'!$B$12,Paramètres!$A$1:$I$89,5,0)</f>
        <v>160.8000000000001</v>
      </c>
      <c r="CA103" s="13">
        <f t="shared" si="93"/>
        <v>41.022905228516315</v>
      </c>
      <c r="CB103" s="20">
        <f t="shared" si="64"/>
        <v>351.50822660633276</v>
      </c>
      <c r="CC103" s="59">
        <f t="shared" si="65"/>
        <v>628.91228179004202</v>
      </c>
      <c r="CD103" s="59">
        <f ca="1">AVERAGE(OFFSET($CC$3,0,0,'Données projet'!$E$12+1,1))-AVERAGE(OFFSET($H$3,0,0,'Données projet'!$E$12+1,1))</f>
        <v>290.69667785754848</v>
      </c>
      <c r="CE103" s="59">
        <f t="shared" si="94"/>
        <v>256.28124185489082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153.84615384615384</v>
      </c>
      <c r="CH103" s="16">
        <f>IF(ISNA(VLOOKUP(A103,'Données projet'!$A$113:$I$133,5,0)),0%,VLOOKUP(A103,'Données projet'!$A$113:$I$133,5,0)*VLOOKUP('Données projet'!$B$12,Paramètres!$A$1:$I$89,7,0))</f>
        <v>8.6000000000000007E-2</v>
      </c>
      <c r="CI103" s="16">
        <f>IF(ISNA(VLOOKUP(A103,'Données projet'!$A$113:$I$133,6,0)),0%,VLOOKUP(A103,'Données projet'!$A$113:$I$133,6,0)*VLOOKUP('Données projet'!$B$12,Paramètres!$A$1:$I$89,7,0))</f>
        <v>0.17200000000000001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17.799280368411043</v>
      </c>
      <c r="CL103" s="21">
        <f>EXP(-LN(2)/25)*CL102+(1-EXP(-LN(2)/25))/(LN(2)/25)*Calculateur!CG103*Calculateur!CI103*VLOOKUP('Données projet'!$B$12,Paramètres!$A$1:$I$89,3,0)*0.475*44/12</f>
        <v>45.446732308528091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63.246012676939131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408.246209980743</v>
      </c>
      <c r="CZ103" s="59">
        <f t="shared" si="96"/>
        <v>394.10236303013903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38.410895426871761</v>
      </c>
      <c r="DG103" s="21">
        <f>EXP(-LN(2)/25)*DG102+(1-EXP(-LN(2)/25))/(LN(2)/25)*Calculateur!DB103*Calculateur!DD103*VLOOKUP('Données projet'!$B$13,Paramètres!$A$1:$I$89,3,0)*0.475*44/12</f>
        <v>32.367727451172321</v>
      </c>
      <c r="DH103" s="21">
        <f>EXP(-LN(2)/2)*DH102+(1-EXP(-LN(2)/2))/(LN(2)/2)*DB103*DE103*VLOOKUP('Données projet'!$B$13,Paramètres!$A$1:$I$89,3,0)*0.475*44/12</f>
        <v>6.6934627516974238E-2</v>
      </c>
      <c r="DI103" s="22">
        <f t="shared" si="69"/>
        <v>70.845557505561047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5.6843418860808015E-13</v>
      </c>
      <c r="DP103" s="17">
        <f>DO103*VLOOKUP('Données projet'!$B$14,Paramètres!$A$1:$I$89,3,0)*VLOOKUP('Données projet'!$B$14,Paramètres!$A$1:$I$89,5,0)</f>
        <v>3.177547114319168E-13</v>
      </c>
      <c r="DQ103" s="13">
        <f t="shared" si="97"/>
        <v>4.1725404435445377E-12</v>
      </c>
      <c r="DR103" s="20">
        <f t="shared" si="70"/>
        <v>7.820597394917325E-12</v>
      </c>
      <c r="DS103" s="59">
        <f t="shared" si="71"/>
        <v>277.40405518371705</v>
      </c>
      <c r="DT103" s="59">
        <f ca="1">AVERAGE(OFFSET($DS$3,0,0,'Données projet'!$E$14+1,1))-AVERAGE(OFFSET($H$3,0,0,'Données projet'!$E$14+1,1))</f>
        <v>407.05634973057056</v>
      </c>
      <c r="DU103" s="59">
        <f t="shared" si="98"/>
        <v>375.32891954889965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127.38361977430708</v>
      </c>
      <c r="EB103" s="21">
        <f>EXP(-LN(2)/25)*EB102+(1-EXP(-LN(2)/25))/(LN(2)/25)*Calculateur!DW103*Calculateur!DY103*VLOOKUP('Données projet'!$B$14,Paramètres!$A$1:$I$89,3,0)*0.475*44/12</f>
        <v>33.410575063285798</v>
      </c>
      <c r="EC103" s="21">
        <f>EXP(-LN(2)/2)*EC102+(1-EXP(-LN(2)/2))/(LN(2)/2)*DW103*DZ103*VLOOKUP('Données projet'!$B$14,Paramètres!$A$1:$I$89,3,0)*0.475*44/12</f>
        <v>2.3042457373907443E-3</v>
      </c>
      <c r="ED103" s="22">
        <f t="shared" si="72"/>
        <v>160.79649908333025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1.1368683772161603E-13</v>
      </c>
      <c r="EK103" s="17">
        <f>EJ103*VLOOKUP('Données projet'!$B$15,Paramètres!$A$1:$I$89,3,0)*VLOOKUP('Données projet'!$B$15,Paramètres!$A$1:$I$89,5,0)</f>
        <v>5.0249582272954292E-14</v>
      </c>
      <c r="EL103" s="13">
        <f t="shared" si="99"/>
        <v>8.1784820119191593E-13</v>
      </c>
      <c r="EM103" s="20">
        <f t="shared" si="73"/>
        <v>1.5119369728679821E-12</v>
      </c>
      <c r="EN103" s="59">
        <f t="shared" si="74"/>
        <v>277.40405518371074</v>
      </c>
      <c r="EO103" s="59">
        <f ca="1">AVERAGE(OFFSET($EN$3,0,0,'Données projet'!$E$15+1,1))-AVERAGE(OFFSET($H$3,0,0,'Données projet'!$E$15+1,1))</f>
        <v>418.28022549686278</v>
      </c>
      <c r="EP103" s="59">
        <f t="shared" si="100"/>
        <v>354.55070454517158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139.05412106640571</v>
      </c>
      <c r="EW103" s="21">
        <f>EXP(-LN(2)/25)*EW102+(1-EXP(-LN(2)/25))/(LN(2)/25)*Calculateur!ER103*Calculateur!ET103*VLOOKUP('Données projet'!$B$15,Paramètres!$A$1:$I$89,3,0)*0.475*44/12</f>
        <v>41.293363969847327</v>
      </c>
      <c r="EX103" s="21">
        <f>EXP(-LN(2)/2)*EX102+(1-EXP(-LN(2)/2))/(LN(2)/2)*ER103*EU103*VLOOKUP('Données projet'!$B$15,Paramètres!$A$1:$I$89,3,0)*0.475*44/12</f>
        <v>7.6761612469067833E-2</v>
      </c>
      <c r="EY103" s="22">
        <f t="shared" si="75"/>
        <v>180.42424664872209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6.7777777777777777</v>
      </c>
      <c r="FE103" s="12">
        <f>IF('Données projet'!$A$218&gt;35,FE102+FD103-FM102,IF(A103&lt;'Données projet'!$A$218,$FB$205^A103,IF(A103='Données projet'!$A$218,'Données projet'!$B$218,FE102+FD103-FM102)))</f>
        <v>244.25888888888875</v>
      </c>
      <c r="FF103" s="17">
        <f>FE103*VLOOKUP('Données projet'!$B$16,Paramètres!$A$1:$I$89,3,0)*VLOOKUP('Données projet'!$B$16,Paramètres!$A$1:$I$89,5,0)</f>
        <v>278.16202266666653</v>
      </c>
      <c r="FG103" s="13">
        <f t="shared" si="101"/>
        <v>66.578442681509159</v>
      </c>
      <c r="FH103" s="20">
        <f t="shared" si="76"/>
        <v>600.42297714807262</v>
      </c>
      <c r="FI103" s="59">
        <f t="shared" si="77"/>
        <v>877.82703233178177</v>
      </c>
      <c r="FJ103" s="59">
        <f ca="1">AVERAGE(OFFSET($FI$3,0,0,'Données projet'!$E$16+1,1))-AVERAGE(OFFSET($H$3,0,0,'Données projet'!$E$16+1,1))</f>
        <v>640.05156427113661</v>
      </c>
      <c r="FK103" s="59">
        <f t="shared" si="102"/>
        <v>308.77220155372902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12.631983400208593</v>
      </c>
      <c r="FR103" s="21">
        <f>EXP(-LN(2)/25)*FR102+(1-EXP(-LN(2)/25))/(LN(2)/25)*Calculateur!FM103*Calculateur!FO103*VLOOKUP('Données projet'!$B$16,Paramètres!$A$1:$I$89,3,0)*0.475*44/12</f>
        <v>32.52710915969368</v>
      </c>
      <c r="FS103" s="21">
        <f>EXP(-LN(2)/2)*FS102+(1-EXP(-LN(2)/2))/(LN(2)/2)*FM103*FP103*VLOOKUP('Données projet'!$B$16,Paramètres!$A$1:$I$89,3,0)*0.475*44/12</f>
        <v>0.83580830741741829</v>
      </c>
      <c r="FT103" s="22">
        <f t="shared" si="78"/>
        <v>45.994900867319693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277.68039254707639</v>
      </c>
      <c r="S104" s="59">
        <f ca="1">AVERAGE(OFFSET($R$3,0,0,'Données projet'!$E$9+1,1))-AVERAGE(OFFSET($H$3,0,0,'Données projet'!$E$9+1,1))</f>
        <v>318.50474972254085</v>
      </c>
      <c r="T104" s="59">
        <f t="shared" si="88"/>
        <v>326.45858332753562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61.655313590619407</v>
      </c>
      <c r="AA104" s="21">
        <f>EXP(-LN(2)/25)*AA103+(1-EXP(-LN(2)/25))/(LN(2)/25)*Calculateur!V104*Calculateur!X104*VLOOKUP('Données projet'!$B$9,Paramètres!$A$1:$I$89,3,0)*0.475*44/12</f>
        <v>15.542453747370956</v>
      </c>
      <c r="AB104" s="21">
        <f>EXP(-LN(2)/2)*AB103+(1-EXP(-LN(2)/2))/(LN(2)/2)*V104*Y104*VLOOKUP('Données projet'!$B$9,Paramètres!$A$1:$I$89,3,0)*0.475*44/12</f>
        <v>4.0434973554728221E-5</v>
      </c>
      <c r="AC104" s="22">
        <f t="shared" si="57"/>
        <v>77.197807772963927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9.1833333333333318</v>
      </c>
      <c r="AI104" s="13">
        <f>IF('Données projet'!$A$62&gt;35,AI103+AH104-AQ103,IF(A104&lt;'Données projet'!$A$62,$AF$205^A104,IF(A104='Données projet'!$A$62,'Données projet'!$B$62,AI103+AH104-AQ103)))</f>
        <v>397.89333333333326</v>
      </c>
      <c r="AJ104" s="13">
        <f>AI104*VLOOKUP('Données projet'!$B$10,Paramètres!$A$1:$I$89,3,0)*VLOOKUP('Données projet'!$B$10,Paramètres!$A$1:$I$89,5,0)</f>
        <v>186.21407999999997</v>
      </c>
      <c r="AK104" s="13">
        <f t="shared" si="89"/>
        <v>46.70196174472121</v>
      </c>
      <c r="AL104" s="20">
        <f t="shared" si="58"/>
        <v>405.6621060387227</v>
      </c>
      <c r="AM104" s="59">
        <f t="shared" si="59"/>
        <v>683.3424985857971</v>
      </c>
      <c r="AN104" s="59">
        <f ca="1">AVERAGE(OFFSET($AM$3,0,0,'Données projet'!$E$10+1,1))-AVERAGE(OFFSET($H$3,0,0,'Données projet'!$E$10+1,1))</f>
        <v>374.38106339726073</v>
      </c>
      <c r="AO104" s="59">
        <f t="shared" si="90"/>
        <v>296.53283288925957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58.499251165327401</v>
      </c>
      <c r="AV104" s="21">
        <f>EXP(-LN(2)/25)*AV103+(1-EXP(-LN(2)/25))/(LN(2)/25)*Calculateur!AQ104*Calculateur!AS104*VLOOKUP('Données projet'!$B$10,Paramètres!$A$1:$I$89,3,0)*0.475*44/12</f>
        <v>20.671948537783638</v>
      </c>
      <c r="AW104" s="21">
        <f>EXP(-LN(2)/2)*AW103+(1-EXP(-LN(2)/2))/(LN(2)/2)*AQ104*AT104*VLOOKUP('Données projet'!$B$10,Paramètres!$A$1:$I$89,3,0)*0.475*44/12</f>
        <v>2.4404172718252837</v>
      </c>
      <c r="AX104" s="21">
        <f t="shared" si="60"/>
        <v>81.611616974936325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8.9420000000000019</v>
      </c>
      <c r="BD104" s="12">
        <f>IF('Données projet'!$A$88&gt;35,BD103+BC104-BL103,IF(A104&lt;'Données projet'!$A$88,$BA$205^A104,IF(A104='Données projet'!$A$88,'Données projet'!$B$88,BD103+BC104-BL103)))</f>
        <v>375.37400000000054</v>
      </c>
      <c r="BE104" s="13">
        <f>BD104*VLOOKUP('Données projet'!$B$11,Paramètres!$A$1:$I$89,3,0)*VLOOKUP('Données projet'!$B$11,Paramètres!$A$1:$I$89,5,0)</f>
        <v>339.6383952000005</v>
      </c>
      <c r="BF104" s="13">
        <f t="shared" si="91"/>
        <v>79.425231954431325</v>
      </c>
      <c r="BG104" s="20">
        <f t="shared" si="61"/>
        <v>729.86915062730213</v>
      </c>
      <c r="BH104" s="59">
        <f t="shared" si="62"/>
        <v>1007.5495431743766</v>
      </c>
      <c r="BI104" s="59">
        <f ca="1">AVERAGE(OFFSET($BH$3,0,0,'Données projet'!$E$11+1,1))-AVERAGE(OFFSET($H$3,0,0,'Données projet'!$E$11+1,1))</f>
        <v>681.47578137804555</v>
      </c>
      <c r="BJ104" s="59">
        <f t="shared" si="92"/>
        <v>300.88511065995885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24.563427818890382</v>
      </c>
      <c r="BQ104" s="21">
        <f>EXP(-LN(2)/25)*BQ103+(1-EXP(-LN(2)/25))/(LN(2)/25)*Calculateur!BL104*Calculateur!BN104*VLOOKUP('Données projet'!$B$11,Paramètres!$A$1:$I$89,3,0)*0.475*44/12</f>
        <v>23.214519526967194</v>
      </c>
      <c r="BR104" s="21">
        <f>EXP(-LN(2)/2)*BR103+(1-EXP(-LN(2)/2))/(LN(2)/2)*BL104*BO104*VLOOKUP('Données projet'!$B$11,Paramètres!$A$1:$I$89,3,0)*0.475*44/12</f>
        <v>0.52433739690757963</v>
      </c>
      <c r="BS104" s="22">
        <f t="shared" si="63"/>
        <v>48.302284742765153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8.5265128291212022E-14</v>
      </c>
      <c r="BZ104" s="13">
        <f>BY104*VLOOKUP('Données projet'!$B$12,Paramètres!$A$1:$I$89,3,0)*VLOOKUP('Données projet'!$B$12,Paramètres!$A$1:$I$89,5,0)</f>
        <v>8.9119112089974823E-14</v>
      </c>
      <c r="CA104" s="13">
        <f t="shared" si="93"/>
        <v>1.3568952080113142E-12</v>
      </c>
      <c r="CB104" s="20">
        <f t="shared" si="64"/>
        <v>2.5184749408430782E-12</v>
      </c>
      <c r="CC104" s="59">
        <f t="shared" si="65"/>
        <v>277.68039254707691</v>
      </c>
      <c r="CD104" s="59">
        <f ca="1">AVERAGE(OFFSET($CC$3,0,0,'Données projet'!$E$12+1,1))-AVERAGE(OFFSET($H$3,0,0,'Données projet'!$E$12+1,1))</f>
        <v>290.69667785754848</v>
      </c>
      <c r="CE104" s="59">
        <f t="shared" si="94"/>
        <v>256.28124185489082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17.450247336875538</v>
      </c>
      <c r="CL104" s="21">
        <f>EXP(-LN(2)/25)*CL103+(1-EXP(-LN(2)/25))/(LN(2)/25)*Calculateur!CG104*Calculateur!CI104*VLOOKUP('Données projet'!$B$12,Paramètres!$A$1:$I$89,3,0)*0.475*44/12</f>
        <v>44.203989023611605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61.654236360487147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408.246209980743</v>
      </c>
      <c r="CZ104" s="59">
        <f t="shared" si="96"/>
        <v>394.10236303013903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37.657681195883661</v>
      </c>
      <c r="DG104" s="21">
        <f>EXP(-LN(2)/25)*DG103+(1-EXP(-LN(2)/25))/(LN(2)/25)*Calculateur!DB104*Calculateur!DD104*VLOOKUP('Données projet'!$B$13,Paramètres!$A$1:$I$89,3,0)*0.475*44/12</f>
        <v>31.482630241875206</v>
      </c>
      <c r="DH104" s="21">
        <f>EXP(-LN(2)/2)*DH103+(1-EXP(-LN(2)/2))/(LN(2)/2)*DB104*DE104*VLOOKUP('Données projet'!$B$13,Paramètres!$A$1:$I$89,3,0)*0.475*44/12</f>
        <v>4.7329929013448166E-2</v>
      </c>
      <c r="DI104" s="22">
        <f t="shared" si="69"/>
        <v>69.187641366772311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5.6843418860808015E-13</v>
      </c>
      <c r="DP104" s="17">
        <f>DO104*VLOOKUP('Données projet'!$B$14,Paramètres!$A$1:$I$89,3,0)*VLOOKUP('Données projet'!$B$14,Paramètres!$A$1:$I$89,5,0)</f>
        <v>3.177547114319168E-13</v>
      </c>
      <c r="DQ104" s="13">
        <f t="shared" si="97"/>
        <v>4.1725404435445377E-12</v>
      </c>
      <c r="DR104" s="20">
        <f t="shared" si="70"/>
        <v>7.820597394917325E-12</v>
      </c>
      <c r="DS104" s="59">
        <f t="shared" si="71"/>
        <v>277.68039254708225</v>
      </c>
      <c r="DT104" s="59">
        <f ca="1">AVERAGE(OFFSET($DS$3,0,0,'Données projet'!$E$14+1,1))-AVERAGE(OFFSET($H$3,0,0,'Données projet'!$E$14+1,1))</f>
        <v>407.05634973057056</v>
      </c>
      <c r="DU104" s="59">
        <f t="shared" si="98"/>
        <v>375.32891954889965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124.8857046868691</v>
      </c>
      <c r="EB104" s="21">
        <f>EXP(-LN(2)/25)*EB103+(1-EXP(-LN(2)/25))/(LN(2)/25)*Calculateur!DW104*Calculateur!DY104*VLOOKUP('Données projet'!$B$14,Paramètres!$A$1:$I$89,3,0)*0.475*44/12</f>
        <v>32.496961131194467</v>
      </c>
      <c r="EC104" s="21">
        <f>EXP(-LN(2)/2)*EC103+(1-EXP(-LN(2)/2))/(LN(2)/2)*DW104*DZ104*VLOOKUP('Données projet'!$B$14,Paramètres!$A$1:$I$89,3,0)*0.475*44/12</f>
        <v>1.6293477864291919E-3</v>
      </c>
      <c r="ED104" s="22">
        <f t="shared" si="72"/>
        <v>157.38429516585001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1.1368683772161603E-13</v>
      </c>
      <c r="EK104" s="17">
        <f>EJ104*VLOOKUP('Données projet'!$B$15,Paramètres!$A$1:$I$89,3,0)*VLOOKUP('Données projet'!$B$15,Paramètres!$A$1:$I$89,5,0)</f>
        <v>5.0249582272954292E-14</v>
      </c>
      <c r="EL104" s="13">
        <f t="shared" si="99"/>
        <v>8.1784820119191593E-13</v>
      </c>
      <c r="EM104" s="20">
        <f t="shared" si="73"/>
        <v>1.5119369728679821E-12</v>
      </c>
      <c r="EN104" s="59">
        <f t="shared" si="74"/>
        <v>277.68039254707594</v>
      </c>
      <c r="EO104" s="59">
        <f ca="1">AVERAGE(OFFSET($EN$3,0,0,'Données projet'!$E$15+1,1))-AVERAGE(OFFSET($H$3,0,0,'Données projet'!$E$15+1,1))</f>
        <v>418.28022549686278</v>
      </c>
      <c r="EP104" s="59">
        <f t="shared" si="100"/>
        <v>354.55070454517158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136.3273545669326</v>
      </c>
      <c r="EW104" s="21">
        <f>EXP(-LN(2)/25)*EW103+(1-EXP(-LN(2)/25))/(LN(2)/25)*Calculateur!ER104*Calculateur!ET104*VLOOKUP('Données projet'!$B$15,Paramètres!$A$1:$I$89,3,0)*0.475*44/12</f>
        <v>40.164194760568215</v>
      </c>
      <c r="EX104" s="21">
        <f>EXP(-LN(2)/2)*EX103+(1-EXP(-LN(2)/2))/(LN(2)/2)*ER104*EU104*VLOOKUP('Données projet'!$B$15,Paramètres!$A$1:$I$89,3,0)*0.475*44/12</f>
        <v>5.4278656711691707E-2</v>
      </c>
      <c r="EY104" s="22">
        <f t="shared" si="75"/>
        <v>176.54582798421251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6.7777777777777777</v>
      </c>
      <c r="FE104" s="12">
        <f>IF('Données projet'!$A$218&gt;35,FE103+FD104-FM103,IF(A104&lt;'Données projet'!$A$218,$FB$205^A104,IF(A104='Données projet'!$A$218,'Données projet'!$B$218,FE103+FD104-FM103)))</f>
        <v>251.03666666666652</v>
      </c>
      <c r="FF104" s="17">
        <f>FE104*VLOOKUP('Données projet'!$B$16,Paramètres!$A$1:$I$89,3,0)*VLOOKUP('Données projet'!$B$16,Paramètres!$A$1:$I$89,5,0)</f>
        <v>285.88055599999984</v>
      </c>
      <c r="FG104" s="13">
        <f t="shared" si="101"/>
        <v>68.208232142665835</v>
      </c>
      <c r="FH104" s="20">
        <f t="shared" si="76"/>
        <v>616.70463934847601</v>
      </c>
      <c r="FI104" s="59">
        <f t="shared" si="77"/>
        <v>894.38503189555036</v>
      </c>
      <c r="FJ104" s="59">
        <f ca="1">AVERAGE(OFFSET($FI$3,0,0,'Données projet'!$E$16+1,1))-AVERAGE(OFFSET($H$3,0,0,'Données projet'!$E$16+1,1))</f>
        <v>640.05156427113661</v>
      </c>
      <c r="FK104" s="59">
        <f t="shared" si="102"/>
        <v>308.77220155372902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12.384277910479597</v>
      </c>
      <c r="FR104" s="21">
        <f>EXP(-LN(2)/25)*FR103+(1-EXP(-LN(2)/25))/(LN(2)/25)*Calculateur!FM104*Calculateur!FO104*VLOOKUP('Données projet'!$B$16,Paramètres!$A$1:$I$89,3,0)*0.475*44/12</f>
        <v>31.637653649195528</v>
      </c>
      <c r="FS104" s="21">
        <f>EXP(-LN(2)/2)*FS103+(1-EXP(-LN(2)/2))/(LN(2)/2)*FM104*FP104*VLOOKUP('Données projet'!$B$16,Paramètres!$A$1:$I$89,3,0)*0.475*44/12</f>
        <v>0.59100572194690704</v>
      </c>
      <c r="FT104" s="22">
        <f t="shared" si="78"/>
        <v>44.612937281622031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277.95193607498493</v>
      </c>
      <c r="S105" s="59">
        <f ca="1">AVERAGE(OFFSET($R$3,0,0,'Données projet'!$E$9+1,1))-AVERAGE(OFFSET($H$3,0,0,'Données projet'!$E$9+1,1))</f>
        <v>318.50474972254085</v>
      </c>
      <c r="T105" s="59">
        <f t="shared" si="88"/>
        <v>326.45858332753562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60.446290497135365</v>
      </c>
      <c r="AA105" s="21">
        <f>EXP(-LN(2)/25)*AA104+(1-EXP(-LN(2)/25))/(LN(2)/25)*Calculateur!V105*Calculateur!X105*VLOOKUP('Données projet'!$B$9,Paramètres!$A$1:$I$89,3,0)*0.475*44/12</f>
        <v>15.117444532306978</v>
      </c>
      <c r="AB105" s="21">
        <f>EXP(-LN(2)/2)*AB104+(1-EXP(-LN(2)/2))/(LN(2)/2)*V105*Y105*VLOOKUP('Données projet'!$B$9,Paramètres!$A$1:$I$89,3,0)*0.475*44/12</f>
        <v>2.8591843997647044E-5</v>
      </c>
      <c r="AC105" s="22">
        <f t="shared" si="57"/>
        <v>75.563763621286341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9.1833333333333318</v>
      </c>
      <c r="AI105" s="13">
        <f>IF('Données projet'!$A$62&gt;35,AI104+AH105-AQ104,IF(A105&lt;'Données projet'!$A$62,$AF$205^A105,IF(A105='Données projet'!$A$62,'Données projet'!$B$62,AI104+AH105-AQ104)))</f>
        <v>407.0766666666666</v>
      </c>
      <c r="AJ105" s="13">
        <f>AI105*VLOOKUP('Données projet'!$B$10,Paramètres!$A$1:$I$89,3,0)*VLOOKUP('Données projet'!$B$10,Paramètres!$A$1:$I$89,5,0)</f>
        <v>190.51187999999996</v>
      </c>
      <c r="AK105" s="13">
        <f t="shared" si="89"/>
        <v>47.653104524596984</v>
      </c>
      <c r="AL105" s="20">
        <f t="shared" si="58"/>
        <v>414.80401471367298</v>
      </c>
      <c r="AM105" s="59">
        <f t="shared" si="59"/>
        <v>692.75595078865592</v>
      </c>
      <c r="AN105" s="59">
        <f ca="1">AVERAGE(OFFSET($AM$3,0,0,'Données projet'!$E$10+1,1))-AVERAGE(OFFSET($H$3,0,0,'Données projet'!$E$10+1,1))</f>
        <v>374.38106339726073</v>
      </c>
      <c r="AO105" s="59">
        <f t="shared" si="90"/>
        <v>296.53283288925957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57.352116530995332</v>
      </c>
      <c r="AV105" s="21">
        <f>EXP(-LN(2)/25)*AV104+(1-EXP(-LN(2)/25))/(LN(2)/25)*Calculateur!AQ105*Calculateur!AS105*VLOOKUP('Données projet'!$B$10,Paramètres!$A$1:$I$89,3,0)*0.475*44/12</f>
        <v>20.106673017927417</v>
      </c>
      <c r="AW105" s="21">
        <f>EXP(-LN(2)/2)*AW104+(1-EXP(-LN(2)/2))/(LN(2)/2)*AQ105*AT105*VLOOKUP('Données projet'!$B$10,Paramètres!$A$1:$I$89,3,0)*0.475*44/12</f>
        <v>1.7256356018324321</v>
      </c>
      <c r="AX105" s="21">
        <f t="shared" si="60"/>
        <v>79.184425150755189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8.9420000000000019</v>
      </c>
      <c r="BD105" s="12">
        <f>IF('Données projet'!$A$88&gt;35,BD104+BC105-BL104,IF(A105&lt;'Données projet'!$A$88,$BA$205^A105,IF(A105='Données projet'!$A$88,'Données projet'!$B$88,BD104+BC105-BL104)))</f>
        <v>384.31600000000054</v>
      </c>
      <c r="BE105" s="13">
        <f>BD105*VLOOKUP('Données projet'!$B$11,Paramètres!$A$1:$I$89,3,0)*VLOOKUP('Données projet'!$B$11,Paramètres!$A$1:$I$89,5,0)</f>
        <v>347.7291168000005</v>
      </c>
      <c r="BF105" s="13">
        <f t="shared" si="91"/>
        <v>81.094735802697301</v>
      </c>
      <c r="BG105" s="20">
        <f t="shared" si="61"/>
        <v>746.86820994969855</v>
      </c>
      <c r="BH105" s="59">
        <f t="shared" si="62"/>
        <v>1024.8201460246814</v>
      </c>
      <c r="BI105" s="59">
        <f ca="1">AVERAGE(OFFSET($BH$3,0,0,'Données projet'!$E$11+1,1))-AVERAGE(OFFSET($H$3,0,0,'Données projet'!$E$11+1,1))</f>
        <v>681.47578137804555</v>
      </c>
      <c r="BJ105" s="59">
        <f t="shared" si="92"/>
        <v>300.88511065995885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24.081753981573542</v>
      </c>
      <c r="BQ105" s="21">
        <f>EXP(-LN(2)/25)*BQ104+(1-EXP(-LN(2)/25))/(LN(2)/25)*Calculateur!BL105*Calculateur!BN105*VLOOKUP('Données projet'!$B$11,Paramètres!$A$1:$I$89,3,0)*0.475*44/12</f>
        <v>22.579717269703753</v>
      </c>
      <c r="BR105" s="21">
        <f>EXP(-LN(2)/2)*BR104+(1-EXP(-LN(2)/2))/(LN(2)/2)*BL105*BO105*VLOOKUP('Données projet'!$B$11,Paramètres!$A$1:$I$89,3,0)*0.475*44/12</f>
        <v>0.37076252898305184</v>
      </c>
      <c r="BS105" s="22">
        <f t="shared" si="63"/>
        <v>47.032233780260341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8.5265128291212022E-14</v>
      </c>
      <c r="BZ105" s="13">
        <f>BY105*VLOOKUP('Données projet'!$B$12,Paramètres!$A$1:$I$89,3,0)*VLOOKUP('Données projet'!$B$12,Paramètres!$A$1:$I$89,5,0)</f>
        <v>8.9119112089974823E-14</v>
      </c>
      <c r="CA105" s="13">
        <f t="shared" si="93"/>
        <v>1.3568952080113142E-12</v>
      </c>
      <c r="CB105" s="20">
        <f t="shared" si="64"/>
        <v>2.5184749408430782E-12</v>
      </c>
      <c r="CC105" s="59">
        <f t="shared" si="65"/>
        <v>277.95193607498544</v>
      </c>
      <c r="CD105" s="59">
        <f ca="1">AVERAGE(OFFSET($CC$3,0,0,'Données projet'!$E$12+1,1))-AVERAGE(OFFSET($H$3,0,0,'Données projet'!$E$12+1,1))</f>
        <v>290.69667785754848</v>
      </c>
      <c r="CE105" s="59">
        <f t="shared" si="94"/>
        <v>256.28124185489082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17.108058630199316</v>
      </c>
      <c r="CL105" s="21">
        <f>EXP(-LN(2)/25)*CL104+(1-EXP(-LN(2)/25))/(LN(2)/25)*Calculateur!CG105*Calculateur!CI105*VLOOKUP('Données projet'!$B$12,Paramètres!$A$1:$I$89,3,0)*0.475*44/12</f>
        <v>42.995228619174192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60.103287249373508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408.246209980743</v>
      </c>
      <c r="CZ105" s="59">
        <f t="shared" si="96"/>
        <v>394.10236303013903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36.919237036549923</v>
      </c>
      <c r="DG105" s="21">
        <f>EXP(-LN(2)/25)*DG104+(1-EXP(-LN(2)/25))/(LN(2)/25)*Calculateur!DB105*Calculateur!DD105*VLOOKUP('Données projet'!$B$13,Paramètres!$A$1:$I$89,3,0)*0.475*44/12</f>
        <v>30.621736062311559</v>
      </c>
      <c r="DH105" s="21">
        <f>EXP(-LN(2)/2)*DH104+(1-EXP(-LN(2)/2))/(LN(2)/2)*DB105*DE105*VLOOKUP('Données projet'!$B$13,Paramètres!$A$1:$I$89,3,0)*0.475*44/12</f>
        <v>3.3467313758487119E-2</v>
      </c>
      <c r="DI105" s="22">
        <f t="shared" si="69"/>
        <v>67.574440412619978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5.6843418860808015E-13</v>
      </c>
      <c r="DP105" s="17">
        <f>DO105*VLOOKUP('Données projet'!$B$14,Paramètres!$A$1:$I$89,3,0)*VLOOKUP('Données projet'!$B$14,Paramètres!$A$1:$I$89,5,0)</f>
        <v>3.177547114319168E-13</v>
      </c>
      <c r="DQ105" s="13">
        <f t="shared" si="97"/>
        <v>4.1725404435445377E-12</v>
      </c>
      <c r="DR105" s="20">
        <f t="shared" si="70"/>
        <v>7.820597394917325E-12</v>
      </c>
      <c r="DS105" s="59">
        <f t="shared" si="71"/>
        <v>277.95193607499078</v>
      </c>
      <c r="DT105" s="59">
        <f ca="1">AVERAGE(OFFSET($DS$3,0,0,'Données projet'!$E$14+1,1))-AVERAGE(OFFSET($H$3,0,0,'Données projet'!$E$14+1,1))</f>
        <v>407.05634973057056</v>
      </c>
      <c r="DU105" s="59">
        <f t="shared" si="98"/>
        <v>375.32891954889965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122.43677219071803</v>
      </c>
      <c r="EB105" s="21">
        <f>EXP(-LN(2)/25)*EB104+(1-EXP(-LN(2)/25))/(LN(2)/25)*Calculateur!DW105*Calculateur!DY105*VLOOKUP('Données projet'!$B$14,Paramètres!$A$1:$I$89,3,0)*0.475*44/12</f>
        <v>31.608330020121041</v>
      </c>
      <c r="EC105" s="21">
        <f>EXP(-LN(2)/2)*EC104+(1-EXP(-LN(2)/2))/(LN(2)/2)*DW105*DZ105*VLOOKUP('Données projet'!$B$14,Paramètres!$A$1:$I$89,3,0)*0.475*44/12</f>
        <v>1.1521228686953721E-3</v>
      </c>
      <c r="ED105" s="22">
        <f t="shared" si="72"/>
        <v>154.04625433370776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1.1368683772161603E-13</v>
      </c>
      <c r="EK105" s="17">
        <f>EJ105*VLOOKUP('Données projet'!$B$15,Paramètres!$A$1:$I$89,3,0)*VLOOKUP('Données projet'!$B$15,Paramètres!$A$1:$I$89,5,0)</f>
        <v>5.0249582272954292E-14</v>
      </c>
      <c r="EL105" s="13">
        <f t="shared" si="99"/>
        <v>8.1784820119191593E-13</v>
      </c>
      <c r="EM105" s="20">
        <f t="shared" si="73"/>
        <v>1.5119369728679821E-12</v>
      </c>
      <c r="EN105" s="59">
        <f t="shared" si="74"/>
        <v>277.95193607498447</v>
      </c>
      <c r="EO105" s="59">
        <f ca="1">AVERAGE(OFFSET($EN$3,0,0,'Données projet'!$E$15+1,1))-AVERAGE(OFFSET($H$3,0,0,'Données projet'!$E$15+1,1))</f>
        <v>418.28022549686278</v>
      </c>
      <c r="EP105" s="59">
        <f t="shared" si="100"/>
        <v>354.55070454517158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133.65405829535081</v>
      </c>
      <c r="EW105" s="21">
        <f>EXP(-LN(2)/25)*EW104+(1-EXP(-LN(2)/25))/(LN(2)/25)*Calculateur!ER105*Calculateur!ET105*VLOOKUP('Données projet'!$B$15,Paramètres!$A$1:$I$89,3,0)*0.475*44/12</f>
        <v>39.065902742697268</v>
      </c>
      <c r="EX105" s="21">
        <f>EXP(-LN(2)/2)*EX104+(1-EXP(-LN(2)/2))/(LN(2)/2)*ER105*EU105*VLOOKUP('Données projet'!$B$15,Paramètres!$A$1:$I$89,3,0)*0.475*44/12</f>
        <v>3.8380806234533917E-2</v>
      </c>
      <c r="EY105" s="22">
        <f t="shared" si="75"/>
        <v>172.7583418442826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6.7777777777777777</v>
      </c>
      <c r="FE105" s="12">
        <f>IF('Données projet'!$A$218&gt;35,FE104+FD105-FM104,IF(A105&lt;'Données projet'!$A$218,$FB$205^A105,IF(A105='Données projet'!$A$218,'Données projet'!$B$218,FE104+FD105-FM104)))</f>
        <v>257.81444444444429</v>
      </c>
      <c r="FF105" s="17">
        <f>FE105*VLOOKUP('Données projet'!$B$16,Paramètres!$A$1:$I$89,3,0)*VLOOKUP('Données projet'!$B$16,Paramètres!$A$1:$I$89,5,0)</f>
        <v>293.59908933333315</v>
      </c>
      <c r="FG105" s="13">
        <f t="shared" si="101"/>
        <v>69.832907045194901</v>
      </c>
      <c r="FH105" s="20">
        <f t="shared" si="76"/>
        <v>632.97739369260296</v>
      </c>
      <c r="FI105" s="59">
        <f t="shared" si="77"/>
        <v>910.92932976758584</v>
      </c>
      <c r="FJ105" s="59">
        <f ca="1">AVERAGE(OFFSET($FI$3,0,0,'Données projet'!$E$16+1,1))-AVERAGE(OFFSET($H$3,0,0,'Données projet'!$E$16+1,1))</f>
        <v>640.05156427113661</v>
      </c>
      <c r="FK105" s="59">
        <f t="shared" si="102"/>
        <v>308.77220155372902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12.141429774318755</v>
      </c>
      <c r="FR105" s="21">
        <f>EXP(-LN(2)/25)*FR104+(1-EXP(-LN(2)/25))/(LN(2)/25)*Calculateur!FM105*Calculateur!FO105*VLOOKUP('Données projet'!$B$16,Paramètres!$A$1:$I$89,3,0)*0.475*44/12</f>
        <v>30.772520346406381</v>
      </c>
      <c r="FS105" s="21">
        <f>EXP(-LN(2)/2)*FS104+(1-EXP(-LN(2)/2))/(LN(2)/2)*FM105*FP105*VLOOKUP('Données projet'!$B$16,Paramètres!$A$1:$I$89,3,0)*0.475*44/12</f>
        <v>0.41790415370870915</v>
      </c>
      <c r="FT105" s="22">
        <f t="shared" si="78"/>
        <v>43.331854274433844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278.21876892976468</v>
      </c>
      <c r="S106" s="59">
        <f ca="1">AVERAGE(OFFSET($R$3,0,0,'Données projet'!$E$9+1,1))-AVERAGE(OFFSET($H$3,0,0,'Données projet'!$E$9+1,1))</f>
        <v>318.50474972254085</v>
      </c>
      <c r="T106" s="59">
        <f t="shared" si="88"/>
        <v>326.45858332753562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59.260975609083275</v>
      </c>
      <c r="AA106" s="21">
        <f>EXP(-LN(2)/25)*AA105+(1-EXP(-LN(2)/25))/(LN(2)/25)*Calculateur!V106*Calculateur!X106*VLOOKUP('Données projet'!$B$9,Paramètres!$A$1:$I$89,3,0)*0.475*44/12</f>
        <v>14.704057216579187</v>
      </c>
      <c r="AB106" s="21">
        <f>EXP(-LN(2)/2)*AB105+(1-EXP(-LN(2)/2))/(LN(2)/2)*V106*Y106*VLOOKUP('Données projet'!$B$9,Paramètres!$A$1:$I$89,3,0)*0.475*44/12</f>
        <v>2.021748677736411E-5</v>
      </c>
      <c r="AC106" s="22">
        <f t="shared" si="57"/>
        <v>73.96505304314924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9.1833333333333318</v>
      </c>
      <c r="AI106" s="13">
        <f>IF('Données projet'!$A$62&gt;35,AI105+AH106-AQ105,IF(A106&lt;'Données projet'!$A$62,$AF$205^A106,IF(A106='Données projet'!$A$62,'Données projet'!$B$62,AI105+AH106-AQ105)))</f>
        <v>416.25999999999993</v>
      </c>
      <c r="AJ106" s="13">
        <f>AI106*VLOOKUP('Données projet'!$B$10,Paramètres!$A$1:$I$89,3,0)*VLOOKUP('Données projet'!$B$10,Paramètres!$A$1:$I$89,5,0)</f>
        <v>194.80967999999996</v>
      </c>
      <c r="AK106" s="13">
        <f t="shared" si="89"/>
        <v>48.601752757478572</v>
      </c>
      <c r="AL106" s="20">
        <f t="shared" si="58"/>
        <v>423.94157871927513</v>
      </c>
      <c r="AM106" s="59">
        <f t="shared" si="59"/>
        <v>702.16034764903782</v>
      </c>
      <c r="AN106" s="59">
        <f ca="1">AVERAGE(OFFSET($AM$3,0,0,'Données projet'!$E$10+1,1))-AVERAGE(OFFSET($H$3,0,0,'Données projet'!$E$10+1,1))</f>
        <v>374.38106339726073</v>
      </c>
      <c r="AO106" s="59">
        <f t="shared" si="90"/>
        <v>296.53283288925957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56.22747650715948</v>
      </c>
      <c r="AV106" s="21">
        <f>EXP(-LN(2)/25)*AV105+(1-EXP(-LN(2)/25))/(LN(2)/25)*Calculateur!AQ106*Calculateur!AS106*VLOOKUP('Données projet'!$B$10,Paramètres!$A$1:$I$89,3,0)*0.475*44/12</f>
        <v>19.556854986888212</v>
      </c>
      <c r="AW106" s="21">
        <f>EXP(-LN(2)/2)*AW105+(1-EXP(-LN(2)/2))/(LN(2)/2)*AQ106*AT106*VLOOKUP('Données projet'!$B$10,Paramètres!$A$1:$I$89,3,0)*0.475*44/12</f>
        <v>1.2202086359126418</v>
      </c>
      <c r="AX106" s="21">
        <f t="shared" si="60"/>
        <v>77.004540129960333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8.9420000000000019</v>
      </c>
      <c r="BD106" s="12">
        <f>IF('Données projet'!$A$88&gt;35,BD105+BC106-BL105,IF(A106&lt;'Données projet'!$A$88,$BA$205^A106,IF(A106='Données projet'!$A$88,'Données projet'!$B$88,BD105+BC106-BL105)))</f>
        <v>393.25800000000055</v>
      </c>
      <c r="BE106" s="13">
        <f>BD106*VLOOKUP('Données projet'!$B$11,Paramètres!$A$1:$I$89,3,0)*VLOOKUP('Données projet'!$B$11,Paramètres!$A$1:$I$89,5,0)</f>
        <v>355.81983840000049</v>
      </c>
      <c r="BF106" s="13">
        <f t="shared" si="91"/>
        <v>82.759723795307863</v>
      </c>
      <c r="BG106" s="20">
        <f t="shared" si="61"/>
        <v>763.85940415682887</v>
      </c>
      <c r="BH106" s="59">
        <f t="shared" si="62"/>
        <v>1042.0781730865915</v>
      </c>
      <c r="BI106" s="59">
        <f ca="1">AVERAGE(OFFSET($BH$3,0,0,'Données projet'!$E$11+1,1))-AVERAGE(OFFSET($H$3,0,0,'Données projet'!$E$11+1,1))</f>
        <v>681.47578137804555</v>
      </c>
      <c r="BJ106" s="59">
        <f t="shared" si="92"/>
        <v>300.88511065995885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23.60952547441445</v>
      </c>
      <c r="BQ106" s="21">
        <f>EXP(-LN(2)/25)*BQ105+(1-EXP(-LN(2)/25))/(LN(2)/25)*Calculateur!BL106*Calculateur!BN106*VLOOKUP('Données projet'!$B$11,Paramètres!$A$1:$I$89,3,0)*0.475*44/12</f>
        <v>21.96227371354798</v>
      </c>
      <c r="BR106" s="21">
        <f>EXP(-LN(2)/2)*BR105+(1-EXP(-LN(2)/2))/(LN(2)/2)*BL106*BO106*VLOOKUP('Données projet'!$B$11,Paramètres!$A$1:$I$89,3,0)*0.475*44/12</f>
        <v>0.26216869845378982</v>
      </c>
      <c r="BS106" s="22">
        <f t="shared" si="63"/>
        <v>45.833967886416218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8.5265128291212022E-14</v>
      </c>
      <c r="BZ106" s="13">
        <f>BY106*VLOOKUP('Données projet'!$B$12,Paramètres!$A$1:$I$89,3,0)*VLOOKUP('Données projet'!$B$12,Paramètres!$A$1:$I$89,5,0)</f>
        <v>8.9119112089974823E-14</v>
      </c>
      <c r="CA106" s="13">
        <f t="shared" si="93"/>
        <v>1.3568952080113142E-12</v>
      </c>
      <c r="CB106" s="20">
        <f t="shared" si="64"/>
        <v>2.5184749408430782E-12</v>
      </c>
      <c r="CC106" s="59">
        <f t="shared" si="65"/>
        <v>278.21876892976519</v>
      </c>
      <c r="CD106" s="59">
        <f ca="1">AVERAGE(OFFSET($CC$3,0,0,'Données projet'!$E$12+1,1))-AVERAGE(OFFSET($H$3,0,0,'Données projet'!$E$12+1,1))</f>
        <v>290.69667785754848</v>
      </c>
      <c r="CE106" s="59">
        <f t="shared" si="94"/>
        <v>256.28124185489082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16.772580035346515</v>
      </c>
      <c r="CL106" s="21">
        <f>EXP(-LN(2)/25)*CL105+(1-EXP(-LN(2)/25))/(LN(2)/25)*Calculateur!CG106*Calculateur!CI106*VLOOKUP('Données projet'!$B$12,Paramètres!$A$1:$I$89,3,0)*0.475*44/12</f>
        <v>41.819521831562071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58.592101866908585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408.246209980743</v>
      </c>
      <c r="CZ106" s="59">
        <f t="shared" si="96"/>
        <v>394.10236303013903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36.195273316774255</v>
      </c>
      <c r="DG106" s="21">
        <f>EXP(-LN(2)/25)*DG105+(1-EXP(-LN(2)/25))/(LN(2)/25)*Calculateur!DB106*Calculateur!DD106*VLOOKUP('Données projet'!$B$13,Paramètres!$A$1:$I$89,3,0)*0.475*44/12</f>
        <v>29.784383079360538</v>
      </c>
      <c r="DH106" s="21">
        <f>EXP(-LN(2)/2)*DH105+(1-EXP(-LN(2)/2))/(LN(2)/2)*DB106*DE106*VLOOKUP('Données projet'!$B$13,Paramètres!$A$1:$I$89,3,0)*0.475*44/12</f>
        <v>2.3664964506724083E-2</v>
      </c>
      <c r="DI106" s="22">
        <f t="shared" si="69"/>
        <v>66.003321360641522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5.6843418860808015E-13</v>
      </c>
      <c r="DP106" s="17">
        <f>DO106*VLOOKUP('Données projet'!$B$14,Paramètres!$A$1:$I$89,3,0)*VLOOKUP('Données projet'!$B$14,Paramètres!$A$1:$I$89,5,0)</f>
        <v>3.177547114319168E-13</v>
      </c>
      <c r="DQ106" s="13">
        <f t="shared" si="97"/>
        <v>4.1725404435445377E-12</v>
      </c>
      <c r="DR106" s="20">
        <f t="shared" si="70"/>
        <v>7.820597394917325E-12</v>
      </c>
      <c r="DS106" s="59">
        <f t="shared" si="71"/>
        <v>278.21876892977053</v>
      </c>
      <c r="DT106" s="59">
        <f ca="1">AVERAGE(OFFSET($DS$3,0,0,'Données projet'!$E$14+1,1))-AVERAGE(OFFSET($H$3,0,0,'Données projet'!$E$14+1,1))</f>
        <v>407.05634973057056</v>
      </c>
      <c r="DU106" s="59">
        <f t="shared" si="98"/>
        <v>375.32891954889965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120.03586176711514</v>
      </c>
      <c r="EB106" s="21">
        <f>EXP(-LN(2)/25)*EB105+(1-EXP(-LN(2)/25))/(LN(2)/25)*Calculateur!DW106*Calculateur!DY106*VLOOKUP('Données projet'!$B$14,Paramètres!$A$1:$I$89,3,0)*0.475*44/12</f>
        <v>30.743998573510996</v>
      </c>
      <c r="EC106" s="21">
        <f>EXP(-LN(2)/2)*EC105+(1-EXP(-LN(2)/2))/(LN(2)/2)*DW106*DZ106*VLOOKUP('Données projet'!$B$14,Paramètres!$A$1:$I$89,3,0)*0.475*44/12</f>
        <v>8.1467389321459595E-4</v>
      </c>
      <c r="ED106" s="22">
        <f t="shared" si="72"/>
        <v>150.78067501451935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1.1368683772161603E-13</v>
      </c>
      <c r="EK106" s="17">
        <f>EJ106*VLOOKUP('Données projet'!$B$15,Paramètres!$A$1:$I$89,3,0)*VLOOKUP('Données projet'!$B$15,Paramètres!$A$1:$I$89,5,0)</f>
        <v>5.0249582272954292E-14</v>
      </c>
      <c r="EL106" s="13">
        <f t="shared" si="99"/>
        <v>8.1784820119191593E-13</v>
      </c>
      <c r="EM106" s="20">
        <f t="shared" si="73"/>
        <v>1.5119369728679821E-12</v>
      </c>
      <c r="EN106" s="59">
        <f t="shared" si="74"/>
        <v>278.21876892976422</v>
      </c>
      <c r="EO106" s="59">
        <f ca="1">AVERAGE(OFFSET($EN$3,0,0,'Données projet'!$E$15+1,1))-AVERAGE(OFFSET($H$3,0,0,'Données projet'!$E$15+1,1))</f>
        <v>418.28022549686278</v>
      </c>
      <c r="EP106" s="59">
        <f t="shared" si="100"/>
        <v>354.55070454517158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131.03318373310501</v>
      </c>
      <c r="EW106" s="21">
        <f>EXP(-LN(2)/25)*EW105+(1-EXP(-LN(2)/25))/(LN(2)/25)*Calculateur!ER106*Calculateur!ET106*VLOOKUP('Données projet'!$B$15,Paramètres!$A$1:$I$89,3,0)*0.475*44/12</f>
        <v>37.997643577811672</v>
      </c>
      <c r="EX106" s="21">
        <f>EXP(-LN(2)/2)*EX105+(1-EXP(-LN(2)/2))/(LN(2)/2)*ER106*EU106*VLOOKUP('Données projet'!$B$15,Paramètres!$A$1:$I$89,3,0)*0.475*44/12</f>
        <v>2.7139328355845854E-2</v>
      </c>
      <c r="EY106" s="22">
        <f t="shared" si="75"/>
        <v>169.05796663927251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6.7777777777777777</v>
      </c>
      <c r="FE106" s="12">
        <f>IF('Données projet'!$A$218&gt;35,FE105+FD106-FM105,IF(A106&lt;'Données projet'!$A$218,$FB$205^A106,IF(A106='Données projet'!$A$218,'Données projet'!$B$218,FE105+FD106-FM105)))</f>
        <v>264.59222222222206</v>
      </c>
      <c r="FF106" s="17">
        <f>FE106*VLOOKUP('Données projet'!$B$16,Paramètres!$A$1:$I$89,3,0)*VLOOKUP('Données projet'!$B$16,Paramètres!$A$1:$I$89,5,0)</f>
        <v>301.31762266666647</v>
      </c>
      <c r="FG106" s="13">
        <f t="shared" si="101"/>
        <v>71.452617304074849</v>
      </c>
      <c r="FH106" s="20">
        <f t="shared" si="76"/>
        <v>649.24150128237454</v>
      </c>
      <c r="FI106" s="59">
        <f t="shared" si="77"/>
        <v>927.46027021213717</v>
      </c>
      <c r="FJ106" s="59">
        <f ca="1">AVERAGE(OFFSET($FI$3,0,0,'Données projet'!$E$16+1,1))-AVERAGE(OFFSET($H$3,0,0,'Données projet'!$E$16+1,1))</f>
        <v>640.05156427113661</v>
      </c>
      <c r="FK106" s="59">
        <f t="shared" si="102"/>
        <v>308.77220155372902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11.903343741985291</v>
      </c>
      <c r="FR106" s="21">
        <f>EXP(-LN(2)/25)*FR105+(1-EXP(-LN(2)/25))/(LN(2)/25)*Calculateur!FM106*Calculateur!FO106*VLOOKUP('Données projet'!$B$16,Paramètres!$A$1:$I$89,3,0)*0.475*44/12</f>
        <v>29.931044159277384</v>
      </c>
      <c r="FS106" s="21">
        <f>EXP(-LN(2)/2)*FS105+(1-EXP(-LN(2)/2))/(LN(2)/2)*FM106*FP106*VLOOKUP('Données projet'!$B$16,Paramètres!$A$1:$I$89,3,0)*0.475*44/12</f>
        <v>0.29550286097345352</v>
      </c>
      <c r="FT106" s="22">
        <f t="shared" si="78"/>
        <v>42.12989076223613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278.4809728310629</v>
      </c>
      <c r="S107" s="59">
        <f ca="1">AVERAGE(OFFSET($R$3,0,0,'Données projet'!$E$9+1,1))-AVERAGE(OFFSET($H$3,0,0,'Données projet'!$E$9+1,1))</f>
        <v>318.50474972254085</v>
      </c>
      <c r="T107" s="59">
        <f t="shared" si="88"/>
        <v>326.45858332753562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58.098904023015187</v>
      </c>
      <c r="AA107" s="21">
        <f>EXP(-LN(2)/25)*AA106+(1-EXP(-LN(2)/25))/(LN(2)/25)*Calculateur!V107*Calculateur!X107*VLOOKUP('Données projet'!$B$9,Paramètres!$A$1:$I$89,3,0)*0.475*44/12</f>
        <v>14.301973998739067</v>
      </c>
      <c r="AB107" s="21">
        <f>EXP(-LN(2)/2)*AB106+(1-EXP(-LN(2)/2))/(LN(2)/2)*V107*Y107*VLOOKUP('Données projet'!$B$9,Paramètres!$A$1:$I$89,3,0)*0.475*44/12</f>
        <v>1.4295921998823522E-5</v>
      </c>
      <c r="AC107" s="22">
        <f t="shared" si="57"/>
        <v>72.400892317676252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9.1833333333333318</v>
      </c>
      <c r="AI107" s="13">
        <f>IF('Données projet'!$A$62&gt;35,AI106+AH107-AQ106,IF(A107&lt;'Données projet'!$A$62,$AF$205^A107,IF(A107='Données projet'!$A$62,'Données projet'!$B$62,AI106+AH107-AQ106)))</f>
        <v>425.44333333333327</v>
      </c>
      <c r="AJ107" s="13">
        <f>AI107*VLOOKUP('Données projet'!$B$10,Paramètres!$A$1:$I$89,3,0)*VLOOKUP('Données projet'!$B$10,Paramètres!$A$1:$I$89,5,0)</f>
        <v>199.10747999999998</v>
      </c>
      <c r="AK107" s="13">
        <f t="shared" si="89"/>
        <v>49.547967814034735</v>
      </c>
      <c r="AL107" s="20">
        <f t="shared" si="58"/>
        <v>433.0749049427771</v>
      </c>
      <c r="AM107" s="59">
        <f t="shared" si="59"/>
        <v>711.55587777383801</v>
      </c>
      <c r="AN107" s="59">
        <f ca="1">AVERAGE(OFFSET($AM$3,0,0,'Données projet'!$E$10+1,1))-AVERAGE(OFFSET($H$3,0,0,'Données projet'!$E$10+1,1))</f>
        <v>374.38106339726073</v>
      </c>
      <c r="AO107" s="59">
        <f t="shared" si="90"/>
        <v>296.53283288925957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55.124889988228368</v>
      </c>
      <c r="AV107" s="21">
        <f>EXP(-LN(2)/25)*AV106+(1-EXP(-LN(2)/25))/(LN(2)/25)*Calculateur!AQ107*Calculateur!AS107*VLOOKUP('Données projet'!$B$10,Paramètres!$A$1:$I$89,3,0)*0.475*44/12</f>
        <v>19.022071758821447</v>
      </c>
      <c r="AW107" s="21">
        <f>EXP(-LN(2)/2)*AW106+(1-EXP(-LN(2)/2))/(LN(2)/2)*AQ107*AT107*VLOOKUP('Données projet'!$B$10,Paramètres!$A$1:$I$89,3,0)*0.475*44/12</f>
        <v>0.86281780091621607</v>
      </c>
      <c r="AX107" s="21">
        <f t="shared" si="60"/>
        <v>75.009779547966033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8.9420000000000019</v>
      </c>
      <c r="BC107" s="12">
        <f t="array" ref="BC107">INDEX(BB:BB,MIN(IF(ISNUMBER(BB107:BB303),ROW(BB107:BB303),"")))</f>
        <v>8.9420000000000019</v>
      </c>
      <c r="BD107" s="12">
        <f>IF('Données projet'!$A$88&gt;35,BD106+BC107-BL106,IF(A107&lt;'Données projet'!$A$88,$BA$205^A107,IF(A107='Données projet'!$A$88,'Données projet'!$B$88,BD106+BC107-BL106)))</f>
        <v>402.20000000000056</v>
      </c>
      <c r="BE107" s="13">
        <f>BD107*VLOOKUP('Données projet'!$B$11,Paramètres!$A$1:$I$89,3,0)*VLOOKUP('Données projet'!$B$11,Paramètres!$A$1:$I$89,5,0)</f>
        <v>363.91056000000049</v>
      </c>
      <c r="BF107" s="13">
        <f t="shared" si="91"/>
        <v>84.42031043556446</v>
      </c>
      <c r="BG107" s="20">
        <f t="shared" si="61"/>
        <v>780.84293267527562</v>
      </c>
      <c r="BH107" s="59">
        <f t="shared" si="62"/>
        <v>1059.3239055063366</v>
      </c>
      <c r="BI107" s="59">
        <f ca="1">AVERAGE(OFFSET($BH$3,0,0,'Données projet'!$E$11+1,1))-AVERAGE(OFFSET($H$3,0,0,'Données projet'!$E$11+1,1))</f>
        <v>681.47578137804555</v>
      </c>
      <c r="BJ107" s="59">
        <f t="shared" si="92"/>
        <v>300.88511065995885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66.089999999999975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33.09538580102793</v>
      </c>
      <c r="BQ107" s="21">
        <f>EXP(-LN(2)/25)*BQ106+(1-EXP(-LN(2)/25))/(LN(2)/25)*Calculateur!BL107*Calculateur!BN107*VLOOKUP('Données projet'!$B$11,Paramètres!$A$1:$I$89,3,0)*0.475*44/12</f>
        <v>27.024374978935796</v>
      </c>
      <c r="BR107" s="21">
        <f>EXP(-LN(2)/2)*BR106+(1-EXP(-LN(2)/2))/(LN(2)/2)*BL107*BO107*VLOOKUP('Données projet'!$B$11,Paramètres!$A$1:$I$89,3,0)*0.475*44/12</f>
        <v>5.8275053982732432</v>
      </c>
      <c r="BS107" s="22">
        <f t="shared" si="63"/>
        <v>65.947266178236973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8.5265128291212022E-14</v>
      </c>
      <c r="BZ107" s="13">
        <f>BY107*VLOOKUP('Données projet'!$B$12,Paramètres!$A$1:$I$89,3,0)*VLOOKUP('Données projet'!$B$12,Paramètres!$A$1:$I$89,5,0)</f>
        <v>8.9119112089974823E-14</v>
      </c>
      <c r="CA107" s="13">
        <f t="shared" si="93"/>
        <v>1.3568952080113142E-12</v>
      </c>
      <c r="CB107" s="20">
        <f t="shared" si="64"/>
        <v>2.5184749408430782E-12</v>
      </c>
      <c r="CC107" s="59">
        <f t="shared" si="65"/>
        <v>278.48097283106341</v>
      </c>
      <c r="CD107" s="59">
        <f ca="1">AVERAGE(OFFSET($CC$3,0,0,'Données projet'!$E$12+1,1))-AVERAGE(OFFSET($H$3,0,0,'Données projet'!$E$12+1,1))</f>
        <v>290.69667785754848</v>
      </c>
      <c r="CE107" s="59">
        <f t="shared" si="94"/>
        <v>256.28124185489082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16.443679971117035</v>
      </c>
      <c r="CL107" s="21">
        <f>EXP(-LN(2)/25)*CL106+(1-EXP(-LN(2)/25))/(LN(2)/25)*Calculateur!CG107*Calculateur!CI107*VLOOKUP('Données projet'!$B$12,Paramètres!$A$1:$I$89,3,0)*0.475*44/12</f>
        <v>40.675964807884931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57.119644779001966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408.246209980743</v>
      </c>
      <c r="CZ107" s="59">
        <f t="shared" si="96"/>
        <v>394.10236303013903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35.485506083969121</v>
      </c>
      <c r="DG107" s="21">
        <f>EXP(-LN(2)/25)*DG106+(1-EXP(-LN(2)/25))/(LN(2)/25)*Calculateur!DB107*Calculateur!DD107*VLOOKUP('Données projet'!$B$13,Paramètres!$A$1:$I$89,3,0)*0.475*44/12</f>
        <v>28.969927557762791</v>
      </c>
      <c r="DH107" s="21">
        <f>EXP(-LN(2)/2)*DH106+(1-EXP(-LN(2)/2))/(LN(2)/2)*DB107*DE107*VLOOKUP('Données projet'!$B$13,Paramètres!$A$1:$I$89,3,0)*0.475*44/12</f>
        <v>1.6733656879243559E-2</v>
      </c>
      <c r="DI107" s="22">
        <f t="shared" si="69"/>
        <v>64.472167298611154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5.6843418860808015E-13</v>
      </c>
      <c r="DP107" s="17">
        <f>DO107*VLOOKUP('Données projet'!$B$14,Paramètres!$A$1:$I$89,3,0)*VLOOKUP('Données projet'!$B$14,Paramètres!$A$1:$I$89,5,0)</f>
        <v>3.177547114319168E-13</v>
      </c>
      <c r="DQ107" s="13">
        <f t="shared" si="97"/>
        <v>4.1725404435445377E-12</v>
      </c>
      <c r="DR107" s="20">
        <f t="shared" si="70"/>
        <v>7.820597394917325E-12</v>
      </c>
      <c r="DS107" s="59">
        <f t="shared" si="71"/>
        <v>278.48097283106875</v>
      </c>
      <c r="DT107" s="59">
        <f ca="1">AVERAGE(OFFSET($DS$3,0,0,'Données projet'!$E$14+1,1))-AVERAGE(OFFSET($H$3,0,0,'Données projet'!$E$14+1,1))</f>
        <v>407.05634973057056</v>
      </c>
      <c r="DU107" s="59">
        <f t="shared" si="98"/>
        <v>375.32891954889965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117.68203173250834</v>
      </c>
      <c r="EB107" s="21">
        <f>EXP(-LN(2)/25)*EB106+(1-EXP(-LN(2)/25))/(LN(2)/25)*Calculateur!DW107*Calculateur!DY107*VLOOKUP('Données projet'!$B$14,Paramètres!$A$1:$I$89,3,0)*0.475*44/12</f>
        <v>29.903302315761721</v>
      </c>
      <c r="EC107" s="21">
        <f>EXP(-LN(2)/2)*EC106+(1-EXP(-LN(2)/2))/(LN(2)/2)*DW107*DZ107*VLOOKUP('Données projet'!$B$14,Paramètres!$A$1:$I$89,3,0)*0.475*44/12</f>
        <v>5.7606143434768607E-4</v>
      </c>
      <c r="ED107" s="22">
        <f t="shared" si="72"/>
        <v>147.5859101097044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1.1368683772161603E-13</v>
      </c>
      <c r="EK107" s="17">
        <f>EJ107*VLOOKUP('Données projet'!$B$15,Paramètres!$A$1:$I$89,3,0)*VLOOKUP('Données projet'!$B$15,Paramètres!$A$1:$I$89,5,0)</f>
        <v>5.0249582272954292E-14</v>
      </c>
      <c r="EL107" s="13">
        <f t="shared" si="99"/>
        <v>8.1784820119191593E-13</v>
      </c>
      <c r="EM107" s="20">
        <f t="shared" si="73"/>
        <v>1.5119369728679821E-12</v>
      </c>
      <c r="EN107" s="59">
        <f t="shared" si="74"/>
        <v>278.48097283106245</v>
      </c>
      <c r="EO107" s="59">
        <f ca="1">AVERAGE(OFFSET($EN$3,0,0,'Données projet'!$E$15+1,1))-AVERAGE(OFFSET($H$3,0,0,'Données projet'!$E$15+1,1))</f>
        <v>418.28022549686278</v>
      </c>
      <c r="EP107" s="59">
        <f t="shared" si="100"/>
        <v>354.55070454517158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128.46370292244922</v>
      </c>
      <c r="EW107" s="21">
        <f>EXP(-LN(2)/25)*EW106+(1-EXP(-LN(2)/25))/(LN(2)/25)*Calculateur!ER107*Calculateur!ET107*VLOOKUP('Données projet'!$B$15,Paramètres!$A$1:$I$89,3,0)*0.475*44/12</f>
        <v>36.958596015967181</v>
      </c>
      <c r="EX107" s="21">
        <f>EXP(-LN(2)/2)*EX106+(1-EXP(-LN(2)/2))/(LN(2)/2)*ER107*EU107*VLOOKUP('Données projet'!$B$15,Paramètres!$A$1:$I$89,3,0)*0.475*44/12</f>
        <v>1.9190403117266958E-2</v>
      </c>
      <c r="EY107" s="22">
        <f t="shared" si="75"/>
        <v>165.44148934153367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>
        <f>VLOOKUP(A107,'Données projet'!$A$217:$I$237,2,0)</f>
        <v>271.37</v>
      </c>
      <c r="FC107" s="12">
        <f>VLOOKUP(A107,'Données projet'!$A$217:$I$237,9,0)</f>
        <v>6.7777777777777777</v>
      </c>
      <c r="FD107" s="12">
        <f t="array" ref="FD107">INDEX(FC:FC,MIN(IF(ISNUMBER(FC107:FC303),ROW(FC107:FC303),"")))</f>
        <v>6.7777777777777777</v>
      </c>
      <c r="FE107" s="12">
        <f>IF('Données projet'!$A$218&gt;35,FE106+FD107-FM106,IF(A107&lt;'Données projet'!$A$218,$FB$205^A107,IF(A107='Données projet'!$A$218,'Données projet'!$B$218,FE106+FD107-FM106)))</f>
        <v>271.36999999999983</v>
      </c>
      <c r="FF107" s="17">
        <f>FE107*VLOOKUP('Données projet'!$B$16,Paramètres!$A$1:$I$89,3,0)*VLOOKUP('Données projet'!$B$16,Paramètres!$A$1:$I$89,5,0)</f>
        <v>309.03615599999983</v>
      </c>
      <c r="FG107" s="13">
        <f t="shared" si="101"/>
        <v>73.067504716284731</v>
      </c>
      <c r="FH107" s="20">
        <f t="shared" si="76"/>
        <v>665.49720908086226</v>
      </c>
      <c r="FI107" s="59">
        <f t="shared" si="77"/>
        <v>943.97818191192323</v>
      </c>
      <c r="FJ107" s="59">
        <f ca="1">AVERAGE(OFFSET($FI$3,0,0,'Données projet'!$E$16+1,1))-AVERAGE(OFFSET($H$3,0,0,'Données projet'!$E$16+1,1))</f>
        <v>640.05156427113661</v>
      </c>
      <c r="FK107" s="59">
        <f t="shared" si="102"/>
        <v>308.77220155372902</v>
      </c>
      <c r="FL107" s="15">
        <f>IF(ISNA(VLOOKUP(A107,'Données projet'!$A$217:$I$237,3,0)),0,VLOOKUP(A107,'Données projet'!$A$217:$I$237,3,0))</f>
        <v>6</v>
      </c>
      <c r="FM107" s="15">
        <f>IF(ISNA(VLOOKUP(A107,'Données projet'!$A$217:$I$237,4,0)),0,VLOOKUP(A107,'Données projet'!$A$217:$I$237,4,0))</f>
        <v>39.400000000000006</v>
      </c>
      <c r="FN107" s="16">
        <f>IF(ISNA(VLOOKUP(A107,'Données projet'!$A$217:$I$237,5,0)),0%,VLOOKUP(A107,'Données projet'!$A$217:$I$237,5,0)*VLOOKUP('Données projet'!$B$16,Paramètres!$A$1:$I$89,7,0))</f>
        <v>0.15049999999999999</v>
      </c>
      <c r="FO107" s="16">
        <f>IF(ISNA(VLOOKUP(A107,'Données projet'!$A$217:$I$237,6,0)),0%,VLOOKUP(A107,'Données projet'!$A$217:$I$237,6,0)*VLOOKUP('Données projet'!$B$16,Paramètres!$A$1:$I$89,7,0))</f>
        <v>8.6000000000000007E-2</v>
      </c>
      <c r="FP107" s="16">
        <f>IF(ISNA(VLOOKUP(A107,'Données projet'!$A$217:$I$237,7,0)),0%,VLOOKUP(A107,'Données projet'!$A$217:$I$237,7,0))</f>
        <v>0.1</v>
      </c>
      <c r="FQ107" s="21">
        <f>EXP(-LN(2)/35)*FQ106+(1-EXP(-LN(2)/35))/(LN(2)/35)*FM107*FN107*VLOOKUP('Données projet'!$B$16,Paramètres!$A$1:$I$89,3,0)*0.475*44/12</f>
        <v>19.134883091125175</v>
      </c>
      <c r="FR107" s="21">
        <f>EXP(-LN(2)/25)*FR106+(1-EXP(-LN(2)/25))/(LN(2)/25)*Calculateur!FM107*Calculateur!FO107*VLOOKUP('Données projet'!$B$16,Paramètres!$A$1:$I$89,3,0)*0.475*44/12</f>
        <v>33.361472057512231</v>
      </c>
      <c r="FS107" s="21">
        <f>EXP(-LN(2)/2)*FS106+(1-EXP(-LN(2)/2))/(LN(2)/2)*FM107*FP107*VLOOKUP('Données projet'!$B$16,Paramètres!$A$1:$I$89,3,0)*0.475*44/12</f>
        <v>4.4424365712436629</v>
      </c>
      <c r="FT107" s="22">
        <f t="shared" si="78"/>
        <v>56.938791719881067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278.73862808087375</v>
      </c>
      <c r="S108" s="59">
        <f ca="1">AVERAGE(OFFSET($R$3,0,0,'Données projet'!$E$9+1,1))-AVERAGE(OFFSET($H$3,0,0,'Données projet'!$E$9+1,1))</f>
        <v>318.50474972254085</v>
      </c>
      <c r="T108" s="59">
        <f t="shared" si="88"/>
        <v>326.45858332753562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56.959619951956213</v>
      </c>
      <c r="AA108" s="21">
        <f>EXP(-LN(2)/25)*AA107+(1-EXP(-LN(2)/25))/(LN(2)/25)*Calculateur!V108*Calculateur!X108*VLOOKUP('Données projet'!$B$9,Paramètres!$A$1:$I$89,3,0)*0.475*44/12</f>
        <v>13.910885767635422</v>
      </c>
      <c r="AB108" s="21">
        <f>EXP(-LN(2)/2)*AB107+(1-EXP(-LN(2)/2))/(LN(2)/2)*V108*Y108*VLOOKUP('Données projet'!$B$9,Paramètres!$A$1:$I$89,3,0)*0.475*44/12</f>
        <v>1.0108743388682055E-5</v>
      </c>
      <c r="AC108" s="22">
        <f t="shared" si="57"/>
        <v>70.870515828335016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9.1833333333333318</v>
      </c>
      <c r="AI108" s="13">
        <f>IF('Données projet'!$A$62&gt;35,AI107+AH108-AQ107,IF(A108&lt;'Données projet'!$A$62,$AF$205^A108,IF(A108='Données projet'!$A$62,'Données projet'!$B$62,AI107+AH108-AQ107)))</f>
        <v>434.62666666666661</v>
      </c>
      <c r="AJ108" s="13">
        <f>AI108*VLOOKUP('Données projet'!$B$10,Paramètres!$A$1:$I$89,3,0)*VLOOKUP('Données projet'!$B$10,Paramètres!$A$1:$I$89,5,0)</f>
        <v>203.40527999999998</v>
      </c>
      <c r="AK108" s="13">
        <f t="shared" si="89"/>
        <v>50.491808264192287</v>
      </c>
      <c r="AL108" s="20">
        <f t="shared" si="58"/>
        <v>442.20409539346821</v>
      </c>
      <c r="AM108" s="59">
        <f t="shared" si="59"/>
        <v>720.94272347434003</v>
      </c>
      <c r="AN108" s="59">
        <f ca="1">AVERAGE(OFFSET($AM$3,0,0,'Données projet'!$E$10+1,1))-AVERAGE(OFFSET($H$3,0,0,'Données projet'!$E$10+1,1))</f>
        <v>374.38106339726073</v>
      </c>
      <c r="AO108" s="59">
        <f t="shared" si="90"/>
        <v>296.53283288925957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54.043924518422124</v>
      </c>
      <c r="AV108" s="21">
        <f>EXP(-LN(2)/25)*AV107+(1-EXP(-LN(2)/25))/(LN(2)/25)*Calculateur!AQ108*Calculateur!AS108*VLOOKUP('Données projet'!$B$10,Paramètres!$A$1:$I$89,3,0)*0.475*44/12</f>
        <v>18.501912206249195</v>
      </c>
      <c r="AW108" s="21">
        <f>EXP(-LN(2)/2)*AW107+(1-EXP(-LN(2)/2))/(LN(2)/2)*AQ108*AT108*VLOOKUP('Données projet'!$B$10,Paramètres!$A$1:$I$89,3,0)*0.475*44/12</f>
        <v>0.61010431795632092</v>
      </c>
      <c r="AX108" s="21">
        <f t="shared" si="60"/>
        <v>73.155941042627646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8.8449999999999989</v>
      </c>
      <c r="BD108" s="12">
        <f>IF('Données projet'!$A$88&gt;35,BD107+BC108-BL107,IF(A108&lt;'Données projet'!$A$88,$BA$205^A108,IF(A108='Données projet'!$A$88,'Données projet'!$B$88,BD107+BC108-BL107)))</f>
        <v>344.95500000000055</v>
      </c>
      <c r="BE108" s="13">
        <f>BD108*VLOOKUP('Données projet'!$B$11,Paramètres!$A$1:$I$89,3,0)*VLOOKUP('Données projet'!$B$11,Paramètres!$A$1:$I$89,5,0)</f>
        <v>312.11528400000049</v>
      </c>
      <c r="BF108" s="13">
        <f t="shared" si="91"/>
        <v>73.71041067221141</v>
      </c>
      <c r="BG108" s="20">
        <f t="shared" si="61"/>
        <v>671.97975155410234</v>
      </c>
      <c r="BH108" s="59">
        <f t="shared" si="62"/>
        <v>950.7183796349741</v>
      </c>
      <c r="BI108" s="59">
        <f ca="1">AVERAGE(OFFSET($BH$3,0,0,'Données projet'!$E$11+1,1))-AVERAGE(OFFSET($H$3,0,0,'Données projet'!$E$11+1,1))</f>
        <v>681.47578137804555</v>
      </c>
      <c r="BJ108" s="59">
        <f t="shared" si="92"/>
        <v>300.88511065995885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32.44640547166189</v>
      </c>
      <c r="BQ108" s="21">
        <f>EXP(-LN(2)/25)*BQ107+(1-EXP(-LN(2)/25))/(LN(2)/25)*Calculateur!BL108*Calculateur!BN108*VLOOKUP('Données projet'!$B$11,Paramètres!$A$1:$I$89,3,0)*0.475*44/12</f>
        <v>26.285392023986681</v>
      </c>
      <c r="BR108" s="21">
        <f>EXP(-LN(2)/2)*BR107+(1-EXP(-LN(2)/2))/(LN(2)/2)*BL108*BO108*VLOOKUP('Données projet'!$B$11,Paramètres!$A$1:$I$89,3,0)*0.475*44/12</f>
        <v>4.1206685845202227</v>
      </c>
      <c r="BS108" s="22">
        <f t="shared" si="63"/>
        <v>62.852466080168796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8.5265128291212022E-14</v>
      </c>
      <c r="BZ108" s="13">
        <f>BY108*VLOOKUP('Données projet'!$B$12,Paramètres!$A$1:$I$89,3,0)*VLOOKUP('Données projet'!$B$12,Paramètres!$A$1:$I$89,5,0)</f>
        <v>8.9119112089974823E-14</v>
      </c>
      <c r="CA108" s="13">
        <f t="shared" si="93"/>
        <v>1.3568952080113142E-12</v>
      </c>
      <c r="CB108" s="20">
        <f t="shared" si="64"/>
        <v>2.5184749408430782E-12</v>
      </c>
      <c r="CC108" s="59">
        <f t="shared" si="65"/>
        <v>278.73862808087426</v>
      </c>
      <c r="CD108" s="59">
        <f ca="1">AVERAGE(OFFSET($CC$3,0,0,'Données projet'!$E$12+1,1))-AVERAGE(OFFSET($H$3,0,0,'Données projet'!$E$12+1,1))</f>
        <v>290.69667785754848</v>
      </c>
      <c r="CE108" s="59">
        <f t="shared" si="94"/>
        <v>256.28124185489082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16.121229436537867</v>
      </c>
      <c r="CL108" s="21">
        <f>EXP(-LN(2)/25)*CL107+(1-EXP(-LN(2)/25))/(LN(2)/25)*Calculateur!CG108*Calculateur!CI108*VLOOKUP('Données projet'!$B$12,Paramètres!$A$1:$I$89,3,0)*0.475*44/12</f>
        <v>39.563678411157298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55.684907847695165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408.246209980743</v>
      </c>
      <c r="CZ108" s="59">
        <f t="shared" si="96"/>
        <v>394.10236303013903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34.78965695368403</v>
      </c>
      <c r="DG108" s="21">
        <f>EXP(-LN(2)/25)*DG107+(1-EXP(-LN(2)/25))/(LN(2)/25)*Calculateur!DB108*Calculateur!DD108*VLOOKUP('Données projet'!$B$13,Paramètres!$A$1:$I$89,3,0)*0.475*44/12</f>
        <v>28.177743365233489</v>
      </c>
      <c r="DH108" s="21">
        <f>EXP(-LN(2)/2)*DH107+(1-EXP(-LN(2)/2))/(LN(2)/2)*DB108*DE108*VLOOKUP('Données projet'!$B$13,Paramètres!$A$1:$I$89,3,0)*0.475*44/12</f>
        <v>1.1832482253362041E-2</v>
      </c>
      <c r="DI108" s="22">
        <f t="shared" si="69"/>
        <v>62.97923280117088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5.6843418860808015E-13</v>
      </c>
      <c r="DP108" s="17">
        <f>DO108*VLOOKUP('Données projet'!$B$14,Paramètres!$A$1:$I$89,3,0)*VLOOKUP('Données projet'!$B$14,Paramètres!$A$1:$I$89,5,0)</f>
        <v>3.177547114319168E-13</v>
      </c>
      <c r="DQ108" s="13">
        <f t="shared" si="97"/>
        <v>4.1725404435445377E-12</v>
      </c>
      <c r="DR108" s="20">
        <f t="shared" si="70"/>
        <v>7.820597394917325E-12</v>
      </c>
      <c r="DS108" s="59">
        <f t="shared" si="71"/>
        <v>278.73862808087961</v>
      </c>
      <c r="DT108" s="59">
        <f ca="1">AVERAGE(OFFSET($DS$3,0,0,'Données projet'!$E$14+1,1))-AVERAGE(OFFSET($H$3,0,0,'Données projet'!$E$14+1,1))</f>
        <v>407.05634973057056</v>
      </c>
      <c r="DU108" s="59">
        <f t="shared" si="98"/>
        <v>375.32891954889965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115.37435886918563</v>
      </c>
      <c r="EB108" s="21">
        <f>EXP(-LN(2)/25)*EB107+(1-EXP(-LN(2)/25))/(LN(2)/25)*Calculateur!DW108*Calculateur!DY108*VLOOKUP('Données projet'!$B$14,Paramètres!$A$1:$I$89,3,0)*0.475*44/12</f>
        <v>29.085594941390891</v>
      </c>
      <c r="EC108" s="21">
        <f>EXP(-LN(2)/2)*EC107+(1-EXP(-LN(2)/2))/(LN(2)/2)*DW108*DZ108*VLOOKUP('Données projet'!$B$14,Paramètres!$A$1:$I$89,3,0)*0.475*44/12</f>
        <v>4.0733694660729798E-4</v>
      </c>
      <c r="ED108" s="22">
        <f t="shared" si="72"/>
        <v>144.46036114752312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1.1368683772161603E-13</v>
      </c>
      <c r="EK108" s="17">
        <f>EJ108*VLOOKUP('Données projet'!$B$15,Paramètres!$A$1:$I$89,3,0)*VLOOKUP('Données projet'!$B$15,Paramètres!$A$1:$I$89,5,0)</f>
        <v>5.0249582272954292E-14</v>
      </c>
      <c r="EL108" s="13">
        <f t="shared" si="99"/>
        <v>8.1784820119191593E-13</v>
      </c>
      <c r="EM108" s="20">
        <f t="shared" si="73"/>
        <v>1.5119369728679821E-12</v>
      </c>
      <c r="EN108" s="59">
        <f t="shared" si="74"/>
        <v>278.7386280808733</v>
      </c>
      <c r="EO108" s="59">
        <f ca="1">AVERAGE(OFFSET($EN$3,0,0,'Données projet'!$E$15+1,1))-AVERAGE(OFFSET($H$3,0,0,'Données projet'!$E$15+1,1))</f>
        <v>418.28022549686278</v>
      </c>
      <c r="EP108" s="59">
        <f t="shared" si="100"/>
        <v>354.55070454517158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125.94460806326184</v>
      </c>
      <c r="EW108" s="21">
        <f>EXP(-LN(2)/25)*EW107+(1-EXP(-LN(2)/25))/(LN(2)/25)*Calculateur!ER108*Calculateur!ET108*VLOOKUP('Données projet'!$B$15,Paramètres!$A$1:$I$89,3,0)*0.475*44/12</f>
        <v>35.947961264342467</v>
      </c>
      <c r="EX108" s="21">
        <f>EXP(-LN(2)/2)*EX107+(1-EXP(-LN(2)/2))/(LN(2)/2)*ER108*EU108*VLOOKUP('Données projet'!$B$15,Paramètres!$A$1:$I$89,3,0)*0.475*44/12</f>
        <v>1.3569664177922927E-2</v>
      </c>
      <c r="EY108" s="22">
        <f t="shared" si="75"/>
        <v>161.90613899178223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6.8811111111111085</v>
      </c>
      <c r="FE108" s="12">
        <f>IF('Données projet'!$A$218&gt;35,FE107+FD108-FM107,IF(A108&lt;'Données projet'!$A$218,$FB$205^A108,IF(A108='Données projet'!$A$218,'Données projet'!$B$218,FE107+FD108-FM107)))</f>
        <v>238.85111111111095</v>
      </c>
      <c r="FF108" s="17">
        <f>FE108*VLOOKUP('Données projet'!$B$16,Paramètres!$A$1:$I$89,3,0)*VLOOKUP('Données projet'!$B$16,Paramètres!$A$1:$I$89,5,0)</f>
        <v>272.00364533333311</v>
      </c>
      <c r="FG108" s="13">
        <f t="shared" si="101"/>
        <v>65.274310248407801</v>
      </c>
      <c r="FH108" s="20">
        <f t="shared" si="76"/>
        <v>587.42577263819874</v>
      </c>
      <c r="FI108" s="59">
        <f t="shared" si="77"/>
        <v>866.1644007190705</v>
      </c>
      <c r="FJ108" s="59">
        <f ca="1">AVERAGE(OFFSET($FI$3,0,0,'Données projet'!$E$16+1,1))-AVERAGE(OFFSET($H$3,0,0,'Données projet'!$E$16+1,1))</f>
        <v>640.05156427113661</v>
      </c>
      <c r="FK108" s="59">
        <f t="shared" si="102"/>
        <v>308.77220155372902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18.759659704834469</v>
      </c>
      <c r="FR108" s="21">
        <f>EXP(-LN(2)/25)*FR107+(1-EXP(-LN(2)/25))/(LN(2)/25)*Calculateur!FM108*Calculateur!FO108*VLOOKUP('Données projet'!$B$16,Paramètres!$A$1:$I$89,3,0)*0.475*44/12</f>
        <v>32.449200849695991</v>
      </c>
      <c r="FS108" s="21">
        <f>EXP(-LN(2)/2)*FS107+(1-EXP(-LN(2)/2))/(LN(2)/2)*FM108*FP108*VLOOKUP('Données projet'!$B$16,Paramètres!$A$1:$I$89,3,0)*0.475*44/12</f>
        <v>3.1412770245175095</v>
      </c>
      <c r="FT108" s="22">
        <f t="shared" si="78"/>
        <v>54.350137579047967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278.99181358813109</v>
      </c>
      <c r="S109" s="59">
        <f ca="1">AVERAGE(OFFSET($R$3,0,0,'Données projet'!$E$9+1,1))-AVERAGE(OFFSET($H$3,0,0,'Données projet'!$E$9+1,1))</f>
        <v>318.50474972254085</v>
      </c>
      <c r="T109" s="59">
        <f t="shared" si="88"/>
        <v>326.45858332753562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55.842676546636042</v>
      </c>
      <c r="AA109" s="21">
        <f>EXP(-LN(2)/25)*AA108+(1-EXP(-LN(2)/25))/(LN(2)/25)*Calculateur!V109*Calculateur!X109*VLOOKUP('Données projet'!$B$9,Paramètres!$A$1:$I$89,3,0)*0.475*44/12</f>
        <v>13.530491864777742</v>
      </c>
      <c r="AB109" s="21">
        <f>EXP(-LN(2)/2)*AB108+(1-EXP(-LN(2)/2))/(LN(2)/2)*V109*Y109*VLOOKUP('Données projet'!$B$9,Paramètres!$A$1:$I$89,3,0)*0.475*44/12</f>
        <v>7.147960999411761E-6</v>
      </c>
      <c r="AC109" s="22">
        <f t="shared" si="57"/>
        <v>69.373175559374786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9.1833333333333318</v>
      </c>
      <c r="AI109" s="13">
        <f>IF('Données projet'!$A$62&gt;35,AI108+AH109-AQ108,IF(A109&lt;'Données projet'!$A$62,$AF$205^A109,IF(A109='Données projet'!$A$62,'Données projet'!$B$62,AI108+AH109-AQ108)))</f>
        <v>443.80999999999995</v>
      </c>
      <c r="AJ109" s="13">
        <f>AI109*VLOOKUP('Données projet'!$B$10,Paramètres!$A$1:$I$89,3,0)*VLOOKUP('Données projet'!$B$10,Paramètres!$A$1:$I$89,5,0)</f>
        <v>207.70307999999997</v>
      </c>
      <c r="AK109" s="13">
        <f t="shared" si="89"/>
        <v>51.433330061385618</v>
      </c>
      <c r="AL109" s="20">
        <f t="shared" si="58"/>
        <v>451.32924752357991</v>
      </c>
      <c r="AM109" s="59">
        <f t="shared" si="59"/>
        <v>730.32106111170901</v>
      </c>
      <c r="AN109" s="59">
        <f ca="1">AVERAGE(OFFSET($AM$3,0,0,'Données projet'!$E$10+1,1))-AVERAGE(OFFSET($H$3,0,0,'Données projet'!$E$10+1,1))</f>
        <v>374.38106339726073</v>
      </c>
      <c r="AO109" s="59">
        <f t="shared" si="90"/>
        <v>296.53283288925957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52.984156122154943</v>
      </c>
      <c r="AV109" s="21">
        <f>EXP(-LN(2)/25)*AV108+(1-EXP(-LN(2)/25))/(LN(2)/25)*Calculateur!AQ109*Calculateur!AS109*VLOOKUP('Données projet'!$B$10,Paramètres!$A$1:$I$89,3,0)*0.475*44/12</f>
        <v>17.995976443996035</v>
      </c>
      <c r="AW109" s="21">
        <f>EXP(-LN(2)/2)*AW108+(1-EXP(-LN(2)/2))/(LN(2)/2)*AQ109*AT109*VLOOKUP('Données projet'!$B$10,Paramètres!$A$1:$I$89,3,0)*0.475*44/12</f>
        <v>0.43140890045810804</v>
      </c>
      <c r="AX109" s="21">
        <f t="shared" si="60"/>
        <v>71.411541466609094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8.8449999999999989</v>
      </c>
      <c r="BD109" s="12">
        <f>IF('Données projet'!$A$88&gt;35,BD108+BC109-BL108,IF(A109&lt;'Données projet'!$A$88,$BA$205^A109,IF(A109='Données projet'!$A$88,'Données projet'!$B$88,BD108+BC109-BL108)))</f>
        <v>353.80000000000052</v>
      </c>
      <c r="BE109" s="13">
        <f>BD109*VLOOKUP('Données projet'!$B$11,Paramètres!$A$1:$I$89,3,0)*VLOOKUP('Données projet'!$B$11,Paramètres!$A$1:$I$89,5,0)</f>
        <v>320.11824000000047</v>
      </c>
      <c r="BF109" s="13">
        <f t="shared" si="91"/>
        <v>75.377955265343587</v>
      </c>
      <c r="BG109" s="20">
        <f t="shared" si="61"/>
        <v>688.82254008714096</v>
      </c>
      <c r="BH109" s="59">
        <f t="shared" si="62"/>
        <v>967.81435367527001</v>
      </c>
      <c r="BI109" s="59">
        <f ca="1">AVERAGE(OFFSET($BH$3,0,0,'Données projet'!$E$11+1,1))-AVERAGE(OFFSET($H$3,0,0,'Données projet'!$E$11+1,1))</f>
        <v>681.47578137804555</v>
      </c>
      <c r="BJ109" s="59">
        <f t="shared" si="92"/>
        <v>300.88511065995885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31.810151250715805</v>
      </c>
      <c r="BQ109" s="21">
        <f>EXP(-LN(2)/25)*BQ108+(1-EXP(-LN(2)/25))/(LN(2)/25)*Calculateur!BL109*Calculateur!BN109*VLOOKUP('Données projet'!$B$11,Paramètres!$A$1:$I$89,3,0)*0.475*44/12</f>
        <v>25.566616596802074</v>
      </c>
      <c r="BR109" s="21">
        <f>EXP(-LN(2)/2)*BR108+(1-EXP(-LN(2)/2))/(LN(2)/2)*BL109*BO109*VLOOKUP('Données projet'!$B$11,Paramètres!$A$1:$I$89,3,0)*0.475*44/12</f>
        <v>2.9137526991366216</v>
      </c>
      <c r="BS109" s="22">
        <f t="shared" si="63"/>
        <v>60.290520546654506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8.5265128291212022E-14</v>
      </c>
      <c r="BZ109" s="13">
        <f>BY109*VLOOKUP('Données projet'!$B$12,Paramètres!$A$1:$I$89,3,0)*VLOOKUP('Données projet'!$B$12,Paramètres!$A$1:$I$89,5,0)</f>
        <v>8.9119112089974823E-14</v>
      </c>
      <c r="CA109" s="13">
        <f t="shared" si="93"/>
        <v>1.3568952080113142E-12</v>
      </c>
      <c r="CB109" s="20">
        <f t="shared" si="64"/>
        <v>2.5184749408430782E-12</v>
      </c>
      <c r="CC109" s="59">
        <f t="shared" si="65"/>
        <v>278.99181358813161</v>
      </c>
      <c r="CD109" s="59">
        <f ca="1">AVERAGE(OFFSET($CC$3,0,0,'Données projet'!$E$12+1,1))-AVERAGE(OFFSET($H$3,0,0,'Données projet'!$E$12+1,1))</f>
        <v>290.69667785754848</v>
      </c>
      <c r="CE109" s="59">
        <f t="shared" si="94"/>
        <v>256.28124185489082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15.80510196026639</v>
      </c>
      <c r="CL109" s="21">
        <f>EXP(-LN(2)/25)*CL108+(1-EXP(-LN(2)/25))/(LN(2)/25)*Calculateur!CG109*Calculateur!CI109*VLOOKUP('Données projet'!$B$12,Paramètres!$A$1:$I$89,3,0)*0.475*44/12</f>
        <v>38.481807544440777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54.286909504707168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408.246209980743</v>
      </c>
      <c r="CZ109" s="59">
        <f t="shared" si="96"/>
        <v>394.10236303013903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34.10745300041777</v>
      </c>
      <c r="DG109" s="21">
        <f>EXP(-LN(2)/25)*DG108+(1-EXP(-LN(2)/25))/(LN(2)/25)*Calculateur!DB109*Calculateur!DD109*VLOOKUP('Données projet'!$B$13,Paramètres!$A$1:$I$89,3,0)*0.475*44/12</f>
        <v>27.407221491108057</v>
      </c>
      <c r="DH109" s="21">
        <f>EXP(-LN(2)/2)*DH108+(1-EXP(-LN(2)/2))/(LN(2)/2)*DB109*DE109*VLOOKUP('Données projet'!$B$13,Paramètres!$A$1:$I$89,3,0)*0.475*44/12</f>
        <v>8.3668284396217797E-3</v>
      </c>
      <c r="DI109" s="22">
        <f t="shared" si="69"/>
        <v>61.523041319965444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5.6843418860808015E-13</v>
      </c>
      <c r="DP109" s="17">
        <f>DO109*VLOOKUP('Données projet'!$B$14,Paramètres!$A$1:$I$89,3,0)*VLOOKUP('Données projet'!$B$14,Paramètres!$A$1:$I$89,5,0)</f>
        <v>3.177547114319168E-13</v>
      </c>
      <c r="DQ109" s="13">
        <f t="shared" si="97"/>
        <v>4.1725404435445377E-12</v>
      </c>
      <c r="DR109" s="20">
        <f t="shared" si="70"/>
        <v>7.820597394917325E-12</v>
      </c>
      <c r="DS109" s="59">
        <f t="shared" si="71"/>
        <v>278.99181358813695</v>
      </c>
      <c r="DT109" s="59">
        <f ca="1">AVERAGE(OFFSET($DS$3,0,0,'Données projet'!$E$14+1,1))-AVERAGE(OFFSET($H$3,0,0,'Données projet'!$E$14+1,1))</f>
        <v>407.05634973057056</v>
      </c>
      <c r="DU109" s="59">
        <f t="shared" si="98"/>
        <v>375.32891954889965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113.11193806317121</v>
      </c>
      <c r="EB109" s="21">
        <f>EXP(-LN(2)/25)*EB108+(1-EXP(-LN(2)/25))/(LN(2)/25)*Calculateur!DW109*Calculateur!DY109*VLOOKUP('Données projet'!$B$14,Paramètres!$A$1:$I$89,3,0)*0.475*44/12</f>
        <v>28.290247818173594</v>
      </c>
      <c r="EC109" s="21">
        <f>EXP(-LN(2)/2)*EC108+(1-EXP(-LN(2)/2))/(LN(2)/2)*DW109*DZ109*VLOOKUP('Données projet'!$B$14,Paramètres!$A$1:$I$89,3,0)*0.475*44/12</f>
        <v>2.8803071717384304E-4</v>
      </c>
      <c r="ED109" s="22">
        <f t="shared" si="72"/>
        <v>141.40247391206196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1.1368683772161603E-13</v>
      </c>
      <c r="EK109" s="17">
        <f>EJ109*VLOOKUP('Données projet'!$B$15,Paramètres!$A$1:$I$89,3,0)*VLOOKUP('Données projet'!$B$15,Paramètres!$A$1:$I$89,5,0)</f>
        <v>5.0249582272954292E-14</v>
      </c>
      <c r="EL109" s="13">
        <f t="shared" si="99"/>
        <v>8.1784820119191593E-13</v>
      </c>
      <c r="EM109" s="20">
        <f t="shared" si="73"/>
        <v>1.5119369728679821E-12</v>
      </c>
      <c r="EN109" s="59">
        <f t="shared" si="74"/>
        <v>278.99181358813064</v>
      </c>
      <c r="EO109" s="59">
        <f ca="1">AVERAGE(OFFSET($EN$3,0,0,'Données projet'!$E$15+1,1))-AVERAGE(OFFSET($H$3,0,0,'Données projet'!$E$15+1,1))</f>
        <v>418.28022549686278</v>
      </c>
      <c r="EP109" s="59">
        <f t="shared" si="100"/>
        <v>354.55070454517158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123.47491111776698</v>
      </c>
      <c r="EW109" s="21">
        <f>EXP(-LN(2)/25)*EW108+(1-EXP(-LN(2)/25))/(LN(2)/25)*Calculateur!ER109*Calculateur!ET109*VLOOKUP('Données projet'!$B$15,Paramètres!$A$1:$I$89,3,0)*0.475*44/12</f>
        <v>34.964962373147898</v>
      </c>
      <c r="EX109" s="21">
        <f>EXP(-LN(2)/2)*EX108+(1-EXP(-LN(2)/2))/(LN(2)/2)*ER109*EU109*VLOOKUP('Données projet'!$B$15,Paramètres!$A$1:$I$89,3,0)*0.475*44/12</f>
        <v>9.5952015586334791E-3</v>
      </c>
      <c r="EY109" s="22">
        <f t="shared" si="75"/>
        <v>158.44946869247349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6.8811111111111085</v>
      </c>
      <c r="FE109" s="12">
        <f>IF('Données projet'!$A$218&gt;35,FE108+FD109-FM108,IF(A109&lt;'Données projet'!$A$218,$FB$205^A109,IF(A109='Données projet'!$A$218,'Données projet'!$B$218,FE108+FD109-FM108)))</f>
        <v>245.73222222222205</v>
      </c>
      <c r="FF109" s="17">
        <f>FE109*VLOOKUP('Données projet'!$B$16,Paramètres!$A$1:$I$89,3,0)*VLOOKUP('Données projet'!$B$16,Paramètres!$A$1:$I$89,5,0)</f>
        <v>279.8398546666665</v>
      </c>
      <c r="FG109" s="13">
        <f t="shared" si="101"/>
        <v>66.933164441747081</v>
      </c>
      <c r="FH109" s="20">
        <f t="shared" si="76"/>
        <v>603.96300828048697</v>
      </c>
      <c r="FI109" s="59">
        <f t="shared" si="77"/>
        <v>882.95482186861614</v>
      </c>
      <c r="FJ109" s="59">
        <f ca="1">AVERAGE(OFFSET($FI$3,0,0,'Données projet'!$E$16+1,1))-AVERAGE(OFFSET($H$3,0,0,'Données projet'!$E$16+1,1))</f>
        <v>640.05156427113661</v>
      </c>
      <c r="FK109" s="59">
        <f t="shared" si="102"/>
        <v>308.77220155372902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18.391794220285256</v>
      </c>
      <c r="FR109" s="21">
        <f>EXP(-LN(2)/25)*FR108+(1-EXP(-LN(2)/25))/(LN(2)/25)*Calculateur!FM109*Calculateur!FO109*VLOOKUP('Données projet'!$B$16,Paramètres!$A$1:$I$89,3,0)*0.475*44/12</f>
        <v>31.561875746031745</v>
      </c>
      <c r="FS109" s="21">
        <f>EXP(-LN(2)/2)*FS108+(1-EXP(-LN(2)/2))/(LN(2)/2)*FM109*FP109*VLOOKUP('Données projet'!$B$16,Paramètres!$A$1:$I$89,3,0)*0.475*44/12</f>
        <v>2.2212182856218319</v>
      </c>
      <c r="FT109" s="22">
        <f t="shared" si="78"/>
        <v>52.174888251938832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279.24060689287563</v>
      </c>
      <c r="S110" s="59">
        <f ca="1">AVERAGE(OFFSET($R$3,0,0,'Données projet'!$E$9+1,1))-AVERAGE(OFFSET($H$3,0,0,'Données projet'!$E$9+1,1))</f>
        <v>318.50474972254085</v>
      </c>
      <c r="T110" s="59">
        <f t="shared" si="88"/>
        <v>326.45858332753562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54.747635720225993</v>
      </c>
      <c r="AA110" s="21">
        <f>EXP(-LN(2)/25)*AA109+(1-EXP(-LN(2)/25))/(LN(2)/25)*Calculateur!V110*Calculateur!X110*VLOOKUP('Données projet'!$B$9,Paramètres!$A$1:$I$89,3,0)*0.475*44/12</f>
        <v>13.160499853197752</v>
      </c>
      <c r="AB110" s="21">
        <f>EXP(-LN(2)/2)*AB109+(1-EXP(-LN(2)/2))/(LN(2)/2)*V110*Y110*VLOOKUP('Données projet'!$B$9,Paramètres!$A$1:$I$89,3,0)*0.475*44/12</f>
        <v>5.0543716943410276E-6</v>
      </c>
      <c r="AC110" s="22">
        <f t="shared" si="57"/>
        <v>67.908140627795447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9.1833333333333318</v>
      </c>
      <c r="AI110" s="13">
        <f>IF('Données projet'!$A$62&gt;35,AI109+AH110-AQ109,IF(A110&lt;'Données projet'!$A$62,$AF$205^A110,IF(A110='Données projet'!$A$62,'Données projet'!$B$62,AI109+AH110-AQ109)))</f>
        <v>452.99333333333328</v>
      </c>
      <c r="AJ110" s="13">
        <f>AI110*VLOOKUP('Données projet'!$B$10,Paramètres!$A$1:$I$89,3,0)*VLOOKUP('Données projet'!$B$10,Paramètres!$A$1:$I$89,5,0)</f>
        <v>212.00088</v>
      </c>
      <c r="AK110" s="13">
        <f t="shared" si="89"/>
        <v>52.372586711125109</v>
      </c>
      <c r="AL110" s="20">
        <f t="shared" si="58"/>
        <v>460.45045452187622</v>
      </c>
      <c r="AM110" s="59">
        <f t="shared" si="59"/>
        <v>739.69106141474981</v>
      </c>
      <c r="AN110" s="59">
        <f ca="1">AVERAGE(OFFSET($AM$3,0,0,'Données projet'!$E$10+1,1))-AVERAGE(OFFSET($H$3,0,0,'Données projet'!$E$10+1,1))</f>
        <v>374.38106339726073</v>
      </c>
      <c r="AO110" s="59">
        <f t="shared" si="90"/>
        <v>296.53283288925957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51.945169137743669</v>
      </c>
      <c r="AV110" s="21">
        <f>EXP(-LN(2)/25)*AV109+(1-EXP(-LN(2)/25))/(LN(2)/25)*Calculateur!AQ110*Calculateur!AS110*VLOOKUP('Données projet'!$B$10,Paramètres!$A$1:$I$89,3,0)*0.475*44/12</f>
        <v>17.503875521767693</v>
      </c>
      <c r="AW110" s="21">
        <f>EXP(-LN(2)/2)*AW109+(1-EXP(-LN(2)/2))/(LN(2)/2)*AQ110*AT110*VLOOKUP('Données projet'!$B$10,Paramètres!$A$1:$I$89,3,0)*0.475*44/12</f>
        <v>0.30505215897816046</v>
      </c>
      <c r="AX110" s="21">
        <f t="shared" si="60"/>
        <v>69.754096818489515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8.8449999999999989</v>
      </c>
      <c r="BD110" s="12">
        <f>IF('Données projet'!$A$88&gt;35,BD109+BC110-BL109,IF(A110&lt;'Données projet'!$A$88,$BA$205^A110,IF(A110='Données projet'!$A$88,'Données projet'!$B$88,BD109+BC110-BL109)))</f>
        <v>362.64500000000055</v>
      </c>
      <c r="BE110" s="13">
        <f>BD110*VLOOKUP('Données projet'!$B$11,Paramètres!$A$1:$I$89,3,0)*VLOOKUP('Données projet'!$B$11,Paramètres!$A$1:$I$89,5,0)</f>
        <v>328.12119600000045</v>
      </c>
      <c r="BF110" s="13">
        <f t="shared" si="91"/>
        <v>77.040653823854953</v>
      </c>
      <c r="BG110" s="20">
        <f t="shared" si="61"/>
        <v>705.65688844321483</v>
      </c>
      <c r="BH110" s="59">
        <f t="shared" si="62"/>
        <v>984.89749533608847</v>
      </c>
      <c r="BI110" s="59">
        <f ca="1">AVERAGE(OFFSET($BH$3,0,0,'Données projet'!$E$11+1,1))-AVERAGE(OFFSET($H$3,0,0,'Données projet'!$E$11+1,1))</f>
        <v>681.47578137804555</v>
      </c>
      <c r="BJ110" s="59">
        <f t="shared" si="92"/>
        <v>300.88511065995885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31.186373586965715</v>
      </c>
      <c r="BQ110" s="21">
        <f>EXP(-LN(2)/25)*BQ109+(1-EXP(-LN(2)/25))/(LN(2)/25)*Calculateur!BL110*Calculateur!BN110*VLOOKUP('Données projet'!$B$11,Paramètres!$A$1:$I$89,3,0)*0.475*44/12</f>
        <v>24.867496121472588</v>
      </c>
      <c r="BR110" s="21">
        <f>EXP(-LN(2)/2)*BR109+(1-EXP(-LN(2)/2))/(LN(2)/2)*BL110*BO110*VLOOKUP('Données projet'!$B$11,Paramètres!$A$1:$I$89,3,0)*0.475*44/12</f>
        <v>2.0603342922601113</v>
      </c>
      <c r="BS110" s="22">
        <f t="shared" si="63"/>
        <v>58.114204000698408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8.5265128291212022E-14</v>
      </c>
      <c r="BZ110" s="13">
        <f>BY110*VLOOKUP('Données projet'!$B$12,Paramètres!$A$1:$I$89,3,0)*VLOOKUP('Données projet'!$B$12,Paramètres!$A$1:$I$89,5,0)</f>
        <v>8.9119112089974823E-14</v>
      </c>
      <c r="CA110" s="13">
        <f t="shared" si="93"/>
        <v>1.3568952080113142E-12</v>
      </c>
      <c r="CB110" s="20">
        <f t="shared" si="64"/>
        <v>2.5184749408430782E-12</v>
      </c>
      <c r="CC110" s="59">
        <f t="shared" si="65"/>
        <v>279.24060689287614</v>
      </c>
      <c r="CD110" s="59">
        <f ca="1">AVERAGE(OFFSET($CC$3,0,0,'Données projet'!$E$12+1,1))-AVERAGE(OFFSET($H$3,0,0,'Données projet'!$E$12+1,1))</f>
        <v>290.69667785754848</v>
      </c>
      <c r="CE110" s="59">
        <f t="shared" si="94"/>
        <v>256.28124185489082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15.495173550985875</v>
      </c>
      <c r="CL110" s="21">
        <f>EXP(-LN(2)/25)*CL109+(1-EXP(-LN(2)/25))/(LN(2)/25)*Calculateur!CG110*Calculateur!CI110*VLOOKUP('Données projet'!$B$12,Paramètres!$A$1:$I$89,3,0)*0.475*44/12</f>
        <v>37.429520493467734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52.924694044453609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408.246209980743</v>
      </c>
      <c r="CZ110" s="59">
        <f t="shared" si="96"/>
        <v>394.10236303013903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33.438626650571734</v>
      </c>
      <c r="DG110" s="21">
        <f>EXP(-LN(2)/25)*DG109+(1-EXP(-LN(2)/25))/(LN(2)/25)*Calculateur!DB110*Calculateur!DD110*VLOOKUP('Données projet'!$B$13,Paramètres!$A$1:$I$89,3,0)*0.475*44/12</f>
        <v>26.657769578150567</v>
      </c>
      <c r="DH110" s="21">
        <f>EXP(-LN(2)/2)*DH109+(1-EXP(-LN(2)/2))/(LN(2)/2)*DB110*DE110*VLOOKUP('Données projet'!$B$13,Paramètres!$A$1:$I$89,3,0)*0.475*44/12</f>
        <v>5.9162411266810207E-3</v>
      </c>
      <c r="DI110" s="22">
        <f t="shared" si="69"/>
        <v>60.102312469848982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5.6843418860808015E-13</v>
      </c>
      <c r="DP110" s="17">
        <f>DO110*VLOOKUP('Données projet'!$B$14,Paramètres!$A$1:$I$89,3,0)*VLOOKUP('Données projet'!$B$14,Paramètres!$A$1:$I$89,5,0)</f>
        <v>3.177547114319168E-13</v>
      </c>
      <c r="DQ110" s="13">
        <f t="shared" si="97"/>
        <v>4.1725404435445377E-12</v>
      </c>
      <c r="DR110" s="20">
        <f t="shared" si="70"/>
        <v>7.820597394917325E-12</v>
      </c>
      <c r="DS110" s="59">
        <f t="shared" si="71"/>
        <v>279.24060689288149</v>
      </c>
      <c r="DT110" s="59">
        <f ca="1">AVERAGE(OFFSET($DS$3,0,0,'Données projet'!$E$14+1,1))-AVERAGE(OFFSET($H$3,0,0,'Données projet'!$E$14+1,1))</f>
        <v>407.05634973057056</v>
      </c>
      <c r="DU110" s="59">
        <f t="shared" si="98"/>
        <v>375.32891954889965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110.8938819492223</v>
      </c>
      <c r="EB110" s="21">
        <f>EXP(-LN(2)/25)*EB109+(1-EXP(-LN(2)/25))/(LN(2)/25)*Calculateur!DW110*Calculateur!DY110*VLOOKUP('Données projet'!$B$14,Paramètres!$A$1:$I$89,3,0)*0.475*44/12</f>
        <v>27.516649503866162</v>
      </c>
      <c r="EC110" s="21">
        <f>EXP(-LN(2)/2)*EC109+(1-EXP(-LN(2)/2))/(LN(2)/2)*DW110*DZ110*VLOOKUP('Données projet'!$B$14,Paramètres!$A$1:$I$89,3,0)*0.475*44/12</f>
        <v>2.0366847330364899E-4</v>
      </c>
      <c r="ED110" s="22">
        <f t="shared" si="72"/>
        <v>138.41073512156177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1.1368683772161603E-13</v>
      </c>
      <c r="EK110" s="17">
        <f>EJ110*VLOOKUP('Données projet'!$B$15,Paramètres!$A$1:$I$89,3,0)*VLOOKUP('Données projet'!$B$15,Paramètres!$A$1:$I$89,5,0)</f>
        <v>5.0249582272954292E-14</v>
      </c>
      <c r="EL110" s="13">
        <f t="shared" si="99"/>
        <v>8.1784820119191593E-13</v>
      </c>
      <c r="EM110" s="20">
        <f t="shared" si="73"/>
        <v>1.5119369728679821E-12</v>
      </c>
      <c r="EN110" s="59">
        <f t="shared" si="74"/>
        <v>279.24060689287518</v>
      </c>
      <c r="EO110" s="59">
        <f ca="1">AVERAGE(OFFSET($EN$3,0,0,'Données projet'!$E$15+1,1))-AVERAGE(OFFSET($H$3,0,0,'Données projet'!$E$15+1,1))</f>
        <v>418.28022549686278</v>
      </c>
      <c r="EP110" s="59">
        <f t="shared" si="100"/>
        <v>354.55070454517158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121.05364342300689</v>
      </c>
      <c r="EW110" s="21">
        <f>EXP(-LN(2)/25)*EW109+(1-EXP(-LN(2)/25))/(LN(2)/25)*Calculateur!ER110*Calculateur!ET110*VLOOKUP('Données projet'!$B$15,Paramètres!$A$1:$I$89,3,0)*0.475*44/12</f>
        <v>34.008843638326709</v>
      </c>
      <c r="EX110" s="21">
        <f>EXP(-LN(2)/2)*EX109+(1-EXP(-LN(2)/2))/(LN(2)/2)*ER110*EU110*VLOOKUP('Données projet'!$B$15,Paramètres!$A$1:$I$89,3,0)*0.475*44/12</f>
        <v>6.7848320889614634E-3</v>
      </c>
      <c r="EY110" s="22">
        <f t="shared" si="75"/>
        <v>155.06927189342255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6.8811111111111085</v>
      </c>
      <c r="FE110" s="12">
        <f>IF('Données projet'!$A$218&gt;35,FE109+FD110-FM109,IF(A110&lt;'Données projet'!$A$218,$FB$205^A110,IF(A110='Données projet'!$A$218,'Données projet'!$B$218,FE109+FD110-FM109)))</f>
        <v>252.61333333333314</v>
      </c>
      <c r="FF110" s="17">
        <f>FE110*VLOOKUP('Données projet'!$B$16,Paramètres!$A$1:$I$89,3,0)*VLOOKUP('Données projet'!$B$16,Paramètres!$A$1:$I$89,5,0)</f>
        <v>287.67606399999983</v>
      </c>
      <c r="FG110" s="13">
        <f t="shared" si="101"/>
        <v>68.586619675955717</v>
      </c>
      <c r="FH110" s="20">
        <f t="shared" si="76"/>
        <v>620.49084073562256</v>
      </c>
      <c r="FI110" s="59">
        <f t="shared" si="77"/>
        <v>899.7314476284962</v>
      </c>
      <c r="FJ110" s="59">
        <f ca="1">AVERAGE(OFFSET($FI$3,0,0,'Données projet'!$E$16+1,1))-AVERAGE(OFFSET($H$3,0,0,'Données projet'!$E$16+1,1))</f>
        <v>640.05156427113661</v>
      </c>
      <c r="FK110" s="59">
        <f t="shared" si="102"/>
        <v>308.77220155372902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18.031142353512262</v>
      </c>
      <c r="FR110" s="21">
        <f>EXP(-LN(2)/25)*FR109+(1-EXP(-LN(2)/25))/(LN(2)/25)*Calculateur!FM110*Calculateur!FO110*VLOOKUP('Données projet'!$B$16,Paramètres!$A$1:$I$89,3,0)*0.475*44/12</f>
        <v>30.698814593989596</v>
      </c>
      <c r="FS110" s="21">
        <f>EXP(-LN(2)/2)*FS109+(1-EXP(-LN(2)/2))/(LN(2)/2)*FM110*FP110*VLOOKUP('Données projet'!$B$16,Paramètres!$A$1:$I$89,3,0)*0.475*44/12</f>
        <v>1.5706385122587549</v>
      </c>
      <c r="FT110" s="22">
        <f t="shared" si="78"/>
        <v>50.300595459760615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279.48508419000132</v>
      </c>
      <c r="S111" s="59">
        <f ca="1">AVERAGE(OFFSET($R$3,0,0,'Données projet'!$E$9+1,1))-AVERAGE(OFFSET($H$3,0,0,'Données projet'!$E$9+1,1))</f>
        <v>318.50474972254085</v>
      </c>
      <c r="T111" s="59">
        <f t="shared" si="88"/>
        <v>326.45858332753562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53.674067976512887</v>
      </c>
      <c r="AA111" s="21">
        <f>EXP(-LN(2)/25)*AA110+(1-EXP(-LN(2)/25))/(LN(2)/25)*Calculateur!V111*Calculateur!X111*VLOOKUP('Données projet'!$B$9,Paramètres!$A$1:$I$89,3,0)*0.475*44/12</f>
        <v>12.800625292631452</v>
      </c>
      <c r="AB111" s="21">
        <f>EXP(-LN(2)/2)*AB110+(1-EXP(-LN(2)/2))/(LN(2)/2)*V111*Y111*VLOOKUP('Données projet'!$B$9,Paramètres!$A$1:$I$89,3,0)*0.475*44/12</f>
        <v>3.5739804997058805E-6</v>
      </c>
      <c r="AC111" s="22">
        <f t="shared" si="57"/>
        <v>66.474696843124832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9.1833333333333318</v>
      </c>
      <c r="AI111" s="13">
        <f>IF('Données projet'!$A$62&gt;35,AI110+AH111-AQ110,IF(A111&lt;'Données projet'!$A$62,$AF$205^A111,IF(A111='Données projet'!$A$62,'Données projet'!$B$62,AI110+AH111-AQ110)))</f>
        <v>462.17666666666662</v>
      </c>
      <c r="AJ111" s="13">
        <f>AI111*VLOOKUP('Données projet'!$B$10,Paramètres!$A$1:$I$89,3,0)*VLOOKUP('Données projet'!$B$10,Paramètres!$A$1:$I$89,5,0)</f>
        <v>216.29867999999996</v>
      </c>
      <c r="AK111" s="13">
        <f t="shared" si="89"/>
        <v>53.309629425511069</v>
      </c>
      <c r="AL111" s="20">
        <f t="shared" si="58"/>
        <v>469.567805582765</v>
      </c>
      <c r="AM111" s="59">
        <f t="shared" si="59"/>
        <v>749.05288977276427</v>
      </c>
      <c r="AN111" s="59">
        <f ca="1">AVERAGE(OFFSET($AM$3,0,0,'Données projet'!$E$10+1,1))-AVERAGE(OFFSET($H$3,0,0,'Données projet'!$E$10+1,1))</f>
        <v>374.38106339726073</v>
      </c>
      <c r="AO111" s="59">
        <f t="shared" si="90"/>
        <v>296.53283288925957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50.926556054377208</v>
      </c>
      <c r="AV111" s="21">
        <f>EXP(-LN(2)/25)*AV110+(1-EXP(-LN(2)/25))/(LN(2)/25)*Calculateur!AQ111*Calculateur!AS111*VLOOKUP('Données projet'!$B$10,Paramètres!$A$1:$I$89,3,0)*0.475*44/12</f>
        <v>17.025231125136148</v>
      </c>
      <c r="AW111" s="21">
        <f>EXP(-LN(2)/2)*AW110+(1-EXP(-LN(2)/2))/(LN(2)/2)*AQ111*AT111*VLOOKUP('Données projet'!$B$10,Paramètres!$A$1:$I$89,3,0)*0.475*44/12</f>
        <v>0.21570445022905402</v>
      </c>
      <c r="AX111" s="21">
        <f t="shared" si="60"/>
        <v>68.167491629742415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8.8449999999999989</v>
      </c>
      <c r="BD111" s="12">
        <f>IF('Données projet'!$A$88&gt;35,BD110+BC111-BL110,IF(A111&lt;'Données projet'!$A$88,$BA$205^A111,IF(A111='Données projet'!$A$88,'Données projet'!$B$88,BD110+BC111-BL110)))</f>
        <v>371.49000000000058</v>
      </c>
      <c r="BE111" s="13">
        <f>BD111*VLOOKUP('Données projet'!$B$11,Paramètres!$A$1:$I$89,3,0)*VLOOKUP('Données projet'!$B$11,Paramètres!$A$1:$I$89,5,0)</f>
        <v>336.12415200000049</v>
      </c>
      <c r="BF111" s="13">
        <f t="shared" si="91"/>
        <v>78.698638141016232</v>
      </c>
      <c r="BG111" s="20">
        <f t="shared" si="61"/>
        <v>722.4830261622709</v>
      </c>
      <c r="BH111" s="59">
        <f t="shared" si="62"/>
        <v>1001.9681103522703</v>
      </c>
      <c r="BI111" s="59">
        <f ca="1">AVERAGE(OFFSET($BH$3,0,0,'Données projet'!$E$11+1,1))-AVERAGE(OFFSET($H$3,0,0,'Données projet'!$E$11+1,1))</f>
        <v>681.47578137804555</v>
      </c>
      <c r="BJ111" s="59">
        <f t="shared" si="92"/>
        <v>300.88511065995885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30.574827822734957</v>
      </c>
      <c r="BQ111" s="21">
        <f>EXP(-LN(2)/25)*BQ110+(1-EXP(-LN(2)/25))/(LN(2)/25)*Calculateur!BL111*Calculateur!BN111*VLOOKUP('Données projet'!$B$11,Paramètres!$A$1:$I$89,3,0)*0.475*44/12</f>
        <v>24.187493132306134</v>
      </c>
      <c r="BR111" s="21">
        <f>EXP(-LN(2)/2)*BR110+(1-EXP(-LN(2)/2))/(LN(2)/2)*BL111*BO111*VLOOKUP('Données projet'!$B$11,Paramètres!$A$1:$I$89,3,0)*0.475*44/12</f>
        <v>1.4568763495683108</v>
      </c>
      <c r="BS111" s="22">
        <f t="shared" si="63"/>
        <v>56.219197304609402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8.5265128291212022E-14</v>
      </c>
      <c r="BZ111" s="13">
        <f>BY111*VLOOKUP('Données projet'!$B$12,Paramètres!$A$1:$I$89,3,0)*VLOOKUP('Données projet'!$B$12,Paramètres!$A$1:$I$89,5,0)</f>
        <v>8.9119112089974823E-14</v>
      </c>
      <c r="CA111" s="13">
        <f t="shared" si="93"/>
        <v>1.3568952080113142E-12</v>
      </c>
      <c r="CB111" s="20">
        <f t="shared" si="64"/>
        <v>2.5184749408430782E-12</v>
      </c>
      <c r="CC111" s="59">
        <f t="shared" si="65"/>
        <v>279.48508419000183</v>
      </c>
      <c r="CD111" s="59">
        <f ca="1">AVERAGE(OFFSET($CC$3,0,0,'Données projet'!$E$12+1,1))-AVERAGE(OFFSET($H$3,0,0,'Données projet'!$E$12+1,1))</f>
        <v>290.69667785754848</v>
      </c>
      <c r="CE111" s="59">
        <f t="shared" si="94"/>
        <v>256.28124185489082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15.191322648773687</v>
      </c>
      <c r="CL111" s="21">
        <f>EXP(-LN(2)/25)*CL110+(1-EXP(-LN(2)/25))/(LN(2)/25)*Calculateur!CG111*Calculateur!CI111*VLOOKUP('Données projet'!$B$12,Paramètres!$A$1:$I$89,3,0)*0.475*44/12</f>
        <v>36.406008287240923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51.597330936014608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408.246209980743</v>
      </c>
      <c r="CZ111" s="59">
        <f t="shared" si="96"/>
        <v>394.10236303013903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32.782915577502386</v>
      </c>
      <c r="DG111" s="21">
        <f>EXP(-LN(2)/25)*DG110+(1-EXP(-LN(2)/25))/(LN(2)/25)*Calculateur!DB111*Calculateur!DD111*VLOOKUP('Données projet'!$B$13,Paramètres!$A$1:$I$89,3,0)*0.475*44/12</f>
        <v>25.928811467164866</v>
      </c>
      <c r="DH111" s="21">
        <f>EXP(-LN(2)/2)*DH110+(1-EXP(-LN(2)/2))/(LN(2)/2)*DB111*DE111*VLOOKUP('Données projet'!$B$13,Paramètres!$A$1:$I$89,3,0)*0.475*44/12</f>
        <v>4.1834142198108899E-3</v>
      </c>
      <c r="DI111" s="22">
        <f t="shared" si="69"/>
        <v>58.715910458887066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5.6843418860808015E-13</v>
      </c>
      <c r="DP111" s="17">
        <f>DO111*VLOOKUP('Données projet'!$B$14,Paramètres!$A$1:$I$89,3,0)*VLOOKUP('Données projet'!$B$14,Paramètres!$A$1:$I$89,5,0)</f>
        <v>3.177547114319168E-13</v>
      </c>
      <c r="DQ111" s="13">
        <f t="shared" si="97"/>
        <v>4.1725404435445377E-12</v>
      </c>
      <c r="DR111" s="20">
        <f t="shared" si="70"/>
        <v>7.820597394917325E-12</v>
      </c>
      <c r="DS111" s="59">
        <f t="shared" si="71"/>
        <v>279.48508419000717</v>
      </c>
      <c r="DT111" s="59">
        <f ca="1">AVERAGE(OFFSET($DS$3,0,0,'Données projet'!$E$14+1,1))-AVERAGE(OFFSET($H$3,0,0,'Données projet'!$E$14+1,1))</f>
        <v>407.05634973057056</v>
      </c>
      <c r="DU111" s="59">
        <f t="shared" si="98"/>
        <v>375.32891954889965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108.71932056278729</v>
      </c>
      <c r="EB111" s="21">
        <f>EXP(-LN(2)/25)*EB110+(1-EXP(-LN(2)/25))/(LN(2)/25)*Calculateur!DW111*Calculateur!DY111*VLOOKUP('Données projet'!$B$14,Paramètres!$A$1:$I$89,3,0)*0.475*44/12</f>
        <v>26.764205276145233</v>
      </c>
      <c r="EC111" s="21">
        <f>EXP(-LN(2)/2)*EC110+(1-EXP(-LN(2)/2))/(LN(2)/2)*DW111*DZ111*VLOOKUP('Données projet'!$B$14,Paramètres!$A$1:$I$89,3,0)*0.475*44/12</f>
        <v>1.4401535858692152E-4</v>
      </c>
      <c r="ED111" s="22">
        <f t="shared" si="72"/>
        <v>135.48366985429109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1.1368683772161603E-13</v>
      </c>
      <c r="EK111" s="17">
        <f>EJ111*VLOOKUP('Données projet'!$B$15,Paramètres!$A$1:$I$89,3,0)*VLOOKUP('Données projet'!$B$15,Paramètres!$A$1:$I$89,5,0)</f>
        <v>5.0249582272954292E-14</v>
      </c>
      <c r="EL111" s="13">
        <f t="shared" si="99"/>
        <v>8.1784820119191593E-13</v>
      </c>
      <c r="EM111" s="20">
        <f t="shared" si="73"/>
        <v>1.5119369728679821E-12</v>
      </c>
      <c r="EN111" s="59">
        <f t="shared" si="74"/>
        <v>279.48508419000086</v>
      </c>
      <c r="EO111" s="59">
        <f ca="1">AVERAGE(OFFSET($EN$3,0,0,'Données projet'!$E$15+1,1))-AVERAGE(OFFSET($H$3,0,0,'Données projet'!$E$15+1,1))</f>
        <v>418.28022549686278</v>
      </c>
      <c r="EP111" s="59">
        <f t="shared" si="100"/>
        <v>354.55070454517158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118.67985531091357</v>
      </c>
      <c r="EW111" s="21">
        <f>EXP(-LN(2)/25)*EW110+(1-EXP(-LN(2)/25))/(LN(2)/25)*Calculateur!ER111*Calculateur!ET111*VLOOKUP('Données projet'!$B$15,Paramètres!$A$1:$I$89,3,0)*0.475*44/12</f>
        <v>33.078870020589306</v>
      </c>
      <c r="EX111" s="21">
        <f>EXP(-LN(2)/2)*EX110+(1-EXP(-LN(2)/2))/(LN(2)/2)*ER111*EU111*VLOOKUP('Données projet'!$B$15,Paramètres!$A$1:$I$89,3,0)*0.475*44/12</f>
        <v>4.7976007793167396E-3</v>
      </c>
      <c r="EY111" s="22">
        <f t="shared" si="75"/>
        <v>151.7635229322822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6.8811111111111085</v>
      </c>
      <c r="FE111" s="12">
        <f>IF('Données projet'!$A$218&gt;35,FE110+FD111-FM110,IF(A111&lt;'Données projet'!$A$218,$FB$205^A111,IF(A111='Données projet'!$A$218,'Données projet'!$B$218,FE110+FD111-FM110)))</f>
        <v>259.49444444444424</v>
      </c>
      <c r="FF111" s="17">
        <f>FE111*VLOOKUP('Données projet'!$B$16,Paramètres!$A$1:$I$89,3,0)*VLOOKUP('Données projet'!$B$16,Paramètres!$A$1:$I$89,5,0)</f>
        <v>295.5122733333331</v>
      </c>
      <c r="FG111" s="13">
        <f t="shared" si="101"/>
        <v>70.234839916588783</v>
      </c>
      <c r="FH111" s="20">
        <f t="shared" si="76"/>
        <v>637.00955557694726</v>
      </c>
      <c r="FI111" s="59">
        <f t="shared" si="77"/>
        <v>916.49463976694665</v>
      </c>
      <c r="FJ111" s="59">
        <f ca="1">AVERAGE(OFFSET($FI$3,0,0,'Données projet'!$E$16+1,1))-AVERAGE(OFFSET($H$3,0,0,'Données projet'!$E$16+1,1))</f>
        <v>640.05156427113661</v>
      </c>
      <c r="FK111" s="59">
        <f t="shared" si="102"/>
        <v>308.77220155372902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17.677562649870769</v>
      </c>
      <c r="FR111" s="21">
        <f>EXP(-LN(2)/25)*FR110+(1-EXP(-LN(2)/25))/(LN(2)/25)*Calculateur!FM111*Calculateur!FO111*VLOOKUP('Données projet'!$B$16,Paramètres!$A$1:$I$89,3,0)*0.475*44/12</f>
        <v>29.859353894536454</v>
      </c>
      <c r="FS111" s="21">
        <f>EXP(-LN(2)/2)*FS110+(1-EXP(-LN(2)/2))/(LN(2)/2)*FM111*FP111*VLOOKUP('Données projet'!$B$16,Paramètres!$A$1:$I$89,3,0)*0.475*44/12</f>
        <v>1.1106091428109162</v>
      </c>
      <c r="FT111" s="22">
        <f t="shared" si="78"/>
        <v>48.647525687218135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279.72532035259127</v>
      </c>
      <c r="S112" s="59">
        <f ca="1">AVERAGE(OFFSET($R$3,0,0,'Données projet'!$E$9+1,1))-AVERAGE(OFFSET($H$3,0,0,'Données projet'!$E$9+1,1))</f>
        <v>318.50474972254085</v>
      </c>
      <c r="T112" s="59">
        <f t="shared" si="88"/>
        <v>326.45858332753562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52.62155224144233</v>
      </c>
      <c r="AA112" s="21">
        <f>EXP(-LN(2)/25)*AA111+(1-EXP(-LN(2)/25))/(LN(2)/25)*Calculateur!V112*Calculateur!X112*VLOOKUP('Données projet'!$B$9,Paramètres!$A$1:$I$89,3,0)*0.475*44/12</f>
        <v>12.450591520848816</v>
      </c>
      <c r="AB112" s="21">
        <f>EXP(-LN(2)/2)*AB111+(1-EXP(-LN(2)/2))/(LN(2)/2)*V112*Y112*VLOOKUP('Données projet'!$B$9,Paramètres!$A$1:$I$89,3,0)*0.475*44/12</f>
        <v>2.5271858471705138E-6</v>
      </c>
      <c r="AC112" s="22">
        <f t="shared" si="57"/>
        <v>65.07214628947699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471.36</v>
      </c>
      <c r="AG112" s="12">
        <f>VLOOKUP(A112,'Données projet'!$A$61:$I$81,9,0)</f>
        <v>9.1833333333333318</v>
      </c>
      <c r="AH112" s="12">
        <f t="array" ref="AH112">INDEX(AG:AG,MIN(IF(ISNUMBER(AG112:AG308),ROW(AG112:AG308),"")))</f>
        <v>9.1833333333333318</v>
      </c>
      <c r="AI112" s="13">
        <f>IF('Données projet'!$A$62&gt;35,AI111+AH112-AQ111,IF(A112&lt;'Données projet'!$A$62,$AF$205^A112,IF(A112='Données projet'!$A$62,'Données projet'!$B$62,AI111+AH112-AQ111)))</f>
        <v>471.35999999999996</v>
      </c>
      <c r="AJ112" s="13">
        <f>AI112*VLOOKUP('Données projet'!$B$10,Paramètres!$A$1:$I$89,3,0)*VLOOKUP('Données projet'!$B$10,Paramètres!$A$1:$I$89,5,0)</f>
        <v>220.59647999999999</v>
      </c>
      <c r="AK112" s="13">
        <f t="shared" si="89"/>
        <v>54.244507265119324</v>
      </c>
      <c r="AL112" s="20">
        <f t="shared" si="58"/>
        <v>478.6813861534161</v>
      </c>
      <c r="AM112" s="59">
        <f t="shared" si="59"/>
        <v>758.40670650600532</v>
      </c>
      <c r="AN112" s="59">
        <f ca="1">AVERAGE(OFFSET($AM$3,0,0,'Données projet'!$E$10+1,1))-AVERAGE(OFFSET($H$3,0,0,'Données projet'!$E$10+1,1))</f>
        <v>374.38106339726073</v>
      </c>
      <c r="AO112" s="59">
        <f t="shared" si="90"/>
        <v>296.53283288925957</v>
      </c>
      <c r="AP112" s="15">
        <f>IF(ISNA(VLOOKUP(A112,'Données projet'!$A$61:$I$81,3,0)),0,VLOOKUP(A112,'Données projet'!$A$61:$I$81,3,0))</f>
        <v>6</v>
      </c>
      <c r="AQ112" s="15">
        <f>IF(ISNA(VLOOKUP(A112,'Données projet'!$A$61:$I$81,4,0)),0,VLOOKUP(A112,'Données projet'!$A$61:$I$81,4,0))</f>
        <v>92.199999999999989</v>
      </c>
      <c r="AR112" s="16">
        <f>IF(ISNA(VLOOKUP(A112,'Données projet'!$A$61:$I$81,5,0)),0%,VLOOKUP(A112,'Données projet'!$A$61:$I$81,5,0)*VLOOKUP('Données projet'!$B$10,Paramètres!$A$1:$I$89,7,0))</f>
        <v>0.33</v>
      </c>
      <c r="AS112" s="16">
        <f>IF(ISNA(VLOOKUP(A112,'Données projet'!$A$61:$I$81,6,0)),0%,VLOOKUP(A112,'Données projet'!$A$61:$I$81,6,0)*VLOOKUP('Données projet'!$B$10,Paramètres!$A$1:$I$89,7,0))</f>
        <v>0.11000000000000001</v>
      </c>
      <c r="AT112" s="16">
        <f>IF(ISNA(VLOOKUP(A112,'Données projet'!$A$61:$I$81,7,0)),0%,VLOOKUP(A112,'Données projet'!$A$61:$I$81,7,0))</f>
        <v>0.2</v>
      </c>
      <c r="AU112" s="21">
        <f>EXP(-LN(2)/35)*AU111+(1-EXP(-LN(2)/35))/(LN(2)/35)*AQ112*AR112*VLOOKUP('Données projet'!$B$10,Paramètres!$A$1:$I$89,3,0)*0.475*44/12</f>
        <v>68.817356809006142</v>
      </c>
      <c r="AV112" s="21">
        <f>EXP(-LN(2)/25)*AV111+(1-EXP(-LN(2)/25))/(LN(2)/25)*Calculateur!AQ112*Calculateur!AS112*VLOOKUP('Données projet'!$B$10,Paramètres!$A$1:$I$89,3,0)*0.475*44/12</f>
        <v>22.831363463415105</v>
      </c>
      <c r="AW112" s="21">
        <f>EXP(-LN(2)/2)*AW111+(1-EXP(-LN(2)/2))/(LN(2)/2)*AQ112*AT112*VLOOKUP('Données projet'!$B$10,Paramètres!$A$1:$I$89,3,0)*0.475*44/12</f>
        <v>9.9236002285586764</v>
      </c>
      <c r="AX112" s="21">
        <f t="shared" si="60"/>
        <v>101.57232050097991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8.8449999999999989</v>
      </c>
      <c r="BD112" s="12">
        <f>IF('Données projet'!$A$88&gt;35,BD111+BC112-BL111,IF(A112&lt;'Données projet'!$A$88,$BA$205^A112,IF(A112='Données projet'!$A$88,'Données projet'!$B$88,BD111+BC112-BL111)))</f>
        <v>380.3350000000006</v>
      </c>
      <c r="BE112" s="13">
        <f>BD112*VLOOKUP('Données projet'!$B$11,Paramètres!$A$1:$I$89,3,0)*VLOOKUP('Données projet'!$B$11,Paramètres!$A$1:$I$89,5,0)</f>
        <v>344.12710800000053</v>
      </c>
      <c r="BF112" s="13">
        <f t="shared" si="91"/>
        <v>80.352033376279337</v>
      </c>
      <c r="BG112" s="20">
        <f t="shared" si="61"/>
        <v>739.30117123035416</v>
      </c>
      <c r="BH112" s="59">
        <f t="shared" si="62"/>
        <v>1019.0264915829434</v>
      </c>
      <c r="BI112" s="59">
        <f ca="1">AVERAGE(OFFSET($BH$3,0,0,'Données projet'!$E$11+1,1))-AVERAGE(OFFSET($H$3,0,0,'Données projet'!$E$11+1,1))</f>
        <v>681.47578137804555</v>
      </c>
      <c r="BJ112" s="59">
        <f t="shared" si="92"/>
        <v>300.88511065995885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29.97527409793468</v>
      </c>
      <c r="BQ112" s="21">
        <f>EXP(-LN(2)/25)*BQ111+(1-EXP(-LN(2)/25))/(LN(2)/25)*Calculateur!BL112*Calculateur!BN112*VLOOKUP('Données projet'!$B$11,Paramètres!$A$1:$I$89,3,0)*0.475*44/12</f>
        <v>23.526084860638239</v>
      </c>
      <c r="BR112" s="21">
        <f>EXP(-LN(2)/2)*BR111+(1-EXP(-LN(2)/2))/(LN(2)/2)*BL112*BO112*VLOOKUP('Données projet'!$B$11,Paramètres!$A$1:$I$89,3,0)*0.475*44/12</f>
        <v>1.0301671461300557</v>
      </c>
      <c r="BS112" s="22">
        <f t="shared" si="63"/>
        <v>54.531526104702976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8.5265128291212022E-14</v>
      </c>
      <c r="BZ112" s="13">
        <f>BY112*VLOOKUP('Données projet'!$B$12,Paramètres!$A$1:$I$89,3,0)*VLOOKUP('Données projet'!$B$12,Paramètres!$A$1:$I$89,5,0)</f>
        <v>8.9119112089974823E-14</v>
      </c>
      <c r="CA112" s="13">
        <f t="shared" si="93"/>
        <v>1.3568952080113142E-12</v>
      </c>
      <c r="CB112" s="20">
        <f t="shared" si="64"/>
        <v>2.5184749408430782E-12</v>
      </c>
      <c r="CC112" s="59">
        <f t="shared" si="65"/>
        <v>279.72532035259178</v>
      </c>
      <c r="CD112" s="59">
        <f ca="1">AVERAGE(OFFSET($CC$3,0,0,'Données projet'!$E$12+1,1))-AVERAGE(OFFSET($H$3,0,0,'Données projet'!$E$12+1,1))</f>
        <v>290.69667785754848</v>
      </c>
      <c r="CE112" s="59">
        <f t="shared" si="94"/>
        <v>256.28124185489082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14.89343007742313</v>
      </c>
      <c r="CL112" s="21">
        <f>EXP(-LN(2)/25)*CL111+(1-EXP(-LN(2)/25))/(LN(2)/25)*Calculateur!CG112*Calculateur!CI112*VLOOKUP('Données projet'!$B$12,Paramètres!$A$1:$I$89,3,0)*0.475*44/12</f>
        <v>35.410484076117548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50.303914153540674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408.246209980743</v>
      </c>
      <c r="CZ112" s="59">
        <f t="shared" si="96"/>
        <v>394.10236303013903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32.140062598631665</v>
      </c>
      <c r="DG112" s="21">
        <f>EXP(-LN(2)/25)*DG111+(1-EXP(-LN(2)/25))/(LN(2)/25)*Calculateur!DB112*Calculateur!DD112*VLOOKUP('Données projet'!$B$13,Paramètres!$A$1:$I$89,3,0)*0.475*44/12</f>
        <v>25.219786754058308</v>
      </c>
      <c r="DH112" s="21">
        <f>EXP(-LN(2)/2)*DH111+(1-EXP(-LN(2)/2))/(LN(2)/2)*DB112*DE112*VLOOKUP('Données projet'!$B$13,Paramètres!$A$1:$I$89,3,0)*0.475*44/12</f>
        <v>2.9581205633405104E-3</v>
      </c>
      <c r="DI112" s="22">
        <f t="shared" si="69"/>
        <v>57.362807473253319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5.6843418860808015E-13</v>
      </c>
      <c r="DP112" s="17">
        <f>DO112*VLOOKUP('Données projet'!$B$14,Paramètres!$A$1:$I$89,3,0)*VLOOKUP('Données projet'!$B$14,Paramètres!$A$1:$I$89,5,0)</f>
        <v>3.177547114319168E-13</v>
      </c>
      <c r="DQ112" s="13">
        <f t="shared" si="97"/>
        <v>4.1725404435445377E-12</v>
      </c>
      <c r="DR112" s="20">
        <f t="shared" si="70"/>
        <v>7.820597394917325E-12</v>
      </c>
      <c r="DS112" s="59">
        <f t="shared" si="71"/>
        <v>279.72532035259712</v>
      </c>
      <c r="DT112" s="59">
        <f ca="1">AVERAGE(OFFSET($DS$3,0,0,'Données projet'!$E$14+1,1))-AVERAGE(OFFSET($H$3,0,0,'Données projet'!$E$14+1,1))</f>
        <v>407.05634973057056</v>
      </c>
      <c r="DU112" s="59">
        <f t="shared" si="98"/>
        <v>375.32891954889965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106.58740099878878</v>
      </c>
      <c r="EB112" s="21">
        <f>EXP(-LN(2)/25)*EB111+(1-EXP(-LN(2)/25))/(LN(2)/25)*Calculateur!DW112*Calculateur!DY112*VLOOKUP('Données projet'!$B$14,Paramètres!$A$1:$I$89,3,0)*0.475*44/12</f>
        <v>26.032336675400657</v>
      </c>
      <c r="EC112" s="21">
        <f>EXP(-LN(2)/2)*EC111+(1-EXP(-LN(2)/2))/(LN(2)/2)*DW112*DZ112*VLOOKUP('Données projet'!$B$14,Paramètres!$A$1:$I$89,3,0)*0.475*44/12</f>
        <v>1.0183423665182449E-4</v>
      </c>
      <c r="ED112" s="22">
        <f t="shared" si="72"/>
        <v>132.61983950842608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1.1368683772161603E-13</v>
      </c>
      <c r="EK112" s="17">
        <f>EJ112*VLOOKUP('Données projet'!$B$15,Paramètres!$A$1:$I$89,3,0)*VLOOKUP('Données projet'!$B$15,Paramètres!$A$1:$I$89,5,0)</f>
        <v>5.0249582272954292E-14</v>
      </c>
      <c r="EL112" s="13">
        <f t="shared" si="99"/>
        <v>8.1784820119191593E-13</v>
      </c>
      <c r="EM112" s="20">
        <f t="shared" si="73"/>
        <v>1.5119369728679821E-12</v>
      </c>
      <c r="EN112" s="59">
        <f t="shared" si="74"/>
        <v>279.72532035259081</v>
      </c>
      <c r="EO112" s="59">
        <f ca="1">AVERAGE(OFFSET($EN$3,0,0,'Données projet'!$E$15+1,1))-AVERAGE(OFFSET($H$3,0,0,'Données projet'!$E$15+1,1))</f>
        <v>418.28022549686278</v>
      </c>
      <c r="EP112" s="59">
        <f t="shared" si="100"/>
        <v>354.55070454517158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116.35261573583061</v>
      </c>
      <c r="EW112" s="21">
        <f>EXP(-LN(2)/25)*EW111+(1-EXP(-LN(2)/25))/(LN(2)/25)*Calculateur!ER112*Calculateur!ET112*VLOOKUP('Données projet'!$B$15,Paramètres!$A$1:$I$89,3,0)*0.475*44/12</f>
        <v>32.174326580334117</v>
      </c>
      <c r="EX112" s="21">
        <f>EXP(-LN(2)/2)*EX111+(1-EXP(-LN(2)/2))/(LN(2)/2)*ER112*EU112*VLOOKUP('Données projet'!$B$15,Paramètres!$A$1:$I$89,3,0)*0.475*44/12</f>
        <v>3.3924160444807317E-3</v>
      </c>
      <c r="EY112" s="22">
        <f t="shared" si="75"/>
        <v>148.53033473220921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6.8811111111111085</v>
      </c>
      <c r="FE112" s="12">
        <f>IF('Données projet'!$A$218&gt;35,FE111+FD112-FM111,IF(A112&lt;'Données projet'!$A$218,$FB$205^A112,IF(A112='Données projet'!$A$218,'Données projet'!$B$218,FE111+FD112-FM111)))</f>
        <v>266.37555555555537</v>
      </c>
      <c r="FF112" s="17">
        <f>FE112*VLOOKUP('Données projet'!$B$16,Paramètres!$A$1:$I$89,3,0)*VLOOKUP('Données projet'!$B$16,Paramètres!$A$1:$I$89,5,0)</f>
        <v>303.34848266666648</v>
      </c>
      <c r="FG112" s="13">
        <f t="shared" si="101"/>
        <v>71.877979938164458</v>
      </c>
      <c r="FH112" s="20">
        <f t="shared" si="76"/>
        <v>653.51942237008052</v>
      </c>
      <c r="FI112" s="59">
        <f t="shared" si="77"/>
        <v>933.2447427226698</v>
      </c>
      <c r="FJ112" s="59">
        <f ca="1">AVERAGE(OFFSET($FI$3,0,0,'Données projet'!$E$16+1,1))-AVERAGE(OFFSET($H$3,0,0,'Données projet'!$E$16+1,1))</f>
        <v>640.05156427113661</v>
      </c>
      <c r="FK112" s="59">
        <f t="shared" si="102"/>
        <v>308.77220155372902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17.330916428555362</v>
      </c>
      <c r="FR112" s="21">
        <f>EXP(-LN(2)/25)*FR111+(1-EXP(-LN(2)/25))/(LN(2)/25)*Calculateur!FM112*Calculateur!FO112*VLOOKUP('Données projet'!$B$16,Paramètres!$A$1:$I$89,3,0)*0.475*44/12</f>
        <v>29.042848292055179</v>
      </c>
      <c r="FS112" s="21">
        <f>EXP(-LN(2)/2)*FS111+(1-EXP(-LN(2)/2))/(LN(2)/2)*FM112*FP112*VLOOKUP('Données projet'!$B$16,Paramètres!$A$1:$I$89,3,0)*0.475*44/12</f>
        <v>0.7853192561293777</v>
      </c>
      <c r="FT112" s="22">
        <f t="shared" si="78"/>
        <v>47.159083976739915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279.96138895484785</v>
      </c>
      <c r="S113" s="59">
        <f ca="1">AVERAGE(OFFSET($R$3,0,0,'Données projet'!$E$9+1,1))-AVERAGE(OFFSET($H$3,0,0,'Données projet'!$E$9+1,1))</f>
        <v>318.50474972254085</v>
      </c>
      <c r="T113" s="59">
        <f t="shared" si="88"/>
        <v>326.45858332753562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51.589675697965298</v>
      </c>
      <c r="AA113" s="21">
        <f>EXP(-LN(2)/25)*AA112+(1-EXP(-LN(2)/25))/(LN(2)/25)*Calculateur!V113*Calculateur!X113*VLOOKUP('Données projet'!$B$9,Paramètres!$A$1:$I$89,3,0)*0.475*44/12</f>
        <v>12.110129440963053</v>
      </c>
      <c r="AB113" s="21">
        <f>EXP(-LN(2)/2)*AB112+(1-EXP(-LN(2)/2))/(LN(2)/2)*V113*Y113*VLOOKUP('Données projet'!$B$9,Paramètres!$A$1:$I$89,3,0)*0.475*44/12</f>
        <v>1.7869902498529403E-6</v>
      </c>
      <c r="AC113" s="22">
        <f t="shared" si="57"/>
        <v>63.699806925918601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8.2299999999999986</v>
      </c>
      <c r="AI113" s="13">
        <f>IF('Données projet'!$A$62&gt;35,AI112+AH113-AQ112,IF(A113&lt;'Données projet'!$A$62,$AF$205^A113,IF(A113='Données projet'!$A$62,'Données projet'!$B$62,AI112+AH113-AQ112)))</f>
        <v>387.39</v>
      </c>
      <c r="AJ113" s="13">
        <f>AI113*VLOOKUP('Données projet'!$B$10,Paramètres!$A$1:$I$89,3,0)*VLOOKUP('Données projet'!$B$10,Paramètres!$A$1:$I$89,5,0)</f>
        <v>181.29852</v>
      </c>
      <c r="AK113" s="13">
        <f t="shared" si="89"/>
        <v>45.610961972441139</v>
      </c>
      <c r="AL113" s="20">
        <f t="shared" si="58"/>
        <v>395.20068110200162</v>
      </c>
      <c r="AM113" s="59">
        <f t="shared" si="59"/>
        <v>675.16207005684748</v>
      </c>
      <c r="AN113" s="59">
        <f ca="1">AVERAGE(OFFSET($AM$3,0,0,'Données projet'!$E$10+1,1))-AVERAGE(OFFSET($H$3,0,0,'Données projet'!$E$10+1,1))</f>
        <v>374.38106339726073</v>
      </c>
      <c r="AO113" s="59">
        <f t="shared" si="90"/>
        <v>296.53283288925957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67.467890416424552</v>
      </c>
      <c r="AV113" s="21">
        <f>EXP(-LN(2)/25)*AV112+(1-EXP(-LN(2)/25))/(LN(2)/25)*Calculateur!AQ113*Calculateur!AS113*VLOOKUP('Données projet'!$B$10,Paramètres!$A$1:$I$89,3,0)*0.475*44/12</f>
        <v>22.207038628858797</v>
      </c>
      <c r="AW113" s="21">
        <f>EXP(-LN(2)/2)*AW112+(1-EXP(-LN(2)/2))/(LN(2)/2)*AQ113*AT113*VLOOKUP('Données projet'!$B$10,Paramètres!$A$1:$I$89,3,0)*0.475*44/12</f>
        <v>7.0170450153982138</v>
      </c>
      <c r="AX113" s="21">
        <f t="shared" si="60"/>
        <v>96.691974060681559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8.8449999999999989</v>
      </c>
      <c r="BD113" s="12">
        <f>IF('Données projet'!$A$88&gt;35,BD112+BC113-BL112,IF(A113&lt;'Données projet'!$A$88,$BA$205^A113,IF(A113='Données projet'!$A$88,'Données projet'!$B$88,BD112+BC113-BL112)))</f>
        <v>389.18000000000063</v>
      </c>
      <c r="BE113" s="13">
        <f>BD113*VLOOKUP('Données projet'!$B$11,Paramètres!$A$1:$I$89,3,0)*VLOOKUP('Données projet'!$B$11,Paramètres!$A$1:$I$89,5,0)</f>
        <v>352.13006400000057</v>
      </c>
      <c r="BF113" s="13">
        <f t="shared" si="91"/>
        <v>82.000958535583734</v>
      </c>
      <c r="BG113" s="20">
        <f t="shared" si="61"/>
        <v>756.11153091614267</v>
      </c>
      <c r="BH113" s="59">
        <f t="shared" si="62"/>
        <v>1036.0729198709885</v>
      </c>
      <c r="BI113" s="59">
        <f ca="1">AVERAGE(OFFSET($BH$3,0,0,'Données projet'!$E$11+1,1))-AVERAGE(OFFSET($H$3,0,0,'Données projet'!$E$11+1,1))</f>
        <v>681.47578137804555</v>
      </c>
      <c r="BJ113" s="59">
        <f t="shared" si="92"/>
        <v>300.88511065995885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29.387477255986074</v>
      </c>
      <c r="BQ113" s="21">
        <f>EXP(-LN(2)/25)*BQ112+(1-EXP(-LN(2)/25))/(LN(2)/25)*Calculateur!BL113*Calculateur!BN113*VLOOKUP('Données projet'!$B$11,Paramètres!$A$1:$I$89,3,0)*0.475*44/12</f>
        <v>22.882762832941054</v>
      </c>
      <c r="BR113" s="21">
        <f>EXP(-LN(2)/2)*BR112+(1-EXP(-LN(2)/2))/(LN(2)/2)*BL113*BO113*VLOOKUP('Données projet'!$B$11,Paramètres!$A$1:$I$89,3,0)*0.475*44/12</f>
        <v>0.7284381747841554</v>
      </c>
      <c r="BS113" s="22">
        <f t="shared" si="63"/>
        <v>52.998678263711277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8.5265128291212022E-14</v>
      </c>
      <c r="BZ113" s="13">
        <f>BY113*VLOOKUP('Données projet'!$B$12,Paramètres!$A$1:$I$89,3,0)*VLOOKUP('Données projet'!$B$12,Paramètres!$A$1:$I$89,5,0)</f>
        <v>8.9119112089974823E-14</v>
      </c>
      <c r="CA113" s="13">
        <f t="shared" si="93"/>
        <v>1.3568952080113142E-12</v>
      </c>
      <c r="CB113" s="20">
        <f t="shared" si="64"/>
        <v>2.5184749408430782E-12</v>
      </c>
      <c r="CC113" s="59">
        <f t="shared" si="65"/>
        <v>279.96138895484836</v>
      </c>
      <c r="CD113" s="59">
        <f ca="1">AVERAGE(OFFSET($CC$3,0,0,'Données projet'!$E$12+1,1))-AVERAGE(OFFSET($H$3,0,0,'Données projet'!$E$12+1,1))</f>
        <v>290.69667785754848</v>
      </c>
      <c r="CE113" s="59">
        <f t="shared" si="94"/>
        <v>256.28124185489082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14.601378997700229</v>
      </c>
      <c r="CL113" s="21">
        <f>EXP(-LN(2)/25)*CL112+(1-EXP(-LN(2)/25))/(LN(2)/25)*Calculateur!CG113*Calculateur!CI113*VLOOKUP('Données projet'!$B$12,Paramètres!$A$1:$I$89,3,0)*0.475*44/12</f>
        <v>34.442182526899686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49.043561524599916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408.246209980743</v>
      </c>
      <c r="CZ113" s="59">
        <f t="shared" si="96"/>
        <v>394.10236303013903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31.509815574574997</v>
      </c>
      <c r="DG113" s="21">
        <f>EXP(-LN(2)/25)*DG112+(1-EXP(-LN(2)/25))/(LN(2)/25)*Calculateur!DB113*Calculateur!DD113*VLOOKUP('Données projet'!$B$13,Paramètres!$A$1:$I$89,3,0)*0.475*44/12</f>
        <v>24.53015035901764</v>
      </c>
      <c r="DH113" s="21">
        <f>EXP(-LN(2)/2)*DH112+(1-EXP(-LN(2)/2))/(LN(2)/2)*DB113*DE113*VLOOKUP('Données projet'!$B$13,Paramètres!$A$1:$I$89,3,0)*0.475*44/12</f>
        <v>2.0917071099054449E-3</v>
      </c>
      <c r="DI113" s="22">
        <f t="shared" si="69"/>
        <v>56.042057640702545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5.6843418860808015E-13</v>
      </c>
      <c r="DP113" s="17">
        <f>DO113*VLOOKUP('Données projet'!$B$14,Paramètres!$A$1:$I$89,3,0)*VLOOKUP('Données projet'!$B$14,Paramètres!$A$1:$I$89,5,0)</f>
        <v>3.177547114319168E-13</v>
      </c>
      <c r="DQ113" s="13">
        <f t="shared" si="97"/>
        <v>4.1725404435445377E-12</v>
      </c>
      <c r="DR113" s="20">
        <f t="shared" si="70"/>
        <v>7.820597394917325E-12</v>
      </c>
      <c r="DS113" s="59">
        <f t="shared" si="71"/>
        <v>279.9613889548537</v>
      </c>
      <c r="DT113" s="59">
        <f ca="1">AVERAGE(OFFSET($DS$3,0,0,'Données projet'!$E$14+1,1))-AVERAGE(OFFSET($H$3,0,0,'Données projet'!$E$14+1,1))</f>
        <v>407.05634973057056</v>
      </c>
      <c r="DU113" s="59">
        <f t="shared" si="98"/>
        <v>375.32891954889965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104.49728707709775</v>
      </c>
      <c r="EB113" s="21">
        <f>EXP(-LN(2)/25)*EB112+(1-EXP(-LN(2)/25))/(LN(2)/25)*Calculateur!DW113*Calculateur!DY113*VLOOKUP('Données projet'!$B$14,Paramètres!$A$1:$I$89,3,0)*0.475*44/12</f>
        <v>25.320481060030737</v>
      </c>
      <c r="EC113" s="21">
        <f>EXP(-LN(2)/2)*EC112+(1-EXP(-LN(2)/2))/(LN(2)/2)*DW113*DZ113*VLOOKUP('Données projet'!$B$14,Paramètres!$A$1:$I$89,3,0)*0.475*44/12</f>
        <v>7.2007679293460759E-5</v>
      </c>
      <c r="ED113" s="22">
        <f t="shared" si="72"/>
        <v>129.8178401448078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1.1368683772161603E-13</v>
      </c>
      <c r="EK113" s="17">
        <f>EJ113*VLOOKUP('Données projet'!$B$15,Paramètres!$A$1:$I$89,3,0)*VLOOKUP('Données projet'!$B$15,Paramètres!$A$1:$I$89,5,0)</f>
        <v>5.0249582272954292E-14</v>
      </c>
      <c r="EL113" s="13">
        <f t="shared" si="99"/>
        <v>8.1784820119191593E-13</v>
      </c>
      <c r="EM113" s="20">
        <f t="shared" si="73"/>
        <v>1.5119369728679821E-12</v>
      </c>
      <c r="EN113" s="59">
        <f t="shared" si="74"/>
        <v>279.96138895484739</v>
      </c>
      <c r="EO113" s="59">
        <f ca="1">AVERAGE(OFFSET($EN$3,0,0,'Données projet'!$E$15+1,1))-AVERAGE(OFFSET($H$3,0,0,'Données projet'!$E$15+1,1))</f>
        <v>418.28022549686278</v>
      </c>
      <c r="EP113" s="59">
        <f t="shared" si="100"/>
        <v>354.55070454517158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114.07101190933905</v>
      </c>
      <c r="EW113" s="21">
        <f>EXP(-LN(2)/25)*EW112+(1-EXP(-LN(2)/25))/(LN(2)/25)*Calculateur!ER113*Calculateur!ET113*VLOOKUP('Données projet'!$B$15,Paramètres!$A$1:$I$89,3,0)*0.475*44/12</f>
        <v>31.294517928020582</v>
      </c>
      <c r="EX113" s="21">
        <f>EXP(-LN(2)/2)*EX112+(1-EXP(-LN(2)/2))/(LN(2)/2)*ER113*EU113*VLOOKUP('Données projet'!$B$15,Paramètres!$A$1:$I$89,3,0)*0.475*44/12</f>
        <v>2.3988003896583698E-3</v>
      </c>
      <c r="EY113" s="22">
        <f t="shared" si="75"/>
        <v>145.36792863774932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6.8811111111111085</v>
      </c>
      <c r="FE113" s="12">
        <f>IF('Données projet'!$A$218&gt;35,FE112+FD113-FM112,IF(A113&lt;'Données projet'!$A$218,$FB$205^A113,IF(A113='Données projet'!$A$218,'Données projet'!$B$218,FE112+FD113-FM112)))</f>
        <v>273.25666666666649</v>
      </c>
      <c r="FF113" s="17">
        <f>FE113*VLOOKUP('Données projet'!$B$16,Paramètres!$A$1:$I$89,3,0)*VLOOKUP('Données projet'!$B$16,Paramètres!$A$1:$I$89,5,0)</f>
        <v>311.18469199999981</v>
      </c>
      <c r="FG113" s="13">
        <f t="shared" si="101"/>
        <v>73.51618606329977</v>
      </c>
      <c r="FH113" s="20">
        <f t="shared" si="76"/>
        <v>670.02069596024683</v>
      </c>
      <c r="FI113" s="59">
        <f t="shared" si="77"/>
        <v>949.98208491509263</v>
      </c>
      <c r="FJ113" s="59">
        <f ca="1">AVERAGE(OFFSET($FI$3,0,0,'Données projet'!$E$16+1,1))-AVERAGE(OFFSET($H$3,0,0,'Données projet'!$E$16+1,1))</f>
        <v>640.05156427113661</v>
      </c>
      <c r="FK113" s="59">
        <f t="shared" si="102"/>
        <v>308.77220155372902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16.99106772820663</v>
      </c>
      <c r="FR113" s="21">
        <f>EXP(-LN(2)/25)*FR112+(1-EXP(-LN(2)/25))/(LN(2)/25)*Calculateur!FM113*Calculateur!FO113*VLOOKUP('Données projet'!$B$16,Paramètres!$A$1:$I$89,3,0)*0.475*44/12</f>
        <v>28.248670078211916</v>
      </c>
      <c r="FS113" s="21">
        <f>EXP(-LN(2)/2)*FS112+(1-EXP(-LN(2)/2))/(LN(2)/2)*FM113*FP113*VLOOKUP('Données projet'!$B$16,Paramètres!$A$1:$I$89,3,0)*0.475*44/12</f>
        <v>0.55530457140545819</v>
      </c>
      <c r="FT113" s="22">
        <f t="shared" si="78"/>
        <v>45.795042377824004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280.19336229462556</v>
      </c>
      <c r="S114" s="59">
        <f ca="1">AVERAGE(OFFSET($R$3,0,0,'Données projet'!$E$9+1,1))-AVERAGE(OFFSET($H$3,0,0,'Données projet'!$E$9+1,1))</f>
        <v>318.50474972254085</v>
      </c>
      <c r="T114" s="59">
        <f t="shared" si="88"/>
        <v>326.45858332753562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50.578033624123307</v>
      </c>
      <c r="AA114" s="21">
        <f>EXP(-LN(2)/25)*AA113+(1-EXP(-LN(2)/25))/(LN(2)/25)*Calculateur!V114*Calculateur!X114*VLOOKUP('Données projet'!$B$9,Paramètres!$A$1:$I$89,3,0)*0.475*44/12</f>
        <v>11.77897731455589</v>
      </c>
      <c r="AB114" s="21">
        <f>EXP(-LN(2)/2)*AB113+(1-EXP(-LN(2)/2))/(LN(2)/2)*V114*Y114*VLOOKUP('Données projet'!$B$9,Paramètres!$A$1:$I$89,3,0)*0.475*44/12</f>
        <v>1.2635929235852569E-6</v>
      </c>
      <c r="AC114" s="22">
        <f t="shared" si="57"/>
        <v>62.357012202272116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8.2299999999999986</v>
      </c>
      <c r="AI114" s="13">
        <f>IF('Données projet'!$A$62&gt;35,AI113+AH114-AQ113,IF(A114&lt;'Données projet'!$A$62,$AF$205^A114,IF(A114='Données projet'!$A$62,'Données projet'!$B$62,AI113+AH114-AQ113)))</f>
        <v>395.62</v>
      </c>
      <c r="AJ114" s="13">
        <f>AI114*VLOOKUP('Données projet'!$B$10,Paramètres!$A$1:$I$89,3,0)*VLOOKUP('Données projet'!$B$10,Paramètres!$A$1:$I$89,5,0)</f>
        <v>185.15016000000003</v>
      </c>
      <c r="AK114" s="13">
        <f t="shared" si="89"/>
        <v>46.466113860658915</v>
      </c>
      <c r="AL114" s="20">
        <f t="shared" si="58"/>
        <v>403.39834364064762</v>
      </c>
      <c r="AM114" s="59">
        <f t="shared" si="59"/>
        <v>683.59170593527119</v>
      </c>
      <c r="AN114" s="59">
        <f ca="1">AVERAGE(OFFSET($AM$3,0,0,'Données projet'!$E$10+1,1))-AVERAGE(OFFSET($H$3,0,0,'Données projet'!$E$10+1,1))</f>
        <v>374.38106339726073</v>
      </c>
      <c r="AO114" s="59">
        <f t="shared" si="90"/>
        <v>296.53283288925957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66.14488623670826</v>
      </c>
      <c r="AV114" s="21">
        <f>EXP(-LN(2)/25)*AV113+(1-EXP(-LN(2)/25))/(LN(2)/25)*Calculateur!AQ114*Calculateur!AS114*VLOOKUP('Données projet'!$B$10,Paramètres!$A$1:$I$89,3,0)*0.475*44/12</f>
        <v>21.599785989735246</v>
      </c>
      <c r="AW114" s="21">
        <f>EXP(-LN(2)/2)*AW113+(1-EXP(-LN(2)/2))/(LN(2)/2)*AQ114*AT114*VLOOKUP('Données projet'!$B$10,Paramètres!$A$1:$I$89,3,0)*0.475*44/12</f>
        <v>4.9618001142793391</v>
      </c>
      <c r="AX114" s="21">
        <f t="shared" si="60"/>
        <v>92.70647234072284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8.8449999999999989</v>
      </c>
      <c r="BD114" s="12">
        <f>IF('Données projet'!$A$88&gt;35,BD113+BC114-BL113,IF(A114&lt;'Données projet'!$A$88,$BA$205^A114,IF(A114='Données projet'!$A$88,'Données projet'!$B$88,BD113+BC114-BL113)))</f>
        <v>398.02500000000066</v>
      </c>
      <c r="BE114" s="13">
        <f>BD114*VLOOKUP('Données projet'!$B$11,Paramètres!$A$1:$I$89,3,0)*VLOOKUP('Données projet'!$B$11,Paramètres!$A$1:$I$89,5,0)</f>
        <v>360.13302000000061</v>
      </c>
      <c r="BF114" s="13">
        <f t="shared" si="91"/>
        <v>83.645526906767415</v>
      </c>
      <c r="BG114" s="20">
        <f t="shared" si="61"/>
        <v>772.91430252928774</v>
      </c>
      <c r="BH114" s="59">
        <f t="shared" si="62"/>
        <v>1053.1076648239114</v>
      </c>
      <c r="BI114" s="59">
        <f ca="1">AVERAGE(OFFSET($BH$3,0,0,'Données projet'!$E$11+1,1))-AVERAGE(OFFSET($H$3,0,0,'Données projet'!$E$11+1,1))</f>
        <v>681.47578137804555</v>
      </c>
      <c r="BJ114" s="59">
        <f t="shared" si="92"/>
        <v>300.88511065995885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28.811206751587406</v>
      </c>
      <c r="BQ114" s="21">
        <f>EXP(-LN(2)/25)*BQ113+(1-EXP(-LN(2)/25))/(LN(2)/25)*Calculateur!BL114*Calculateur!BN114*VLOOKUP('Données projet'!$B$11,Paramètres!$A$1:$I$89,3,0)*0.475*44/12</f>
        <v>22.257032479922085</v>
      </c>
      <c r="BR114" s="21">
        <f>EXP(-LN(2)/2)*BR113+(1-EXP(-LN(2)/2))/(LN(2)/2)*BL114*BO114*VLOOKUP('Données projet'!$B$11,Paramètres!$A$1:$I$89,3,0)*0.475*44/12</f>
        <v>0.51508357306502783</v>
      </c>
      <c r="BS114" s="22">
        <f t="shared" si="63"/>
        <v>51.583322804574522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8.5265128291212022E-14</v>
      </c>
      <c r="BZ114" s="13">
        <f>BY114*VLOOKUP('Données projet'!$B$12,Paramètres!$A$1:$I$89,3,0)*VLOOKUP('Données projet'!$B$12,Paramètres!$A$1:$I$89,5,0)</f>
        <v>8.9119112089974823E-14</v>
      </c>
      <c r="CA114" s="13">
        <f t="shared" si="93"/>
        <v>1.3568952080113142E-12</v>
      </c>
      <c r="CB114" s="20">
        <f t="shared" si="64"/>
        <v>2.5184749408430782E-12</v>
      </c>
      <c r="CC114" s="59">
        <f t="shared" si="65"/>
        <v>280.19336229462607</v>
      </c>
      <c r="CD114" s="59">
        <f ca="1">AVERAGE(OFFSET($CC$3,0,0,'Données projet'!$E$12+1,1))-AVERAGE(OFFSET($H$3,0,0,'Données projet'!$E$12+1,1))</f>
        <v>290.69667785754848</v>
      </c>
      <c r="CE114" s="59">
        <f t="shared" si="94"/>
        <v>256.28124185489082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14.315054861517124</v>
      </c>
      <c r="CL114" s="21">
        <f>EXP(-LN(2)/25)*CL113+(1-EXP(-LN(2)/25))/(LN(2)/25)*Calculateur!CG114*Calculateur!CI114*VLOOKUP('Données projet'!$B$12,Paramètres!$A$1:$I$89,3,0)*0.475*44/12</f>
        <v>33.500359234465954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47.81541409598308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408.246209980743</v>
      </c>
      <c r="CZ114" s="59">
        <f t="shared" si="96"/>
        <v>394.10236303013903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30.891927310247354</v>
      </c>
      <c r="DG114" s="21">
        <f>EXP(-LN(2)/25)*DG113+(1-EXP(-LN(2)/25))/(LN(2)/25)*Calculateur!DB114*Calculateur!DD114*VLOOKUP('Données projet'!$B$13,Paramètres!$A$1:$I$89,3,0)*0.475*44/12</f>
        <v>23.859372107465759</v>
      </c>
      <c r="DH114" s="21">
        <f>EXP(-LN(2)/2)*DH113+(1-EXP(-LN(2)/2))/(LN(2)/2)*DB114*DE114*VLOOKUP('Données projet'!$B$13,Paramètres!$A$1:$I$89,3,0)*0.475*44/12</f>
        <v>1.4790602816702552E-3</v>
      </c>
      <c r="DI114" s="22">
        <f t="shared" si="69"/>
        <v>54.752778477994781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5.6843418860808015E-13</v>
      </c>
      <c r="DP114" s="17">
        <f>DO114*VLOOKUP('Données projet'!$B$14,Paramètres!$A$1:$I$89,3,0)*VLOOKUP('Données projet'!$B$14,Paramètres!$A$1:$I$89,5,0)</f>
        <v>3.177547114319168E-13</v>
      </c>
      <c r="DQ114" s="13">
        <f t="shared" si="97"/>
        <v>4.1725404435445377E-12</v>
      </c>
      <c r="DR114" s="20">
        <f t="shared" si="70"/>
        <v>7.820597394917325E-12</v>
      </c>
      <c r="DS114" s="59">
        <f t="shared" si="71"/>
        <v>280.19336229463141</v>
      </c>
      <c r="DT114" s="59">
        <f ca="1">AVERAGE(OFFSET($DS$3,0,0,'Données projet'!$E$14+1,1))-AVERAGE(OFFSET($H$3,0,0,'Données projet'!$E$14+1,1))</f>
        <v>407.05634973057056</v>
      </c>
      <c r="DU114" s="59">
        <f t="shared" si="98"/>
        <v>375.32891954889965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102.44815901456747</v>
      </c>
      <c r="EB114" s="21">
        <f>EXP(-LN(2)/25)*EB113+(1-EXP(-LN(2)/25))/(LN(2)/25)*Calculateur!DW114*Calculateur!DY114*VLOOKUP('Données projet'!$B$14,Paramètres!$A$1:$I$89,3,0)*0.475*44/12</f>
        <v>24.628091173897968</v>
      </c>
      <c r="EC114" s="21">
        <f>EXP(-LN(2)/2)*EC113+(1-EXP(-LN(2)/2))/(LN(2)/2)*DW114*DZ114*VLOOKUP('Données projet'!$B$14,Paramètres!$A$1:$I$89,3,0)*0.475*44/12</f>
        <v>5.0917118325912247E-5</v>
      </c>
      <c r="ED114" s="22">
        <f t="shared" si="72"/>
        <v>127.07630110558377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1.1368683772161603E-13</v>
      </c>
      <c r="EK114" s="17">
        <f>EJ114*VLOOKUP('Données projet'!$B$15,Paramètres!$A$1:$I$89,3,0)*VLOOKUP('Données projet'!$B$15,Paramètres!$A$1:$I$89,5,0)</f>
        <v>5.0249582272954292E-14</v>
      </c>
      <c r="EL114" s="13">
        <f t="shared" si="99"/>
        <v>8.1784820119191593E-13</v>
      </c>
      <c r="EM114" s="20">
        <f t="shared" si="73"/>
        <v>1.5119369728679821E-12</v>
      </c>
      <c r="EN114" s="59">
        <f t="shared" si="74"/>
        <v>280.1933622946251</v>
      </c>
      <c r="EO114" s="59">
        <f ca="1">AVERAGE(OFFSET($EN$3,0,0,'Données projet'!$E$15+1,1))-AVERAGE(OFFSET($H$3,0,0,'Données projet'!$E$15+1,1))</f>
        <v>418.28022549686278</v>
      </c>
      <c r="EP114" s="59">
        <f t="shared" si="100"/>
        <v>354.55070454517158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111.83414894224407</v>
      </c>
      <c r="EW114" s="21">
        <f>EXP(-LN(2)/25)*EW113+(1-EXP(-LN(2)/25))/(LN(2)/25)*Calculateur!ER114*Calculateur!ET114*VLOOKUP('Données projet'!$B$15,Paramètres!$A$1:$I$89,3,0)*0.475*44/12</f>
        <v>30.438767689571687</v>
      </c>
      <c r="EX114" s="21">
        <f>EXP(-LN(2)/2)*EX113+(1-EXP(-LN(2)/2))/(LN(2)/2)*ER114*EU114*VLOOKUP('Données projet'!$B$15,Paramètres!$A$1:$I$89,3,0)*0.475*44/12</f>
        <v>1.6962080222403658E-3</v>
      </c>
      <c r="EY114" s="22">
        <f t="shared" si="75"/>
        <v>142.274612839838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6.8811111111111085</v>
      </c>
      <c r="FE114" s="12">
        <f>IF('Données projet'!$A$218&gt;35,FE113+FD114-FM113,IF(A114&lt;'Données projet'!$A$218,$FB$205^A114,IF(A114='Données projet'!$A$218,'Données projet'!$B$218,FE113+FD114-FM113)))</f>
        <v>280.13777777777761</v>
      </c>
      <c r="FF114" s="17">
        <f>FE114*VLOOKUP('Données projet'!$B$16,Paramètres!$A$1:$I$89,3,0)*VLOOKUP('Données projet'!$B$16,Paramètres!$A$1:$I$89,5,0)</f>
        <v>319.02090133333314</v>
      </c>
      <c r="FG114" s="13">
        <f t="shared" si="101"/>
        <v>75.149596825299852</v>
      </c>
      <c r="FH114" s="20">
        <f t="shared" si="76"/>
        <v>686.51361762628574</v>
      </c>
      <c r="FI114" s="59">
        <f t="shared" si="77"/>
        <v>966.70697992090936</v>
      </c>
      <c r="FJ114" s="59">
        <f ca="1">AVERAGE(OFFSET($FI$3,0,0,'Données projet'!$E$16+1,1))-AVERAGE(OFFSET($H$3,0,0,'Données projet'!$E$16+1,1))</f>
        <v>640.05156427113661</v>
      </c>
      <c r="FK114" s="59">
        <f t="shared" si="102"/>
        <v>308.77220155372902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16.657883253584497</v>
      </c>
      <c r="FR114" s="21">
        <f>EXP(-LN(2)/25)*FR113+(1-EXP(-LN(2)/25))/(LN(2)/25)*Calculateur!FM114*Calculateur!FO114*VLOOKUP('Données projet'!$B$16,Paramètres!$A$1:$I$89,3,0)*0.475*44/12</f>
        <v>27.476208709390214</v>
      </c>
      <c r="FS114" s="21">
        <f>EXP(-LN(2)/2)*FS113+(1-EXP(-LN(2)/2))/(LN(2)/2)*FM114*FP114*VLOOKUP('Données projet'!$B$16,Paramètres!$A$1:$I$89,3,0)*0.475*44/12</f>
        <v>0.3926596280646889</v>
      </c>
      <c r="FT114" s="22">
        <f t="shared" si="78"/>
        <v>44.5267515910394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280.42131141557286</v>
      </c>
      <c r="S115" s="59">
        <f ca="1">AVERAGE(OFFSET($R$3,0,0,'Données projet'!$E$9+1,1))-AVERAGE(OFFSET($H$3,0,0,'Données projet'!$E$9+1,1))</f>
        <v>318.50474972254085</v>
      </c>
      <c r="T115" s="59">
        <f t="shared" si="88"/>
        <v>326.45858332753562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49.586229234308618</v>
      </c>
      <c r="AA115" s="21">
        <f>EXP(-LN(2)/25)*AA114+(1-EXP(-LN(2)/25))/(LN(2)/25)*Calculateur!V115*Calculateur!X115*VLOOKUP('Données projet'!$B$9,Paramètres!$A$1:$I$89,3,0)*0.475*44/12</f>
        <v>11.456880560459863</v>
      </c>
      <c r="AB115" s="21">
        <f>EXP(-LN(2)/2)*AB114+(1-EXP(-LN(2)/2))/(LN(2)/2)*V115*Y115*VLOOKUP('Données projet'!$B$9,Paramètres!$A$1:$I$89,3,0)*0.475*44/12</f>
        <v>8.9349512492647013E-7</v>
      </c>
      <c r="AC115" s="22">
        <f t="shared" si="57"/>
        <v>61.04311068826361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8.2299999999999986</v>
      </c>
      <c r="AI115" s="13">
        <f>IF('Données projet'!$A$62&gt;35,AI114+AH115-AQ114,IF(A115&lt;'Données projet'!$A$62,$AF$205^A115,IF(A115='Données projet'!$A$62,'Données projet'!$B$62,AI114+AH115-AQ114)))</f>
        <v>403.85</v>
      </c>
      <c r="AJ115" s="13">
        <f>AI115*VLOOKUP('Données projet'!$B$10,Paramètres!$A$1:$I$89,3,0)*VLOOKUP('Données projet'!$B$10,Paramètres!$A$1:$I$89,5,0)</f>
        <v>189.0018</v>
      </c>
      <c r="AK115" s="13">
        <f t="shared" si="89"/>
        <v>47.319197393100204</v>
      </c>
      <c r="AL115" s="20">
        <f t="shared" si="58"/>
        <v>411.59240379298285</v>
      </c>
      <c r="AM115" s="59">
        <f t="shared" si="59"/>
        <v>692.01371520855378</v>
      </c>
      <c r="AN115" s="59">
        <f ca="1">AVERAGE(OFFSET($AM$3,0,0,'Données projet'!$E$10+1,1))-AVERAGE(OFFSET($H$3,0,0,'Données projet'!$E$10+1,1))</f>
        <v>374.38106339726073</v>
      </c>
      <c r="AO115" s="59">
        <f t="shared" si="90"/>
        <v>296.53283288925957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64.847825362003334</v>
      </c>
      <c r="AV115" s="21">
        <f>EXP(-LN(2)/25)*AV114+(1-EXP(-LN(2)/25))/(LN(2)/25)*Calculateur!AQ115*Calculateur!AS115*VLOOKUP('Données projet'!$B$10,Paramètres!$A$1:$I$89,3,0)*0.475*44/12</f>
        <v>21.009138705962556</v>
      </c>
      <c r="AW115" s="21">
        <f>EXP(-LN(2)/2)*AW114+(1-EXP(-LN(2)/2))/(LN(2)/2)*AQ115*AT115*VLOOKUP('Données projet'!$B$10,Paramètres!$A$1:$I$89,3,0)*0.475*44/12</f>
        <v>3.5085225076991073</v>
      </c>
      <c r="AX115" s="21">
        <f t="shared" si="60"/>
        <v>89.365486575665003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8.8449999999999989</v>
      </c>
      <c r="BD115" s="12">
        <f>IF('Données projet'!$A$88&gt;35,BD114+BC115-BL114,IF(A115&lt;'Données projet'!$A$88,$BA$205^A115,IF(A115='Données projet'!$A$88,'Données projet'!$B$88,BD114+BC115-BL114)))</f>
        <v>406.87000000000069</v>
      </c>
      <c r="BE115" s="13">
        <f>BD115*VLOOKUP('Données projet'!$B$11,Paramètres!$A$1:$I$89,3,0)*VLOOKUP('Données projet'!$B$11,Paramètres!$A$1:$I$89,5,0)</f>
        <v>368.1359760000006</v>
      </c>
      <c r="BF115" s="13">
        <f t="shared" si="91"/>
        <v>85.285846455183602</v>
      </c>
      <c r="BG115" s="20">
        <f t="shared" si="61"/>
        <v>789.70967410944593</v>
      </c>
      <c r="BH115" s="59">
        <f t="shared" si="62"/>
        <v>1070.1309855250167</v>
      </c>
      <c r="BI115" s="59">
        <f ca="1">AVERAGE(OFFSET($BH$3,0,0,'Données projet'!$E$11+1,1))-AVERAGE(OFFSET($H$3,0,0,'Données projet'!$E$11+1,1))</f>
        <v>681.47578137804555</v>
      </c>
      <c r="BJ115" s="59">
        <f t="shared" si="92"/>
        <v>300.88511065995885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28.246236560289695</v>
      </c>
      <c r="BQ115" s="21">
        <f>EXP(-LN(2)/25)*BQ114+(1-EXP(-LN(2)/25))/(LN(2)/25)*Calculateur!BL115*Calculateur!BN115*VLOOKUP('Données projet'!$B$11,Paramètres!$A$1:$I$89,3,0)*0.475*44/12</f>
        <v>21.648412756312148</v>
      </c>
      <c r="BR115" s="21">
        <f>EXP(-LN(2)/2)*BR114+(1-EXP(-LN(2)/2))/(LN(2)/2)*BL115*BO115*VLOOKUP('Données projet'!$B$11,Paramètres!$A$1:$I$89,3,0)*0.475*44/12</f>
        <v>0.3642190873920777</v>
      </c>
      <c r="BS115" s="22">
        <f t="shared" si="63"/>
        <v>50.258868403993922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8.5265128291212022E-14</v>
      </c>
      <c r="BZ115" s="13">
        <f>BY115*VLOOKUP('Données projet'!$B$12,Paramètres!$A$1:$I$89,3,0)*VLOOKUP('Données projet'!$B$12,Paramètres!$A$1:$I$89,5,0)</f>
        <v>8.9119112089974823E-14</v>
      </c>
      <c r="CA115" s="13">
        <f t="shared" si="93"/>
        <v>1.3568952080113142E-12</v>
      </c>
      <c r="CB115" s="20">
        <f t="shared" si="64"/>
        <v>2.5184749408430782E-12</v>
      </c>
      <c r="CC115" s="59">
        <f t="shared" si="65"/>
        <v>280.42131141557337</v>
      </c>
      <c r="CD115" s="59">
        <f ca="1">AVERAGE(OFFSET($CC$3,0,0,'Données projet'!$E$12+1,1))-AVERAGE(OFFSET($H$3,0,0,'Données projet'!$E$12+1,1))</f>
        <v>290.69667785754848</v>
      </c>
      <c r="CE115" s="59">
        <f t="shared" si="94"/>
        <v>256.28124185489082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14.034345367004093</v>
      </c>
      <c r="CL115" s="21">
        <f>EXP(-LN(2)/25)*CL114+(1-EXP(-LN(2)/25))/(LN(2)/25)*Calculateur!CG115*Calculateur!CI115*VLOOKUP('Données projet'!$B$12,Paramètres!$A$1:$I$89,3,0)*0.475*44/12</f>
        <v>32.584290149492155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46.618635516496248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408.246209980743</v>
      </c>
      <c r="CZ115" s="59">
        <f t="shared" si="96"/>
        <v>394.10236303013903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30.286155457908549</v>
      </c>
      <c r="DG115" s="21">
        <f>EXP(-LN(2)/25)*DG114+(1-EXP(-LN(2)/25))/(LN(2)/25)*Calculateur!DB115*Calculateur!DD115*VLOOKUP('Données projet'!$B$13,Paramètres!$A$1:$I$89,3,0)*0.475*44/12</f>
        <v>23.206936322477262</v>
      </c>
      <c r="DH115" s="21">
        <f>EXP(-LN(2)/2)*DH114+(1-EXP(-LN(2)/2))/(LN(2)/2)*DB115*DE115*VLOOKUP('Données projet'!$B$13,Paramètres!$A$1:$I$89,3,0)*0.475*44/12</f>
        <v>1.0458535549527225E-3</v>
      </c>
      <c r="DI115" s="22">
        <f t="shared" si="69"/>
        <v>53.494137633940767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5.6843418860808015E-13</v>
      </c>
      <c r="DP115" s="17">
        <f>DO115*VLOOKUP('Données projet'!$B$14,Paramètres!$A$1:$I$89,3,0)*VLOOKUP('Données projet'!$B$14,Paramètres!$A$1:$I$89,5,0)</f>
        <v>3.177547114319168E-13</v>
      </c>
      <c r="DQ115" s="13">
        <f t="shared" si="97"/>
        <v>4.1725404435445377E-12</v>
      </c>
      <c r="DR115" s="20">
        <f t="shared" si="70"/>
        <v>7.820597394917325E-12</v>
      </c>
      <c r="DS115" s="59">
        <f t="shared" si="71"/>
        <v>280.42131141557871</v>
      </c>
      <c r="DT115" s="59">
        <f ca="1">AVERAGE(OFFSET($DS$3,0,0,'Données projet'!$E$14+1,1))-AVERAGE(OFFSET($H$3,0,0,'Données projet'!$E$14+1,1))</f>
        <v>407.05634973057056</v>
      </c>
      <c r="DU115" s="59">
        <f t="shared" si="98"/>
        <v>375.32891954889965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100.4392131034987</v>
      </c>
      <c r="EB115" s="21">
        <f>EXP(-LN(2)/25)*EB114+(1-EXP(-LN(2)/25))/(LN(2)/25)*Calculateur!DW115*Calculateur!DY115*VLOOKUP('Données projet'!$B$14,Paramètres!$A$1:$I$89,3,0)*0.475*44/12</f>
        <v>23.954634725612703</v>
      </c>
      <c r="EC115" s="21">
        <f>EXP(-LN(2)/2)*EC114+(1-EXP(-LN(2)/2))/(LN(2)/2)*DW115*DZ115*VLOOKUP('Données projet'!$B$14,Paramètres!$A$1:$I$89,3,0)*0.475*44/12</f>
        <v>3.600383964673038E-5</v>
      </c>
      <c r="ED115" s="22">
        <f t="shared" si="72"/>
        <v>124.39388383295106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1.1368683772161603E-13</v>
      </c>
      <c r="EK115" s="17">
        <f>EJ115*VLOOKUP('Données projet'!$B$15,Paramètres!$A$1:$I$89,3,0)*VLOOKUP('Données projet'!$B$15,Paramètres!$A$1:$I$89,5,0)</f>
        <v>5.0249582272954292E-14</v>
      </c>
      <c r="EL115" s="13">
        <f t="shared" si="99"/>
        <v>8.1784820119191593E-13</v>
      </c>
      <c r="EM115" s="20">
        <f t="shared" si="73"/>
        <v>1.5119369728679821E-12</v>
      </c>
      <c r="EN115" s="59">
        <f t="shared" si="74"/>
        <v>280.4213114155724</v>
      </c>
      <c r="EO115" s="59">
        <f ca="1">AVERAGE(OFFSET($EN$3,0,0,'Données projet'!$E$15+1,1))-AVERAGE(OFFSET($H$3,0,0,'Données projet'!$E$15+1,1))</f>
        <v>418.28022549686278</v>
      </c>
      <c r="EP115" s="59">
        <f t="shared" si="100"/>
        <v>354.55070454517158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109.64114949358213</v>
      </c>
      <c r="EW115" s="21">
        <f>EXP(-LN(2)/25)*EW114+(1-EXP(-LN(2)/25))/(LN(2)/25)*Calculateur!ER115*Calculateur!ET115*VLOOKUP('Données projet'!$B$15,Paramètres!$A$1:$I$89,3,0)*0.475*44/12</f>
        <v>29.606417986395126</v>
      </c>
      <c r="EX115" s="21">
        <f>EXP(-LN(2)/2)*EX114+(1-EXP(-LN(2)/2))/(LN(2)/2)*ER115*EU115*VLOOKUP('Données projet'!$B$15,Paramètres!$A$1:$I$89,3,0)*0.475*44/12</f>
        <v>1.1994001948291849E-3</v>
      </c>
      <c r="EY115" s="22">
        <f t="shared" si="75"/>
        <v>139.24876688017207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6.8811111111111085</v>
      </c>
      <c r="FE115" s="12">
        <f>IF('Données projet'!$A$218&gt;35,FE114+FD115-FM114,IF(A115&lt;'Données projet'!$A$218,$FB$205^A115,IF(A115='Données projet'!$A$218,'Données projet'!$B$218,FE114+FD115-FM114)))</f>
        <v>287.01888888888874</v>
      </c>
      <c r="FF115" s="17">
        <f>FE115*VLOOKUP('Données projet'!$B$16,Paramètres!$A$1:$I$89,3,0)*VLOOKUP('Données projet'!$B$16,Paramètres!$A$1:$I$89,5,0)</f>
        <v>326.85711066666653</v>
      </c>
      <c r="FG115" s="13">
        <f t="shared" si="101"/>
        <v>76.778343563812527</v>
      </c>
      <c r="FH115" s="20">
        <f t="shared" si="76"/>
        <v>702.99841611808426</v>
      </c>
      <c r="FI115" s="59">
        <f t="shared" si="77"/>
        <v>983.41972753365508</v>
      </c>
      <c r="FJ115" s="59">
        <f ca="1">AVERAGE(OFFSET($FI$3,0,0,'Données projet'!$E$16+1,1))-AVERAGE(OFFSET($H$3,0,0,'Données projet'!$E$16+1,1))</f>
        <v>640.05156427113661</v>
      </c>
      <c r="FK115" s="59">
        <f t="shared" si="102"/>
        <v>308.77220155372902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16.331232323287242</v>
      </c>
      <c r="FR115" s="21">
        <f>EXP(-LN(2)/25)*FR114+(1-EXP(-LN(2)/25))/(LN(2)/25)*Calculateur!FM115*Calculateur!FO115*VLOOKUP('Données projet'!$B$16,Paramètres!$A$1:$I$89,3,0)*0.475*44/12</f>
        <v>26.724870337320919</v>
      </c>
      <c r="FS115" s="21">
        <f>EXP(-LN(2)/2)*FS114+(1-EXP(-LN(2)/2))/(LN(2)/2)*FM115*FP115*VLOOKUP('Données projet'!$B$16,Paramètres!$A$1:$I$89,3,0)*0.475*44/12</f>
        <v>0.27765228570272915</v>
      </c>
      <c r="FT115" s="22">
        <f t="shared" si="78"/>
        <v>43.33375494631089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280.64530612888962</v>
      </c>
      <c r="S116" s="59">
        <f ca="1">AVERAGE(OFFSET($R$3,0,0,'Données projet'!$E$9+1,1))-AVERAGE(OFFSET($H$3,0,0,'Données projet'!$E$9+1,1))</f>
        <v>318.50474972254085</v>
      </c>
      <c r="T116" s="59">
        <f t="shared" si="88"/>
        <v>326.45858332753562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48.613873523637253</v>
      </c>
      <c r="AA116" s="21">
        <f>EXP(-LN(2)/25)*AA115+(1-EXP(-LN(2)/25))/(LN(2)/25)*Calculateur!V116*Calculateur!X116*VLOOKUP('Données projet'!$B$9,Paramètres!$A$1:$I$89,3,0)*0.475*44/12</f>
        <v>11.143591559042925</v>
      </c>
      <c r="AB116" s="21">
        <f>EXP(-LN(2)/2)*AB115+(1-EXP(-LN(2)/2))/(LN(2)/2)*V116*Y116*VLOOKUP('Données projet'!$B$9,Paramètres!$A$1:$I$89,3,0)*0.475*44/12</f>
        <v>6.3179646179262845E-7</v>
      </c>
      <c r="AC116" s="22">
        <f t="shared" si="57"/>
        <v>59.757465714476638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8.2299999999999986</v>
      </c>
      <c r="AI116" s="13">
        <f>IF('Données projet'!$A$62&gt;35,AI115+AH116-AQ115,IF(A116&lt;'Données projet'!$A$62,$AF$205^A116,IF(A116='Données projet'!$A$62,'Données projet'!$B$62,AI115+AH116-AQ115)))</f>
        <v>412.08000000000004</v>
      </c>
      <c r="AJ116" s="13">
        <f>AI116*VLOOKUP('Données projet'!$B$10,Paramètres!$A$1:$I$89,3,0)*VLOOKUP('Données projet'!$B$10,Paramètres!$A$1:$I$89,5,0)</f>
        <v>192.85344000000003</v>
      </c>
      <c r="AK116" s="13">
        <f t="shared" si="89"/>
        <v>48.170259577628116</v>
      </c>
      <c r="AL116" s="20">
        <f t="shared" si="58"/>
        <v>419.78294343103568</v>
      </c>
      <c r="AM116" s="59">
        <f t="shared" si="59"/>
        <v>700.4282495599233</v>
      </c>
      <c r="AN116" s="59">
        <f ca="1">AVERAGE(OFFSET($AM$3,0,0,'Données projet'!$E$10+1,1))-AVERAGE(OFFSET($H$3,0,0,'Données projet'!$E$10+1,1))</f>
        <v>374.38106339726073</v>
      </c>
      <c r="AO116" s="59">
        <f t="shared" si="90"/>
        <v>296.53283288925957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63.576199059922359</v>
      </c>
      <c r="AV116" s="21">
        <f>EXP(-LN(2)/25)*AV115+(1-EXP(-LN(2)/25))/(LN(2)/25)*Calculateur!AQ116*Calculateur!AS116*VLOOKUP('Données projet'!$B$10,Paramètres!$A$1:$I$89,3,0)*0.475*44/12</f>
        <v>20.434642703225421</v>
      </c>
      <c r="AW116" s="21">
        <f>EXP(-LN(2)/2)*AW115+(1-EXP(-LN(2)/2))/(LN(2)/2)*AQ116*AT116*VLOOKUP('Données projet'!$B$10,Paramètres!$A$1:$I$89,3,0)*0.475*44/12</f>
        <v>2.48090005713967</v>
      </c>
      <c r="AX116" s="21">
        <f t="shared" si="60"/>
        <v>86.491741820287444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8.8449999999999989</v>
      </c>
      <c r="BD116" s="12">
        <f>IF('Données projet'!$A$88&gt;35,BD115+BC116-BL115,IF(A116&lt;'Données projet'!$A$88,$BA$205^A116,IF(A116='Données projet'!$A$88,'Données projet'!$B$88,BD115+BC116-BL115)))</f>
        <v>415.71500000000071</v>
      </c>
      <c r="BE116" s="13">
        <f>BD116*VLOOKUP('Données projet'!$B$11,Paramètres!$A$1:$I$89,3,0)*VLOOKUP('Données projet'!$B$11,Paramètres!$A$1:$I$89,5,0)</f>
        <v>376.13893200000064</v>
      </c>
      <c r="BF116" s="13">
        <f t="shared" si="91"/>
        <v>86.922020183945492</v>
      </c>
      <c r="BG116" s="20">
        <f t="shared" si="61"/>
        <v>806.49782505370615</v>
      </c>
      <c r="BH116" s="59">
        <f t="shared" si="62"/>
        <v>1087.1431311825938</v>
      </c>
      <c r="BI116" s="59">
        <f ca="1">AVERAGE(OFFSET($BH$3,0,0,'Données projet'!$E$11+1,1))-AVERAGE(OFFSET($H$3,0,0,'Données projet'!$E$11+1,1))</f>
        <v>681.47578137804555</v>
      </c>
      <c r="BJ116" s="59">
        <f t="shared" si="92"/>
        <v>300.88511065995885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27.692345089845542</v>
      </c>
      <c r="BQ116" s="21">
        <f>EXP(-LN(2)/25)*BQ115+(1-EXP(-LN(2)/25))/(LN(2)/25)*Calculateur!BL116*Calculateur!BN116*VLOOKUP('Données projet'!$B$11,Paramètres!$A$1:$I$89,3,0)*0.475*44/12</f>
        <v>21.056435771050243</v>
      </c>
      <c r="BR116" s="21">
        <f>EXP(-LN(2)/2)*BR115+(1-EXP(-LN(2)/2))/(LN(2)/2)*BL116*BO116*VLOOKUP('Données projet'!$B$11,Paramètres!$A$1:$I$89,3,0)*0.475*44/12</f>
        <v>0.25754178653251392</v>
      </c>
      <c r="BS116" s="22">
        <f t="shared" si="63"/>
        <v>49.006322647428298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8.5265128291212022E-14</v>
      </c>
      <c r="BZ116" s="13">
        <f>BY116*VLOOKUP('Données projet'!$B$12,Paramètres!$A$1:$I$89,3,0)*VLOOKUP('Données projet'!$B$12,Paramètres!$A$1:$I$89,5,0)</f>
        <v>8.9119112089974823E-14</v>
      </c>
      <c r="CA116" s="13">
        <f t="shared" si="93"/>
        <v>1.3568952080113142E-12</v>
      </c>
      <c r="CB116" s="20">
        <f t="shared" si="64"/>
        <v>2.5184749408430782E-12</v>
      </c>
      <c r="CC116" s="59">
        <f t="shared" si="65"/>
        <v>280.64530612889013</v>
      </c>
      <c r="CD116" s="59">
        <f ca="1">AVERAGE(OFFSET($CC$3,0,0,'Données projet'!$E$12+1,1))-AVERAGE(OFFSET($H$3,0,0,'Données projet'!$E$12+1,1))</f>
        <v>290.69667785754848</v>
      </c>
      <c r="CE116" s="59">
        <f t="shared" si="94"/>
        <v>256.28124185489082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13.759140414462577</v>
      </c>
      <c r="CL116" s="21">
        <f>EXP(-LN(2)/25)*CL115+(1-EXP(-LN(2)/25))/(LN(2)/25)*Calculateur!CG116*Calculateur!CI116*VLOOKUP('Données projet'!$B$12,Paramètres!$A$1:$I$89,3,0)*0.475*44/12</f>
        <v>31.693271021820944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45.452411436283519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408.246209980743</v>
      </c>
      <c r="CZ116" s="59">
        <f t="shared" si="96"/>
        <v>394.10236303013903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29.69226242210976</v>
      </c>
      <c r="DG116" s="21">
        <f>EXP(-LN(2)/25)*DG115+(1-EXP(-LN(2)/25))/(LN(2)/25)*Calculateur!DB116*Calculateur!DD116*VLOOKUP('Données projet'!$B$13,Paramètres!$A$1:$I$89,3,0)*0.475*44/12</f>
        <v>22.572341428339382</v>
      </c>
      <c r="DH116" s="21">
        <f>EXP(-LN(2)/2)*DH115+(1-EXP(-LN(2)/2))/(LN(2)/2)*DB116*DE116*VLOOKUP('Données projet'!$B$13,Paramètres!$A$1:$I$89,3,0)*0.475*44/12</f>
        <v>7.3953014083512759E-4</v>
      </c>
      <c r="DI116" s="22">
        <f t="shared" si="69"/>
        <v>52.265343380589975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5.6843418860808015E-13</v>
      </c>
      <c r="DP116" s="17">
        <f>DO116*VLOOKUP('Données projet'!$B$14,Paramètres!$A$1:$I$89,3,0)*VLOOKUP('Données projet'!$B$14,Paramètres!$A$1:$I$89,5,0)</f>
        <v>3.177547114319168E-13</v>
      </c>
      <c r="DQ116" s="13">
        <f t="shared" si="97"/>
        <v>4.1725404435445377E-12</v>
      </c>
      <c r="DR116" s="20">
        <f t="shared" si="70"/>
        <v>7.820597394917325E-12</v>
      </c>
      <c r="DS116" s="59">
        <f t="shared" si="71"/>
        <v>280.64530612889547</v>
      </c>
      <c r="DT116" s="59">
        <f ca="1">AVERAGE(OFFSET($DS$3,0,0,'Données projet'!$E$14+1,1))-AVERAGE(OFFSET($H$3,0,0,'Données projet'!$E$14+1,1))</f>
        <v>407.05634973057056</v>
      </c>
      <c r="DU116" s="59">
        <f t="shared" si="98"/>
        <v>375.32891954889965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98.469661396409975</v>
      </c>
      <c r="EB116" s="21">
        <f>EXP(-LN(2)/25)*EB115+(1-EXP(-LN(2)/25))/(LN(2)/25)*Calculateur!DW116*Calculateur!DY116*VLOOKUP('Données projet'!$B$14,Paramètres!$A$1:$I$89,3,0)*0.475*44/12</f>
        <v>23.299593979321333</v>
      </c>
      <c r="EC116" s="21">
        <f>EXP(-LN(2)/2)*EC115+(1-EXP(-LN(2)/2))/(LN(2)/2)*DW116*DZ116*VLOOKUP('Données projet'!$B$14,Paramètres!$A$1:$I$89,3,0)*0.475*44/12</f>
        <v>2.5458559162956124E-5</v>
      </c>
      <c r="ED116" s="22">
        <f t="shared" si="72"/>
        <v>121.76928083429047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1.1368683772161603E-13</v>
      </c>
      <c r="EK116" s="17">
        <f>EJ116*VLOOKUP('Données projet'!$B$15,Paramètres!$A$1:$I$89,3,0)*VLOOKUP('Données projet'!$B$15,Paramètres!$A$1:$I$89,5,0)</f>
        <v>5.0249582272954292E-14</v>
      </c>
      <c r="EL116" s="13">
        <f t="shared" si="99"/>
        <v>8.1784820119191593E-13</v>
      </c>
      <c r="EM116" s="20">
        <f t="shared" si="73"/>
        <v>1.5119369728679821E-12</v>
      </c>
      <c r="EN116" s="59">
        <f t="shared" si="74"/>
        <v>280.64530612888916</v>
      </c>
      <c r="EO116" s="59">
        <f ca="1">AVERAGE(OFFSET($EN$3,0,0,'Données projet'!$E$15+1,1))-AVERAGE(OFFSET($H$3,0,0,'Données projet'!$E$15+1,1))</f>
        <v>418.28022549686278</v>
      </c>
      <c r="EP116" s="59">
        <f t="shared" si="100"/>
        <v>354.55070454517158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107.49115342651088</v>
      </c>
      <c r="EW116" s="21">
        <f>EXP(-LN(2)/25)*EW115+(1-EXP(-LN(2)/25))/(LN(2)/25)*Calculateur!ER116*Calculateur!ET116*VLOOKUP('Données projet'!$B$15,Paramètres!$A$1:$I$89,3,0)*0.475*44/12</f>
        <v>28.796828929623295</v>
      </c>
      <c r="EX116" s="21">
        <f>EXP(-LN(2)/2)*EX115+(1-EXP(-LN(2)/2))/(LN(2)/2)*ER116*EU116*VLOOKUP('Données projet'!$B$15,Paramètres!$A$1:$I$89,3,0)*0.475*44/12</f>
        <v>8.4810401112018292E-4</v>
      </c>
      <c r="EY116" s="22">
        <f t="shared" si="75"/>
        <v>136.28883046014528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>
        <f>VLOOKUP(A116,'Données projet'!$A$217:$I$237,2,0)</f>
        <v>293.89999999999998</v>
      </c>
      <c r="FC116" s="12">
        <f>VLOOKUP(A116,'Données projet'!$A$217:$I$237,9,0)</f>
        <v>6.8811111111111085</v>
      </c>
      <c r="FD116" s="12">
        <f t="array" ref="FD116">INDEX(FC:FC,MIN(IF(ISNUMBER(FC116:FC312),ROW(FC116:FC312),"")))</f>
        <v>6.8811111111111085</v>
      </c>
      <c r="FE116" s="12">
        <f>IF('Données projet'!$A$218&gt;35,FE115+FD116-FM115,IF(A116&lt;'Données projet'!$A$218,$FB$205^A116,IF(A116='Données projet'!$A$218,'Données projet'!$B$218,FE115+FD116-FM115)))</f>
        <v>293.89999999999986</v>
      </c>
      <c r="FF116" s="17">
        <f>FE116*VLOOKUP('Données projet'!$B$16,Paramètres!$A$1:$I$89,3,0)*VLOOKUP('Données projet'!$B$16,Paramètres!$A$1:$I$89,5,0)</f>
        <v>334.69331999999986</v>
      </c>
      <c r="FG116" s="13">
        <f t="shared" si="101"/>
        <v>78.402550961752141</v>
      </c>
      <c r="FH116" s="20">
        <f t="shared" si="76"/>
        <v>719.47530859171786</v>
      </c>
      <c r="FI116" s="59">
        <f t="shared" si="77"/>
        <v>1000.1206147206055</v>
      </c>
      <c r="FJ116" s="59">
        <f ca="1">AVERAGE(OFFSET($FI$3,0,0,'Données projet'!$E$16+1,1))-AVERAGE(OFFSET($H$3,0,0,'Données projet'!$E$16+1,1))</f>
        <v>640.05156427113661</v>
      </c>
      <c r="FK116" s="59">
        <f t="shared" si="102"/>
        <v>308.77220155372902</v>
      </c>
      <c r="FL116" s="15">
        <f>IF(ISNA(VLOOKUP(A116,'Données projet'!$A$217:$I$237,3,0)),0,VLOOKUP(A116,'Données projet'!$A$217:$I$237,3,0))</f>
        <v>7</v>
      </c>
      <c r="FM116" s="15">
        <f>IF(ISNA(VLOOKUP(A116,'Données projet'!$A$217:$I$237,4,0)),0,VLOOKUP(A116,'Données projet'!$A$217:$I$237,4,0))</f>
        <v>41.639999999999986</v>
      </c>
      <c r="FN116" s="16">
        <f>IF(ISNA(VLOOKUP(A116,'Données projet'!$A$217:$I$237,5,0)),0%,VLOOKUP(A116,'Données projet'!$A$217:$I$237,5,0)*VLOOKUP('Données projet'!$B$16,Paramètres!$A$1:$I$89,7,0))</f>
        <v>0.15049999999999999</v>
      </c>
      <c r="FO116" s="16">
        <f>IF(ISNA(VLOOKUP(A116,'Données projet'!$A$217:$I$237,6,0)),0%,VLOOKUP(A116,'Données projet'!$A$217:$I$237,6,0)*VLOOKUP('Données projet'!$B$16,Paramètres!$A$1:$I$89,7,0))</f>
        <v>8.6000000000000007E-2</v>
      </c>
      <c r="FP116" s="16">
        <f>IF(ISNA(VLOOKUP(A116,'Données projet'!$A$217:$I$237,7,0)),0%,VLOOKUP(A116,'Données projet'!$A$217:$I$237,7,0))</f>
        <v>0.1</v>
      </c>
      <c r="FQ116" s="21">
        <f>EXP(-LN(2)/35)*FQ115+(1-EXP(-LN(2)/35))/(LN(2)/35)*FM116*FN116*VLOOKUP('Données projet'!$B$16,Paramètres!$A$1:$I$89,3,0)*0.475*44/12</f>
        <v>23.900347105440822</v>
      </c>
      <c r="FR116" s="21">
        <f>EXP(-LN(2)/25)*FR115+(1-EXP(-LN(2)/25))/(LN(2)/25)*Calculateur!FM116*Calculateur!FO116*VLOOKUP('Données projet'!$B$16,Paramètres!$A$1:$I$89,3,0)*0.475*44/12</f>
        <v>30.484532706497571</v>
      </c>
      <c r="FS116" s="21">
        <f>EXP(-LN(2)/2)*FS115+(1-EXP(-LN(2)/2))/(LN(2)/2)*FM116*FP116*VLOOKUP('Données projet'!$B$16,Paramètres!$A$1:$I$89,3,0)*0.475*44/12</f>
        <v>4.6704997213006356</v>
      </c>
      <c r="FT116" s="22">
        <f t="shared" si="78"/>
        <v>59.055379533239027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280.86541503470744</v>
      </c>
      <c r="S117" s="59">
        <f ca="1">AVERAGE(OFFSET($R$3,0,0,'Données projet'!$E$9+1,1))-AVERAGE(OFFSET($H$3,0,0,'Données projet'!$E$9+1,1))</f>
        <v>318.50474972254085</v>
      </c>
      <c r="T117" s="59">
        <f t="shared" si="88"/>
        <v>326.45858332753562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47.660585115373728</v>
      </c>
      <c r="AA117" s="21">
        <f>EXP(-LN(2)/25)*AA116+(1-EXP(-LN(2)/25))/(LN(2)/25)*Calculateur!V117*Calculateur!X117*VLOOKUP('Données projet'!$B$9,Paramètres!$A$1:$I$89,3,0)*0.475*44/12</f>
        <v>10.838869461844885</v>
      </c>
      <c r="AB117" s="21">
        <f>EXP(-LN(2)/2)*AB116+(1-EXP(-LN(2)/2))/(LN(2)/2)*V117*Y117*VLOOKUP('Données projet'!$B$9,Paramètres!$A$1:$I$89,3,0)*0.475*44/12</f>
        <v>4.4674756246323506E-7</v>
      </c>
      <c r="AC117" s="22">
        <f t="shared" si="57"/>
        <v>58.499455023966178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8.2299999999999986</v>
      </c>
      <c r="AI117" s="13">
        <f>IF('Données projet'!$A$62&gt;35,AI116+AH117-AQ116,IF(A117&lt;'Données projet'!$A$62,$AF$205^A117,IF(A117='Données projet'!$A$62,'Données projet'!$B$62,AI116+AH117-AQ116)))</f>
        <v>420.31000000000006</v>
      </c>
      <c r="AJ117" s="13">
        <f>AI117*VLOOKUP('Données projet'!$B$10,Paramètres!$A$1:$I$89,3,0)*VLOOKUP('Données projet'!$B$10,Paramètres!$A$1:$I$89,5,0)</f>
        <v>196.70508000000004</v>
      </c>
      <c r="AK117" s="13">
        <f t="shared" si="89"/>
        <v>49.019345437069703</v>
      </c>
      <c r="AL117" s="20">
        <f t="shared" si="58"/>
        <v>427.97004096956312</v>
      </c>
      <c r="AM117" s="59">
        <f t="shared" si="59"/>
        <v>708.83545600426851</v>
      </c>
      <c r="AN117" s="59">
        <f ca="1">AVERAGE(OFFSET($AM$3,0,0,'Données projet'!$E$10+1,1))-AVERAGE(OFFSET($H$3,0,0,'Données projet'!$E$10+1,1))</f>
        <v>374.38106339726073</v>
      </c>
      <c r="AO117" s="59">
        <f t="shared" si="90"/>
        <v>296.53283288925957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62.329508574009736</v>
      </c>
      <c r="AV117" s="21">
        <f>EXP(-LN(2)/25)*AV116+(1-EXP(-LN(2)/25))/(LN(2)/25)*Calculateur!AQ117*Calculateur!AS117*VLOOKUP('Données projet'!$B$10,Paramètres!$A$1:$I$89,3,0)*0.475*44/12</f>
        <v>19.875856323894567</v>
      </c>
      <c r="AW117" s="21">
        <f>EXP(-LN(2)/2)*AW116+(1-EXP(-LN(2)/2))/(LN(2)/2)*AQ117*AT117*VLOOKUP('Données projet'!$B$10,Paramètres!$A$1:$I$89,3,0)*0.475*44/12</f>
        <v>1.7542612538495539</v>
      </c>
      <c r="AX117" s="21">
        <f t="shared" si="60"/>
        <v>83.959626151753852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8.8449999999999989</v>
      </c>
      <c r="BC117" s="12">
        <f t="array" ref="BC117">INDEX(BB:BB,MIN(IF(ISNUMBER(BB117:BB313),ROW(BB117:BB313),"")))</f>
        <v>8.8449999999999989</v>
      </c>
      <c r="BD117" s="12">
        <f>IF('Données projet'!$A$88&gt;35,BD116+BC117-BL116,IF(A117&lt;'Données projet'!$A$88,$BA$205^A117,IF(A117='Données projet'!$A$88,'Données projet'!$B$88,BD116+BC117-BL116)))</f>
        <v>424.56000000000074</v>
      </c>
      <c r="BE117" s="13">
        <f>BD117*VLOOKUP('Données projet'!$B$11,Paramètres!$A$1:$I$89,3,0)*VLOOKUP('Données projet'!$B$11,Paramètres!$A$1:$I$89,5,0)</f>
        <v>384.14188800000068</v>
      </c>
      <c r="BF117" s="13">
        <f t="shared" si="91"/>
        <v>88.554146462646884</v>
      </c>
      <c r="BG117" s="20">
        <f t="shared" si="61"/>
        <v>823.27892668911102</v>
      </c>
      <c r="BH117" s="59">
        <f t="shared" si="62"/>
        <v>1104.1443417238165</v>
      </c>
      <c r="BI117" s="59">
        <f ca="1">AVERAGE(OFFSET($BH$3,0,0,'Données projet'!$E$11+1,1))-AVERAGE(OFFSET($H$3,0,0,'Données projet'!$E$11+1,1))</f>
        <v>681.47578137804555</v>
      </c>
      <c r="BJ117" s="59">
        <f t="shared" si="92"/>
        <v>300.88511065995885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61.860000000000014</v>
      </c>
      <c r="BM117" s="16">
        <f>IF(ISNA(VLOOKUP(A117,'Données projet'!$A$87:$I$107,5,0)),0%,VLOOKUP(A117,'Données projet'!$A$87:$I$107,5,0)*VLOOKUP('Données projet'!$B$11,Paramètres!$A$1:$I$89,7,0))</f>
        <v>0.15049999999999999</v>
      </c>
      <c r="BN117" s="16">
        <f>IF(ISNA(VLOOKUP(A117,'Données projet'!$A$87:$I$107,6,0)),0%,VLOOKUP(A117,'Données projet'!$A$87:$I$107,6,0)*VLOOKUP('Données projet'!$B$11,Paramètres!$A$1:$I$89,7,0))</f>
        <v>8.6000000000000007E-2</v>
      </c>
      <c r="BO117" s="16">
        <f>IF(ISNA(VLOOKUP(A117,'Données projet'!$A$87:$I$107,7,0)),0%,VLOOKUP(A117,'Données projet'!$A$87:$I$107,7,0))</f>
        <v>0.1</v>
      </c>
      <c r="BP117" s="21">
        <f>EXP(-LN(2)/35)*BP116+(1-EXP(-LN(2)/35))/(LN(2)/35)*BL117*BM117*VLOOKUP('Données projet'!$B$11,Paramètres!$A$1:$I$89,3,0)*0.475*44/12</f>
        <v>36.461382647651561</v>
      </c>
      <c r="BQ117" s="21">
        <f>EXP(-LN(2)/25)*BQ116+(1-EXP(-LN(2)/25))/(LN(2)/25)*Calculateur!BL117*Calculateur!BN117*VLOOKUP('Données projet'!$B$11,Paramètres!$A$1:$I$89,3,0)*0.475*44/12</f>
        <v>25.780876368276925</v>
      </c>
      <c r="BR117" s="21">
        <f>EXP(-LN(2)/2)*BR116+(1-EXP(-LN(2)/2))/(LN(2)/2)*BL117*BO117*VLOOKUP('Données projet'!$B$11,Paramètres!$A$1:$I$89,3,0)*0.475*44/12</f>
        <v>5.4631172440400739</v>
      </c>
      <c r="BS117" s="22">
        <f t="shared" si="63"/>
        <v>67.70537625996856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8.5265128291212022E-14</v>
      </c>
      <c r="BZ117" s="13">
        <f>BY117*VLOOKUP('Données projet'!$B$12,Paramètres!$A$1:$I$89,3,0)*VLOOKUP('Données projet'!$B$12,Paramètres!$A$1:$I$89,5,0)</f>
        <v>8.9119112089974823E-14</v>
      </c>
      <c r="CA117" s="13">
        <f t="shared" si="93"/>
        <v>1.3568952080113142E-12</v>
      </c>
      <c r="CB117" s="20">
        <f t="shared" si="64"/>
        <v>2.5184749408430782E-12</v>
      </c>
      <c r="CC117" s="59">
        <f t="shared" si="65"/>
        <v>280.86541503470795</v>
      </c>
      <c r="CD117" s="59">
        <f ca="1">AVERAGE(OFFSET($CC$3,0,0,'Données projet'!$E$12+1,1))-AVERAGE(OFFSET($H$3,0,0,'Données projet'!$E$12+1,1))</f>
        <v>290.69667785754848</v>
      </c>
      <c r="CE117" s="59">
        <f t="shared" si="94"/>
        <v>256.28124185489082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13.489332063181953</v>
      </c>
      <c r="CL117" s="21">
        <f>EXP(-LN(2)/25)*CL116+(1-EXP(-LN(2)/25))/(LN(2)/25)*Calculateur!CG117*Calculateur!CI117*VLOOKUP('Données projet'!$B$12,Paramètres!$A$1:$I$89,3,0)*0.475*44/12</f>
        <v>30.826616859052564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44.315948922234519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408.246209980743</v>
      </c>
      <c r="CZ117" s="59">
        <f t="shared" si="96"/>
        <v>394.10236303013903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29.110015266504004</v>
      </c>
      <c r="DG117" s="21">
        <f>EXP(-LN(2)/25)*DG116+(1-EXP(-LN(2)/25))/(LN(2)/25)*Calculateur!DB117*Calculateur!DD117*VLOOKUP('Données projet'!$B$13,Paramètres!$A$1:$I$89,3,0)*0.475*44/12</f>
        <v>21.955099564953596</v>
      </c>
      <c r="DH117" s="21">
        <f>EXP(-LN(2)/2)*DH116+(1-EXP(-LN(2)/2))/(LN(2)/2)*DB117*DE117*VLOOKUP('Données projet'!$B$13,Paramètres!$A$1:$I$89,3,0)*0.475*44/12</f>
        <v>5.2292677747636123E-4</v>
      </c>
      <c r="DI117" s="22">
        <f t="shared" si="69"/>
        <v>51.065637758235077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5.6843418860808015E-13</v>
      </c>
      <c r="DP117" s="17">
        <f>DO117*VLOOKUP('Données projet'!$B$14,Paramètres!$A$1:$I$89,3,0)*VLOOKUP('Données projet'!$B$14,Paramètres!$A$1:$I$89,5,0)</f>
        <v>3.177547114319168E-13</v>
      </c>
      <c r="DQ117" s="13">
        <f t="shared" si="97"/>
        <v>4.1725404435445377E-12</v>
      </c>
      <c r="DR117" s="20">
        <f t="shared" si="70"/>
        <v>7.820597394917325E-12</v>
      </c>
      <c r="DS117" s="59">
        <f t="shared" si="71"/>
        <v>280.86541503471329</v>
      </c>
      <c r="DT117" s="59">
        <f ca="1">AVERAGE(OFFSET($DS$3,0,0,'Données projet'!$E$14+1,1))-AVERAGE(OFFSET($H$3,0,0,'Données projet'!$E$14+1,1))</f>
        <v>407.05634973057056</v>
      </c>
      <c r="DU117" s="59">
        <f t="shared" si="98"/>
        <v>375.32891954889965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96.538731396989334</v>
      </c>
      <c r="EB117" s="21">
        <f>EXP(-LN(2)/25)*EB116+(1-EXP(-LN(2)/25))/(LN(2)/25)*Calculateur!DW117*Calculateur!DY117*VLOOKUP('Données projet'!$B$14,Paramètres!$A$1:$I$89,3,0)*0.475*44/12</f>
        <v>22.662465356684397</v>
      </c>
      <c r="EC117" s="21">
        <f>EXP(-LN(2)/2)*EC116+(1-EXP(-LN(2)/2))/(LN(2)/2)*DW117*DZ117*VLOOKUP('Données projet'!$B$14,Paramètres!$A$1:$I$89,3,0)*0.475*44/12</f>
        <v>1.800191982336519E-5</v>
      </c>
      <c r="ED117" s="22">
        <f t="shared" si="72"/>
        <v>119.20121475559355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1.1368683772161603E-13</v>
      </c>
      <c r="EK117" s="17">
        <f>EJ117*VLOOKUP('Données projet'!$B$15,Paramètres!$A$1:$I$89,3,0)*VLOOKUP('Données projet'!$B$15,Paramètres!$A$1:$I$89,5,0)</f>
        <v>5.0249582272954292E-14</v>
      </c>
      <c r="EL117" s="13">
        <f t="shared" si="99"/>
        <v>8.1784820119191593E-13</v>
      </c>
      <c r="EM117" s="20">
        <f t="shared" si="73"/>
        <v>1.5119369728679821E-12</v>
      </c>
      <c r="EN117" s="59">
        <f t="shared" si="74"/>
        <v>280.86541503470698</v>
      </c>
      <c r="EO117" s="59">
        <f ca="1">AVERAGE(OFFSET($EN$3,0,0,'Données projet'!$E$15+1,1))-AVERAGE(OFFSET($H$3,0,0,'Données projet'!$E$15+1,1))</f>
        <v>418.28022549686278</v>
      </c>
      <c r="EP117" s="59">
        <f t="shared" si="100"/>
        <v>354.55070454517158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105.38331747094676</v>
      </c>
      <c r="EW117" s="21">
        <f>EXP(-LN(2)/25)*EW116+(1-EXP(-LN(2)/25))/(LN(2)/25)*Calculateur!ER117*Calculateur!ET117*VLOOKUP('Données projet'!$B$15,Paramètres!$A$1:$I$89,3,0)*0.475*44/12</f>
        <v>28.009378128183329</v>
      </c>
      <c r="EX117" s="21">
        <f>EXP(-LN(2)/2)*EX116+(1-EXP(-LN(2)/2))/(LN(2)/2)*ER117*EU117*VLOOKUP('Données projet'!$B$15,Paramètres!$A$1:$I$89,3,0)*0.475*44/12</f>
        <v>5.9970009741459245E-4</v>
      </c>
      <c r="EY117" s="22">
        <f t="shared" si="75"/>
        <v>133.3932952992275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7.0011111111111104</v>
      </c>
      <c r="FE117" s="12">
        <f>IF('Données projet'!$A$218&gt;35,FE116+FD117-FM116,IF(A117&lt;'Données projet'!$A$218,$FB$205^A117,IF(A117='Données projet'!$A$218,'Données projet'!$B$218,FE116+FD117-FM116)))</f>
        <v>259.26111111111101</v>
      </c>
      <c r="FF117" s="17">
        <f>FE117*VLOOKUP('Données projet'!$B$16,Paramètres!$A$1:$I$89,3,0)*VLOOKUP('Données projet'!$B$16,Paramètres!$A$1:$I$89,5,0)</f>
        <v>295.24655333333322</v>
      </c>
      <c r="FG117" s="13">
        <f t="shared" si="101"/>
        <v>70.179034062439342</v>
      </c>
      <c r="FH117" s="20">
        <f t="shared" si="76"/>
        <v>636.44956471430385</v>
      </c>
      <c r="FI117" s="59">
        <f t="shared" si="77"/>
        <v>917.31497974900935</v>
      </c>
      <c r="FJ117" s="59">
        <f ca="1">AVERAGE(OFFSET($FI$3,0,0,'Données projet'!$E$16+1,1))-AVERAGE(OFFSET($H$3,0,0,'Données projet'!$E$16+1,1))</f>
        <v>640.05156427113661</v>
      </c>
      <c r="FK117" s="59">
        <f t="shared" si="102"/>
        <v>308.77220155372902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23.431675876475428</v>
      </c>
      <c r="FR117" s="21">
        <f>EXP(-LN(2)/25)*FR116+(1-EXP(-LN(2)/25))/(LN(2)/25)*Calculateur!FM117*Calculateur!FO117*VLOOKUP('Données projet'!$B$16,Paramètres!$A$1:$I$89,3,0)*0.475*44/12</f>
        <v>29.650931556526494</v>
      </c>
      <c r="FS117" s="21">
        <f>EXP(-LN(2)/2)*FS116+(1-EXP(-LN(2)/2))/(LN(2)/2)*FM117*FP117*VLOOKUP('Données projet'!$B$16,Paramètres!$A$1:$I$89,3,0)*0.475*44/12</f>
        <v>3.3025420244615598</v>
      </c>
      <c r="FT117" s="22">
        <f t="shared" si="78"/>
        <v>56.385149457463484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281.08170554309925</v>
      </c>
      <c r="S118" s="59">
        <f ca="1">AVERAGE(OFFSET($R$3,0,0,'Données projet'!$E$9+1,1))-AVERAGE(OFFSET($H$3,0,0,'Données projet'!$E$9+1,1))</f>
        <v>318.50474972254085</v>
      </c>
      <c r="T118" s="59">
        <f t="shared" si="88"/>
        <v>326.45858332753562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46.725990111347734</v>
      </c>
      <c r="AA118" s="21">
        <f>EXP(-LN(2)/25)*AA117+(1-EXP(-LN(2)/25))/(LN(2)/25)*Calculateur!V118*Calculateur!X118*VLOOKUP('Données projet'!$B$9,Paramètres!$A$1:$I$89,3,0)*0.475*44/12</f>
        <v>10.542480006419364</v>
      </c>
      <c r="AB118" s="21">
        <f>EXP(-LN(2)/2)*AB117+(1-EXP(-LN(2)/2))/(LN(2)/2)*V118*Y118*VLOOKUP('Données projet'!$B$9,Paramètres!$A$1:$I$89,3,0)*0.475*44/12</f>
        <v>3.1589823089631423E-7</v>
      </c>
      <c r="AC118" s="22">
        <f t="shared" si="57"/>
        <v>57.268470433665328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8.2299999999999986</v>
      </c>
      <c r="AI118" s="13">
        <f>IF('Données projet'!$A$62&gt;35,AI117+AH118-AQ117,IF(A118&lt;'Données projet'!$A$62,$AF$205^A118,IF(A118='Données projet'!$A$62,'Données projet'!$B$62,AI117+AH118-AQ117)))</f>
        <v>428.54000000000008</v>
      </c>
      <c r="AJ118" s="13">
        <f>AI118*VLOOKUP('Données projet'!$B$10,Paramètres!$A$1:$I$89,3,0)*VLOOKUP('Données projet'!$B$10,Paramètres!$A$1:$I$89,5,0)</f>
        <v>200.55672000000001</v>
      </c>
      <c r="AK118" s="13">
        <f t="shared" si="89"/>
        <v>49.866498130238412</v>
      </c>
      <c r="AL118" s="20">
        <f t="shared" si="58"/>
        <v>436.15377157683184</v>
      </c>
      <c r="AM118" s="59">
        <f t="shared" si="59"/>
        <v>717.2354771199291</v>
      </c>
      <c r="AN118" s="59">
        <f ca="1">AVERAGE(OFFSET($AM$3,0,0,'Données projet'!$E$10+1,1))-AVERAGE(OFFSET($H$3,0,0,'Données projet'!$E$10+1,1))</f>
        <v>374.38106339726073</v>
      </c>
      <c r="AO118" s="59">
        <f t="shared" si="90"/>
        <v>296.53283288925957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61.107264928119747</v>
      </c>
      <c r="AV118" s="21">
        <f>EXP(-LN(2)/25)*AV117+(1-EXP(-LN(2)/25))/(LN(2)/25)*Calculateur!AQ118*Calculateur!AS118*VLOOKUP('Données projet'!$B$10,Paramètres!$A$1:$I$89,3,0)*0.475*44/12</f>
        <v>19.332349987491813</v>
      </c>
      <c r="AW118" s="21">
        <f>EXP(-LN(2)/2)*AW117+(1-EXP(-LN(2)/2))/(LN(2)/2)*AQ118*AT118*VLOOKUP('Données projet'!$B$10,Paramètres!$A$1:$I$89,3,0)*0.475*44/12</f>
        <v>1.240450028569835</v>
      </c>
      <c r="AX118" s="21">
        <f t="shared" si="60"/>
        <v>81.680064944181396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8.9160000000000021</v>
      </c>
      <c r="BD118" s="12">
        <f>IF('Données projet'!$A$88&gt;35,BD117+BC118-BL117,IF(A118&lt;'Données projet'!$A$88,$BA$205^A118,IF(A118='Données projet'!$A$88,'Données projet'!$B$88,BD117+BC118-BL117)))</f>
        <v>371.61600000000072</v>
      </c>
      <c r="BE118" s="13">
        <f>BD118*VLOOKUP('Données projet'!$B$11,Paramètres!$A$1:$I$89,3,0)*VLOOKUP('Données projet'!$B$11,Paramètres!$A$1:$I$89,5,0)</f>
        <v>336.23815680000064</v>
      </c>
      <c r="BF118" s="13">
        <f t="shared" si="91"/>
        <v>78.722223243612518</v>
      </c>
      <c r="BG118" s="20">
        <f t="shared" si="61"/>
        <v>722.72266190929292</v>
      </c>
      <c r="BH118" s="59">
        <f t="shared" si="62"/>
        <v>1003.8043674523901</v>
      </c>
      <c r="BI118" s="59">
        <f ca="1">AVERAGE(OFFSET($BH$3,0,0,'Données projet'!$E$11+1,1))-AVERAGE(OFFSET($H$3,0,0,'Données projet'!$E$11+1,1))</f>
        <v>681.47578137804555</v>
      </c>
      <c r="BJ118" s="59">
        <f t="shared" si="92"/>
        <v>300.88511065995885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35.746397173178586</v>
      </c>
      <c r="BQ118" s="21">
        <f>EXP(-LN(2)/25)*BQ117+(1-EXP(-LN(2)/25))/(LN(2)/25)*Calculateur!BL118*Calculateur!BN118*VLOOKUP('Données projet'!$B$11,Paramètres!$A$1:$I$89,3,0)*0.475*44/12</f>
        <v>25.075896948229026</v>
      </c>
      <c r="BR118" s="21">
        <f>EXP(-LN(2)/2)*BR117+(1-EXP(-LN(2)/2))/(LN(2)/2)*BL118*BO118*VLOOKUP('Données projet'!$B$11,Paramètres!$A$1:$I$89,3,0)*0.475*44/12</f>
        <v>3.8630072496778993</v>
      </c>
      <c r="BS118" s="22">
        <f t="shared" si="63"/>
        <v>64.685301371085501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8.5265128291212022E-14</v>
      </c>
      <c r="BZ118" s="13">
        <f>BY118*VLOOKUP('Données projet'!$B$12,Paramètres!$A$1:$I$89,3,0)*VLOOKUP('Données projet'!$B$12,Paramètres!$A$1:$I$89,5,0)</f>
        <v>8.9119112089974823E-14</v>
      </c>
      <c r="CA118" s="13">
        <f t="shared" si="93"/>
        <v>1.3568952080113142E-12</v>
      </c>
      <c r="CB118" s="20">
        <f t="shared" si="64"/>
        <v>2.5184749408430782E-12</v>
      </c>
      <c r="CC118" s="59">
        <f t="shared" si="65"/>
        <v>281.08170554309976</v>
      </c>
      <c r="CD118" s="59">
        <f ca="1">AVERAGE(OFFSET($CC$3,0,0,'Données projet'!$E$12+1,1))-AVERAGE(OFFSET($H$3,0,0,'Données projet'!$E$12+1,1))</f>
        <v>290.69667785754848</v>
      </c>
      <c r="CE118" s="59">
        <f t="shared" si="94"/>
        <v>256.28124185489082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13.224814489103098</v>
      </c>
      <c r="CL118" s="21">
        <f>EXP(-LN(2)/25)*CL117+(1-EXP(-LN(2)/25))/(LN(2)/25)*Calculateur!CG118*Calculateur!CI118*VLOOKUP('Données projet'!$B$12,Paramètres!$A$1:$I$89,3,0)*0.475*44/12</f>
        <v>29.983661399940445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43.208475889043541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408.246209980743</v>
      </c>
      <c r="CZ118" s="59">
        <f t="shared" si="96"/>
        <v>394.10236303013903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28.539185622483977</v>
      </c>
      <c r="DG118" s="21">
        <f>EXP(-LN(2)/25)*DG117+(1-EXP(-LN(2)/25))/(LN(2)/25)*Calculateur!DB118*Calculateur!DD118*VLOOKUP('Données projet'!$B$13,Paramètres!$A$1:$I$89,3,0)*0.475*44/12</f>
        <v>21.354736212781432</v>
      </c>
      <c r="DH118" s="21">
        <f>EXP(-LN(2)/2)*DH117+(1-EXP(-LN(2)/2))/(LN(2)/2)*DB118*DE118*VLOOKUP('Données projet'!$B$13,Paramètres!$A$1:$I$89,3,0)*0.475*44/12</f>
        <v>3.697650704175638E-4</v>
      </c>
      <c r="DI118" s="22">
        <f t="shared" si="69"/>
        <v>49.894291600335826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5.6843418860808015E-13</v>
      </c>
      <c r="DP118" s="17">
        <f>DO118*VLOOKUP('Données projet'!$B$14,Paramètres!$A$1:$I$89,3,0)*VLOOKUP('Données projet'!$B$14,Paramètres!$A$1:$I$89,5,0)</f>
        <v>3.177547114319168E-13</v>
      </c>
      <c r="DQ118" s="13">
        <f t="shared" si="97"/>
        <v>4.1725404435445377E-12</v>
      </c>
      <c r="DR118" s="20">
        <f t="shared" si="70"/>
        <v>7.820597394917325E-12</v>
      </c>
      <c r="DS118" s="59">
        <f t="shared" si="71"/>
        <v>281.0817055431051</v>
      </c>
      <c r="DT118" s="59">
        <f ca="1">AVERAGE(OFFSET($DS$3,0,0,'Données projet'!$E$14+1,1))-AVERAGE(OFFSET($H$3,0,0,'Données projet'!$E$14+1,1))</f>
        <v>407.05634973057056</v>
      </c>
      <c r="DU118" s="59">
        <f t="shared" si="98"/>
        <v>375.32891954889965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94.645665757106329</v>
      </c>
      <c r="EB118" s="21">
        <f>EXP(-LN(2)/25)*EB117+(1-EXP(-LN(2)/25))/(LN(2)/25)*Calculateur!DW118*Calculateur!DY118*VLOOKUP('Données projet'!$B$14,Paramètres!$A$1:$I$89,3,0)*0.475*44/12</f>
        <v>22.042759049738606</v>
      </c>
      <c r="EC118" s="21">
        <f>EXP(-LN(2)/2)*EC117+(1-EXP(-LN(2)/2))/(LN(2)/2)*DW118*DZ118*VLOOKUP('Données projet'!$B$14,Paramètres!$A$1:$I$89,3,0)*0.475*44/12</f>
        <v>1.2729279581478062E-5</v>
      </c>
      <c r="ED118" s="22">
        <f t="shared" si="72"/>
        <v>116.68843753612451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1.1368683772161603E-13</v>
      </c>
      <c r="EK118" s="17">
        <f>EJ118*VLOOKUP('Données projet'!$B$15,Paramètres!$A$1:$I$89,3,0)*VLOOKUP('Données projet'!$B$15,Paramètres!$A$1:$I$89,5,0)</f>
        <v>5.0249582272954292E-14</v>
      </c>
      <c r="EL118" s="13">
        <f t="shared" si="99"/>
        <v>8.1784820119191593E-13</v>
      </c>
      <c r="EM118" s="20">
        <f t="shared" si="73"/>
        <v>1.5119369728679821E-12</v>
      </c>
      <c r="EN118" s="59">
        <f t="shared" si="74"/>
        <v>281.08170554309879</v>
      </c>
      <c r="EO118" s="59">
        <f ca="1">AVERAGE(OFFSET($EN$3,0,0,'Données projet'!$E$15+1,1))-AVERAGE(OFFSET($H$3,0,0,'Données projet'!$E$15+1,1))</f>
        <v>418.28022549686278</v>
      </c>
      <c r="EP118" s="59">
        <f t="shared" si="100"/>
        <v>354.55070454517158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103.31681489281829</v>
      </c>
      <c r="EW118" s="21">
        <f>EXP(-LN(2)/25)*EW117+(1-EXP(-LN(2)/25))/(LN(2)/25)*Calculateur!ER118*Calculateur!ET118*VLOOKUP('Données projet'!$B$15,Paramètres!$A$1:$I$89,3,0)*0.475*44/12</f>
        <v>27.243460210318975</v>
      </c>
      <c r="EX118" s="21">
        <f>EXP(-LN(2)/2)*EX117+(1-EXP(-LN(2)/2))/(LN(2)/2)*ER118*EU118*VLOOKUP('Données projet'!$B$15,Paramètres!$A$1:$I$89,3,0)*0.475*44/12</f>
        <v>4.2405200556009146E-4</v>
      </c>
      <c r="EY118" s="22">
        <f t="shared" si="75"/>
        <v>130.56069915514283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7.0011111111111104</v>
      </c>
      <c r="FE118" s="12">
        <f>IF('Données projet'!$A$218&gt;35,FE117+FD118-FM117,IF(A118&lt;'Données projet'!$A$218,$FB$205^A118,IF(A118='Données projet'!$A$218,'Données projet'!$B$218,FE117+FD118-FM117)))</f>
        <v>266.26222222222214</v>
      </c>
      <c r="FF118" s="17">
        <f>FE118*VLOOKUP('Données projet'!$B$16,Paramètres!$A$1:$I$89,3,0)*VLOOKUP('Données projet'!$B$16,Paramètres!$A$1:$I$89,5,0)</f>
        <v>303.21941866666657</v>
      </c>
      <c r="FG118" s="13">
        <f t="shared" si="101"/>
        <v>71.850957432298372</v>
      </c>
      <c r="FH118" s="20">
        <f t="shared" si="76"/>
        <v>653.24757170569728</v>
      </c>
      <c r="FI118" s="59">
        <f t="shared" si="77"/>
        <v>934.3292772487946</v>
      </c>
      <c r="FJ118" s="59">
        <f ca="1">AVERAGE(OFFSET($FI$3,0,0,'Données projet'!$E$16+1,1))-AVERAGE(OFFSET($H$3,0,0,'Données projet'!$E$16+1,1))</f>
        <v>640.05156427113661</v>
      </c>
      <c r="FK118" s="59">
        <f t="shared" si="102"/>
        <v>308.77220155372902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22.972195004448821</v>
      </c>
      <c r="FR118" s="21">
        <f>EXP(-LN(2)/25)*FR117+(1-EXP(-LN(2)/25))/(LN(2)/25)*Calculateur!FM118*Calculateur!FO118*VLOOKUP('Données projet'!$B$16,Paramètres!$A$1:$I$89,3,0)*0.475*44/12</f>
        <v>28.840125273838556</v>
      </c>
      <c r="FS118" s="21">
        <f>EXP(-LN(2)/2)*FS117+(1-EXP(-LN(2)/2))/(LN(2)/2)*FM118*FP118*VLOOKUP('Données projet'!$B$16,Paramètres!$A$1:$I$89,3,0)*0.475*44/12</f>
        <v>2.3352498606503178</v>
      </c>
      <c r="FT118" s="22">
        <f t="shared" si="78"/>
        <v>54.147570138937688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281.29424389472348</v>
      </c>
      <c r="S119" s="59">
        <f ca="1">AVERAGE(OFFSET($R$3,0,0,'Données projet'!$E$9+1,1))-AVERAGE(OFFSET($H$3,0,0,'Données projet'!$E$9+1,1))</f>
        <v>318.50474972254085</v>
      </c>
      <c r="T119" s="59">
        <f t="shared" si="88"/>
        <v>326.45858332753562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45.809721945304027</v>
      </c>
      <c r="AA119" s="21">
        <f>EXP(-LN(2)/25)*AA118+(1-EXP(-LN(2)/25))/(LN(2)/25)*Calculateur!V119*Calculateur!X119*VLOOKUP('Données projet'!$B$9,Paramètres!$A$1:$I$89,3,0)*0.475*44/12</f>
        <v>10.254195336238897</v>
      </c>
      <c r="AB119" s="21">
        <f>EXP(-LN(2)/2)*AB118+(1-EXP(-LN(2)/2))/(LN(2)/2)*V119*Y119*VLOOKUP('Données projet'!$B$9,Paramètres!$A$1:$I$89,3,0)*0.475*44/12</f>
        <v>2.2337378123161753E-7</v>
      </c>
      <c r="AC119" s="22">
        <f t="shared" si="57"/>
        <v>56.063917504916709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8.2299999999999986</v>
      </c>
      <c r="AI119" s="13">
        <f>IF('Données projet'!$A$62&gt;35,AI118+AH119-AQ118,IF(A119&lt;'Données projet'!$A$62,$AF$205^A119,IF(A119='Données projet'!$A$62,'Données projet'!$B$62,AI118+AH119-AQ118)))</f>
        <v>436.7700000000001</v>
      </c>
      <c r="AJ119" s="13">
        <f>AI119*VLOOKUP('Données projet'!$B$10,Paramètres!$A$1:$I$89,3,0)*VLOOKUP('Données projet'!$B$10,Paramètres!$A$1:$I$89,5,0)</f>
        <v>204.40836000000004</v>
      </c>
      <c r="AK119" s="13">
        <f t="shared" si="89"/>
        <v>50.71175906339802</v>
      </c>
      <c r="AL119" s="20">
        <f t="shared" si="58"/>
        <v>444.33420736875161</v>
      </c>
      <c r="AM119" s="59">
        <f t="shared" si="59"/>
        <v>725.62845126347315</v>
      </c>
      <c r="AN119" s="59">
        <f ca="1">AVERAGE(OFFSET($AM$3,0,0,'Données projet'!$E$10+1,1))-AVERAGE(OFFSET($H$3,0,0,'Données projet'!$E$10+1,1))</f>
        <v>374.38106339726073</v>
      </c>
      <c r="AO119" s="59">
        <f t="shared" si="90"/>
        <v>296.53283288925957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59.908988734630647</v>
      </c>
      <c r="AV119" s="21">
        <f>EXP(-LN(2)/25)*AV118+(1-EXP(-LN(2)/25))/(LN(2)/25)*Calculateur!AQ119*Calculateur!AS119*VLOOKUP('Données projet'!$B$10,Paramètres!$A$1:$I$89,3,0)*0.475*44/12</f>
        <v>18.803705860439749</v>
      </c>
      <c r="AW119" s="21">
        <f>EXP(-LN(2)/2)*AW118+(1-EXP(-LN(2)/2))/(LN(2)/2)*AQ119*AT119*VLOOKUP('Données projet'!$B$10,Paramètres!$A$1:$I$89,3,0)*0.475*44/12</f>
        <v>0.87713062692477695</v>
      </c>
      <c r="AX119" s="21">
        <f t="shared" si="60"/>
        <v>79.58982522199517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8.9160000000000021</v>
      </c>
      <c r="BD119" s="12">
        <f>IF('Données projet'!$A$88&gt;35,BD118+BC119-BL118,IF(A119&lt;'Données projet'!$A$88,$BA$205^A119,IF(A119='Données projet'!$A$88,'Données projet'!$B$88,BD118+BC119-BL118)))</f>
        <v>380.53200000000072</v>
      </c>
      <c r="BE119" s="13">
        <f>BD119*VLOOKUP('Données projet'!$B$11,Paramètres!$A$1:$I$89,3,0)*VLOOKUP('Données projet'!$B$11,Paramètres!$A$1:$I$89,5,0)</f>
        <v>344.30535360000061</v>
      </c>
      <c r="BF119" s="13">
        <f t="shared" si="91"/>
        <v>80.388807253544201</v>
      </c>
      <c r="BG119" s="20">
        <f t="shared" si="61"/>
        <v>739.67566348659057</v>
      </c>
      <c r="BH119" s="59">
        <f t="shared" si="62"/>
        <v>1020.9699073813121</v>
      </c>
      <c r="BI119" s="59">
        <f ca="1">AVERAGE(OFFSET($BH$3,0,0,'Données projet'!$E$11+1,1))-AVERAGE(OFFSET($H$3,0,0,'Données projet'!$E$11+1,1))</f>
        <v>681.47578137804555</v>
      </c>
      <c r="BJ119" s="59">
        <f t="shared" si="92"/>
        <v>300.88511065995885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35.045432127761948</v>
      </c>
      <c r="BQ119" s="21">
        <f>EXP(-LN(2)/25)*BQ118+(1-EXP(-LN(2)/25))/(LN(2)/25)*Calculateur!BL119*Calculateur!BN119*VLOOKUP('Données projet'!$B$11,Paramètres!$A$1:$I$89,3,0)*0.475*44/12</f>
        <v>24.390195227495596</v>
      </c>
      <c r="BR119" s="21">
        <f>EXP(-LN(2)/2)*BR118+(1-EXP(-LN(2)/2))/(LN(2)/2)*BL119*BO119*VLOOKUP('Données projet'!$B$11,Paramètres!$A$1:$I$89,3,0)*0.475*44/12</f>
        <v>2.7315586220200374</v>
      </c>
      <c r="BS119" s="22">
        <f t="shared" si="63"/>
        <v>62.167185977277583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8.5265128291212022E-14</v>
      </c>
      <c r="BZ119" s="13">
        <f>BY119*VLOOKUP('Données projet'!$B$12,Paramètres!$A$1:$I$89,3,0)*VLOOKUP('Données projet'!$B$12,Paramètres!$A$1:$I$89,5,0)</f>
        <v>8.9119112089974823E-14</v>
      </c>
      <c r="CA119" s="13">
        <f t="shared" si="93"/>
        <v>1.3568952080113142E-12</v>
      </c>
      <c r="CB119" s="20">
        <f t="shared" si="64"/>
        <v>2.5184749408430782E-12</v>
      </c>
      <c r="CC119" s="59">
        <f t="shared" si="65"/>
        <v>281.29424389472399</v>
      </c>
      <c r="CD119" s="59">
        <f ca="1">AVERAGE(OFFSET($CC$3,0,0,'Données projet'!$E$12+1,1))-AVERAGE(OFFSET($H$3,0,0,'Données projet'!$E$12+1,1))</f>
        <v>290.69667785754848</v>
      </c>
      <c r="CE119" s="59">
        <f t="shared" si="94"/>
        <v>256.28124185489082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12.96548394331214</v>
      </c>
      <c r="CL119" s="21">
        <f>EXP(-LN(2)/25)*CL118+(1-EXP(-LN(2)/25))/(LN(2)/25)*Calculateur!CG119*Calculateur!CI119*VLOOKUP('Données projet'!$B$12,Paramètres!$A$1:$I$89,3,0)*0.475*44/12</f>
        <v>29.163756602186847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42.129240545498988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408.246209980743</v>
      </c>
      <c r="CZ119" s="59">
        <f t="shared" si="96"/>
        <v>394.10236303013903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27.979549599611481</v>
      </c>
      <c r="DG119" s="21">
        <f>EXP(-LN(2)/25)*DG118+(1-EXP(-LN(2)/25))/(LN(2)/25)*Calculateur!DB119*Calculateur!DD119*VLOOKUP('Données projet'!$B$13,Paramètres!$A$1:$I$89,3,0)*0.475*44/12</f>
        <v>20.770789828046155</v>
      </c>
      <c r="DH119" s="21">
        <f>EXP(-LN(2)/2)*DH118+(1-EXP(-LN(2)/2))/(LN(2)/2)*DB119*DE119*VLOOKUP('Données projet'!$B$13,Paramètres!$A$1:$I$89,3,0)*0.475*44/12</f>
        <v>2.6146338873818062E-4</v>
      </c>
      <c r="DI119" s="22">
        <f t="shared" si="69"/>
        <v>48.750600891046375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5.6843418860808015E-13</v>
      </c>
      <c r="DP119" s="17">
        <f>DO119*VLOOKUP('Données projet'!$B$14,Paramètres!$A$1:$I$89,3,0)*VLOOKUP('Données projet'!$B$14,Paramètres!$A$1:$I$89,5,0)</f>
        <v>3.177547114319168E-13</v>
      </c>
      <c r="DQ119" s="13">
        <f t="shared" si="97"/>
        <v>4.1725404435445377E-12</v>
      </c>
      <c r="DR119" s="20">
        <f t="shared" si="70"/>
        <v>7.820597394917325E-12</v>
      </c>
      <c r="DS119" s="59">
        <f t="shared" si="71"/>
        <v>281.29424389472933</v>
      </c>
      <c r="DT119" s="59">
        <f ca="1">AVERAGE(OFFSET($DS$3,0,0,'Données projet'!$E$14+1,1))-AVERAGE(OFFSET($H$3,0,0,'Données projet'!$E$14+1,1))</f>
        <v>407.05634973057056</v>
      </c>
      <c r="DU119" s="59">
        <f t="shared" si="98"/>
        <v>375.32891954889965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92.789721979765403</v>
      </c>
      <c r="EB119" s="21">
        <f>EXP(-LN(2)/25)*EB118+(1-EXP(-LN(2)/25))/(LN(2)/25)*Calculateur!DW119*Calculateur!DY119*VLOOKUP('Données projet'!$B$14,Paramètres!$A$1:$I$89,3,0)*0.475*44/12</f>
        <v>21.439998644345184</v>
      </c>
      <c r="EC119" s="21">
        <f>EXP(-LN(2)/2)*EC118+(1-EXP(-LN(2)/2))/(LN(2)/2)*DW119*DZ119*VLOOKUP('Données projet'!$B$14,Paramètres!$A$1:$I$89,3,0)*0.475*44/12</f>
        <v>9.0009599116825949E-6</v>
      </c>
      <c r="ED119" s="22">
        <f t="shared" si="72"/>
        <v>114.22972962507049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1.1368683772161603E-13</v>
      </c>
      <c r="EK119" s="17">
        <f>EJ119*VLOOKUP('Données projet'!$B$15,Paramètres!$A$1:$I$89,3,0)*VLOOKUP('Données projet'!$B$15,Paramètres!$A$1:$I$89,5,0)</f>
        <v>5.0249582272954292E-14</v>
      </c>
      <c r="EL119" s="13">
        <f t="shared" si="99"/>
        <v>8.1784820119191593E-13</v>
      </c>
      <c r="EM119" s="20">
        <f t="shared" si="73"/>
        <v>1.5119369728679821E-12</v>
      </c>
      <c r="EN119" s="59">
        <f t="shared" si="74"/>
        <v>281.29424389472302</v>
      </c>
      <c r="EO119" s="59">
        <f ca="1">AVERAGE(OFFSET($EN$3,0,0,'Données projet'!$E$15+1,1))-AVERAGE(OFFSET($H$3,0,0,'Données projet'!$E$15+1,1))</f>
        <v>418.28022549686278</v>
      </c>
      <c r="EP119" s="59">
        <f t="shared" si="100"/>
        <v>354.55070454517158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101.29083516980479</v>
      </c>
      <c r="EW119" s="21">
        <f>EXP(-LN(2)/25)*EW118+(1-EXP(-LN(2)/25))/(LN(2)/25)*Calculateur!ER119*Calculateur!ET119*VLOOKUP('Données projet'!$B$15,Paramètres!$A$1:$I$89,3,0)*0.475*44/12</f>
        <v>26.498486358196498</v>
      </c>
      <c r="EX119" s="21">
        <f>EXP(-LN(2)/2)*EX118+(1-EXP(-LN(2)/2))/(LN(2)/2)*ER119*EU119*VLOOKUP('Données projet'!$B$15,Paramètres!$A$1:$I$89,3,0)*0.475*44/12</f>
        <v>2.9985004870729622E-4</v>
      </c>
      <c r="EY119" s="22">
        <f t="shared" si="75"/>
        <v>127.78962137805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7.0011111111111104</v>
      </c>
      <c r="FE119" s="12">
        <f>IF('Données projet'!$A$218&gt;35,FE118+FD119-FM118,IF(A119&lt;'Données projet'!$A$218,$FB$205^A119,IF(A119='Données projet'!$A$218,'Données projet'!$B$218,FE118+FD119-FM118)))</f>
        <v>273.26333333333326</v>
      </c>
      <c r="FF119" s="17">
        <f>FE119*VLOOKUP('Données projet'!$B$16,Paramètres!$A$1:$I$89,3,0)*VLOOKUP('Données projet'!$B$16,Paramètres!$A$1:$I$89,5,0)</f>
        <v>311.19228399999992</v>
      </c>
      <c r="FG119" s="13">
        <f t="shared" si="101"/>
        <v>73.517770869032404</v>
      </c>
      <c r="FH119" s="20">
        <f t="shared" si="76"/>
        <v>670.0366788968978</v>
      </c>
      <c r="FI119" s="59">
        <f t="shared" si="77"/>
        <v>951.33092279161929</v>
      </c>
      <c r="FJ119" s="59">
        <f ca="1">AVERAGE(OFFSET($FI$3,0,0,'Données projet'!$E$16+1,1))-AVERAGE(OFFSET($H$3,0,0,'Données projet'!$E$16+1,1))</f>
        <v>640.05156427113661</v>
      </c>
      <c r="FK119" s="59">
        <f t="shared" si="102"/>
        <v>308.77220155372902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22.521724272066997</v>
      </c>
      <c r="FR119" s="21">
        <f>EXP(-LN(2)/25)*FR118+(1-EXP(-LN(2)/25))/(LN(2)/25)*Calculateur!FM119*Calculateur!FO119*VLOOKUP('Données projet'!$B$16,Paramètres!$A$1:$I$89,3,0)*0.475*44/12</f>
        <v>28.051490531589167</v>
      </c>
      <c r="FS119" s="21">
        <f>EXP(-LN(2)/2)*FS118+(1-EXP(-LN(2)/2))/(LN(2)/2)*FM119*FP119*VLOOKUP('Données projet'!$B$16,Paramètres!$A$1:$I$89,3,0)*0.475*44/12</f>
        <v>1.6512710122307799</v>
      </c>
      <c r="FT119" s="22">
        <f t="shared" si="78"/>
        <v>52.224485815886943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281.50309518111163</v>
      </c>
      <c r="S120" s="59">
        <f ca="1">AVERAGE(OFFSET($R$3,0,0,'Données projet'!$E$9+1,1))-AVERAGE(OFFSET($H$3,0,0,'Données projet'!$E$9+1,1))</f>
        <v>318.50474972254085</v>
      </c>
      <c r="T120" s="59">
        <f t="shared" si="88"/>
        <v>326.45858332753562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44.911421239128039</v>
      </c>
      <c r="AA120" s="21">
        <f>EXP(-LN(2)/25)*AA119+(1-EXP(-LN(2)/25))/(LN(2)/25)*Calculateur!V120*Calculateur!X120*VLOOKUP('Données projet'!$B$9,Paramètres!$A$1:$I$89,3,0)*0.475*44/12</f>
        <v>9.9737938255247478</v>
      </c>
      <c r="AB120" s="21">
        <f>EXP(-LN(2)/2)*AB119+(1-EXP(-LN(2)/2))/(LN(2)/2)*V120*Y120*VLOOKUP('Données projet'!$B$9,Paramètres!$A$1:$I$89,3,0)*0.475*44/12</f>
        <v>1.5794911544815711E-7</v>
      </c>
      <c r="AC120" s="22">
        <f t="shared" si="57"/>
        <v>54.8852152226019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8.2299999999999986</v>
      </c>
      <c r="AI120" s="13">
        <f>IF('Données projet'!$A$62&gt;35,AI119+AH120-AQ119,IF(A120&lt;'Données projet'!$A$62,$AF$205^A120,IF(A120='Données projet'!$A$62,'Données projet'!$B$62,AI119+AH120-AQ119)))</f>
        <v>445.00000000000011</v>
      </c>
      <c r="AJ120" s="13">
        <f>AI120*VLOOKUP('Données projet'!$B$10,Paramètres!$A$1:$I$89,3,0)*VLOOKUP('Données projet'!$B$10,Paramètres!$A$1:$I$89,5,0)</f>
        <v>208.26000000000008</v>
      </c>
      <c r="AK120" s="13">
        <f t="shared" si="89"/>
        <v>51.555167993086684</v>
      </c>
      <c r="AL120" s="20">
        <f t="shared" si="58"/>
        <v>452.51141758795944</v>
      </c>
      <c r="AM120" s="59">
        <f t="shared" si="59"/>
        <v>734.01451276906914</v>
      </c>
      <c r="AN120" s="59">
        <f ca="1">AVERAGE(OFFSET($AM$3,0,0,'Données projet'!$E$10+1,1))-AVERAGE(OFFSET($H$3,0,0,'Données projet'!$E$10+1,1))</f>
        <v>374.38106339726073</v>
      </c>
      <c r="AO120" s="59">
        <f t="shared" si="90"/>
        <v>296.53283288925957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58.734210006419559</v>
      </c>
      <c r="AV120" s="21">
        <f>EXP(-LN(2)/25)*AV119+(1-EXP(-LN(2)/25))/(LN(2)/25)*Calculateur!AQ120*Calculateur!AS120*VLOOKUP('Données projet'!$B$10,Paramètres!$A$1:$I$89,3,0)*0.475*44/12</f>
        <v>18.289517534842108</v>
      </c>
      <c r="AW120" s="21">
        <f>EXP(-LN(2)/2)*AW119+(1-EXP(-LN(2)/2))/(LN(2)/2)*AQ120*AT120*VLOOKUP('Données projet'!$B$10,Paramètres!$A$1:$I$89,3,0)*0.475*44/12</f>
        <v>0.6202250142849175</v>
      </c>
      <c r="AX120" s="21">
        <f t="shared" si="60"/>
        <v>77.643952555546576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8.9160000000000021</v>
      </c>
      <c r="BD120" s="12">
        <f>IF('Données projet'!$A$88&gt;35,BD119+BC120-BL119,IF(A120&lt;'Données projet'!$A$88,$BA$205^A120,IF(A120='Données projet'!$A$88,'Données projet'!$B$88,BD119+BC120-BL119)))</f>
        <v>389.44800000000072</v>
      </c>
      <c r="BE120" s="13">
        <f>BD120*VLOOKUP('Données projet'!$B$11,Paramètres!$A$1:$I$89,3,0)*VLOOKUP('Données projet'!$B$11,Paramètres!$A$1:$I$89,5,0)</f>
        <v>352.37255040000065</v>
      </c>
      <c r="BF120" s="13">
        <f t="shared" si="91"/>
        <v>82.050851753476593</v>
      </c>
      <c r="BG120" s="20">
        <f t="shared" si="61"/>
        <v>756.62075875063954</v>
      </c>
      <c r="BH120" s="59">
        <f t="shared" si="62"/>
        <v>1038.1238539317492</v>
      </c>
      <c r="BI120" s="59">
        <f ca="1">AVERAGE(OFFSET($BH$3,0,0,'Données projet'!$E$11+1,1))-AVERAGE(OFFSET($H$3,0,0,'Données projet'!$E$11+1,1))</f>
        <v>681.47578137804555</v>
      </c>
      <c r="BJ120" s="59">
        <f t="shared" si="92"/>
        <v>300.88511065995885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34.358212579339472</v>
      </c>
      <c r="BQ120" s="21">
        <f>EXP(-LN(2)/25)*BQ119+(1-EXP(-LN(2)/25))/(LN(2)/25)*Calculateur!BL120*Calculateur!BN120*VLOOKUP('Données projet'!$B$11,Paramètres!$A$1:$I$89,3,0)*0.475*44/12</f>
        <v>23.723244056375105</v>
      </c>
      <c r="BR120" s="21">
        <f>EXP(-LN(2)/2)*BR119+(1-EXP(-LN(2)/2))/(LN(2)/2)*BL120*BO120*VLOOKUP('Données projet'!$B$11,Paramètres!$A$1:$I$89,3,0)*0.475*44/12</f>
        <v>1.9315036248389501</v>
      </c>
      <c r="BS120" s="22">
        <f t="shared" si="63"/>
        <v>60.012960260553527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8.5265128291212022E-14</v>
      </c>
      <c r="BZ120" s="13">
        <f>BY120*VLOOKUP('Données projet'!$B$12,Paramètres!$A$1:$I$89,3,0)*VLOOKUP('Données projet'!$B$12,Paramètres!$A$1:$I$89,5,0)</f>
        <v>8.9119112089974823E-14</v>
      </c>
      <c r="CA120" s="13">
        <f t="shared" si="93"/>
        <v>1.3568952080113142E-12</v>
      </c>
      <c r="CB120" s="20">
        <f t="shared" si="64"/>
        <v>2.5184749408430782E-12</v>
      </c>
      <c r="CC120" s="59">
        <f t="shared" si="65"/>
        <v>281.50309518111214</v>
      </c>
      <c r="CD120" s="59">
        <f ca="1">AVERAGE(OFFSET($CC$3,0,0,'Données projet'!$E$12+1,1))-AVERAGE(OFFSET($H$3,0,0,'Données projet'!$E$12+1,1))</f>
        <v>290.69667785754848</v>
      </c>
      <c r="CE120" s="59">
        <f t="shared" si="94"/>
        <v>256.28124185489082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12.711238711348129</v>
      </c>
      <c r="CL120" s="21">
        <f>EXP(-LN(2)/25)*CL119+(1-EXP(-LN(2)/25))/(LN(2)/25)*Calculateur!CG120*Calculateur!CI120*VLOOKUP('Données projet'!$B$12,Paramètres!$A$1:$I$89,3,0)*0.475*44/12</f>
        <v>28.366272144244743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41.07751085559287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408.246209980743</v>
      </c>
      <c r="CZ120" s="59">
        <f t="shared" si="96"/>
        <v>394.10236303013903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27.430887697803243</v>
      </c>
      <c r="DG120" s="21">
        <f>EXP(-LN(2)/25)*DG119+(1-EXP(-LN(2)/25))/(LN(2)/25)*Calculateur!DB120*Calculateur!DD120*VLOOKUP('Données projet'!$B$13,Paramètres!$A$1:$I$89,3,0)*0.475*44/12</f>
        <v>20.202811487909869</v>
      </c>
      <c r="DH120" s="21">
        <f>EXP(-LN(2)/2)*DH119+(1-EXP(-LN(2)/2))/(LN(2)/2)*DB120*DE120*VLOOKUP('Données projet'!$B$13,Paramètres!$A$1:$I$89,3,0)*0.475*44/12</f>
        <v>1.848825352087819E-4</v>
      </c>
      <c r="DI120" s="22">
        <f t="shared" si="69"/>
        <v>47.633884068248321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5.6843418860808015E-13</v>
      </c>
      <c r="DP120" s="17">
        <f>DO120*VLOOKUP('Données projet'!$B$14,Paramètres!$A$1:$I$89,3,0)*VLOOKUP('Données projet'!$B$14,Paramètres!$A$1:$I$89,5,0)</f>
        <v>3.177547114319168E-13</v>
      </c>
      <c r="DQ120" s="13">
        <f t="shared" si="97"/>
        <v>4.1725404435445377E-12</v>
      </c>
      <c r="DR120" s="20">
        <f t="shared" si="70"/>
        <v>7.820597394917325E-12</v>
      </c>
      <c r="DS120" s="59">
        <f t="shared" si="71"/>
        <v>281.50309518111749</v>
      </c>
      <c r="DT120" s="59">
        <f ca="1">AVERAGE(OFFSET($DS$3,0,0,'Données projet'!$E$14+1,1))-AVERAGE(OFFSET($H$3,0,0,'Données projet'!$E$14+1,1))</f>
        <v>407.05634973057056</v>
      </c>
      <c r="DU120" s="59">
        <f t="shared" si="98"/>
        <v>375.32891954889965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90.970172127884211</v>
      </c>
      <c r="EB120" s="21">
        <f>EXP(-LN(2)/25)*EB119+(1-EXP(-LN(2)/25))/(LN(2)/25)*Calculateur!DW120*Calculateur!DY120*VLOOKUP('Données projet'!$B$14,Paramètres!$A$1:$I$89,3,0)*0.475*44/12</f>
        <v>20.85372075393504</v>
      </c>
      <c r="EC120" s="21">
        <f>EXP(-LN(2)/2)*EC119+(1-EXP(-LN(2)/2))/(LN(2)/2)*DW120*DZ120*VLOOKUP('Données projet'!$B$14,Paramètres!$A$1:$I$89,3,0)*0.475*44/12</f>
        <v>6.3646397907390309E-6</v>
      </c>
      <c r="ED120" s="22">
        <f t="shared" si="72"/>
        <v>111.82389924645904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1.1368683772161603E-13</v>
      </c>
      <c r="EK120" s="17">
        <f>EJ120*VLOOKUP('Données projet'!$B$15,Paramètres!$A$1:$I$89,3,0)*VLOOKUP('Données projet'!$B$15,Paramètres!$A$1:$I$89,5,0)</f>
        <v>5.0249582272954292E-14</v>
      </c>
      <c r="EL120" s="13">
        <f t="shared" si="99"/>
        <v>8.1784820119191593E-13</v>
      </c>
      <c r="EM120" s="20">
        <f t="shared" si="73"/>
        <v>1.5119369728679821E-12</v>
      </c>
      <c r="EN120" s="59">
        <f t="shared" si="74"/>
        <v>281.50309518111118</v>
      </c>
      <c r="EO120" s="59">
        <f ca="1">AVERAGE(OFFSET($EN$3,0,0,'Données projet'!$E$15+1,1))-AVERAGE(OFFSET($H$3,0,0,'Données projet'!$E$15+1,1))</f>
        <v>418.28022549686278</v>
      </c>
      <c r="EP120" s="59">
        <f t="shared" si="100"/>
        <v>354.55070454517158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99.304583673433982</v>
      </c>
      <c r="EW120" s="21">
        <f>EXP(-LN(2)/25)*EW119+(1-EXP(-LN(2)/25))/(LN(2)/25)*Calculateur!ER120*Calculateur!ET120*VLOOKUP('Données projet'!$B$15,Paramètres!$A$1:$I$89,3,0)*0.475*44/12</f>
        <v>25.773883855236779</v>
      </c>
      <c r="EX120" s="21">
        <f>EXP(-LN(2)/2)*EX119+(1-EXP(-LN(2)/2))/(LN(2)/2)*ER120*EU120*VLOOKUP('Données projet'!$B$15,Paramètres!$A$1:$I$89,3,0)*0.475*44/12</f>
        <v>2.1202600278004573E-4</v>
      </c>
      <c r="EY120" s="22">
        <f t="shared" si="75"/>
        <v>125.07867955467354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7.0011111111111104</v>
      </c>
      <c r="FE120" s="12">
        <f>IF('Données projet'!$A$218&gt;35,FE119+FD120-FM119,IF(A120&lt;'Données projet'!$A$218,$FB$205^A120,IF(A120='Données projet'!$A$218,'Données projet'!$B$218,FE119+FD120-FM119)))</f>
        <v>280.26444444444439</v>
      </c>
      <c r="FF120" s="17">
        <f>FE120*VLOOKUP('Données projet'!$B$16,Paramètres!$A$1:$I$89,3,0)*VLOOKUP('Données projet'!$B$16,Paramètres!$A$1:$I$89,5,0)</f>
        <v>319.16514933333332</v>
      </c>
      <c r="FG120" s="13">
        <f t="shared" si="101"/>
        <v>75.179620344585189</v>
      </c>
      <c r="FH120" s="20">
        <f t="shared" si="76"/>
        <v>686.81714052237476</v>
      </c>
      <c r="FI120" s="59">
        <f t="shared" si="77"/>
        <v>968.3202357034844</v>
      </c>
      <c r="FJ120" s="59">
        <f ca="1">AVERAGE(OFFSET($FI$3,0,0,'Données projet'!$E$16+1,1))-AVERAGE(OFFSET($H$3,0,0,'Données projet'!$E$16+1,1))</f>
        <v>640.05156427113661</v>
      </c>
      <c r="FK120" s="59">
        <f t="shared" si="102"/>
        <v>308.77220155372902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22.080086995987163</v>
      </c>
      <c r="FR120" s="21">
        <f>EXP(-LN(2)/25)*FR119+(1-EXP(-LN(2)/25))/(LN(2)/25)*Calculateur!FM120*Calculateur!FO120*VLOOKUP('Données projet'!$B$16,Paramètres!$A$1:$I$89,3,0)*0.475*44/12</f>
        <v>27.284421047839086</v>
      </c>
      <c r="FS120" s="21">
        <f>EXP(-LN(2)/2)*FS119+(1-EXP(-LN(2)/2))/(LN(2)/2)*FM120*FP120*VLOOKUP('Données projet'!$B$16,Paramètres!$A$1:$I$89,3,0)*0.475*44/12</f>
        <v>1.1676249303251589</v>
      </c>
      <c r="FT120" s="22">
        <f t="shared" si="78"/>
        <v>50.532132974151409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281.70832336460239</v>
      </c>
      <c r="S121" s="59">
        <f ca="1">AVERAGE(OFFSET($R$3,0,0,'Données projet'!$E$9+1,1))-AVERAGE(OFFSET($H$3,0,0,'Données projet'!$E$9+1,1))</f>
        <v>318.50474972254085</v>
      </c>
      <c r="T121" s="59">
        <f t="shared" si="88"/>
        <v>326.45858332753562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44.030735661890837</v>
      </c>
      <c r="AA121" s="21">
        <f>EXP(-LN(2)/25)*AA120+(1-EXP(-LN(2)/25))/(LN(2)/25)*Calculateur!V121*Calculateur!X121*VLOOKUP('Données projet'!$B$9,Paramètres!$A$1:$I$89,3,0)*0.475*44/12</f>
        <v>9.7010599088667515</v>
      </c>
      <c r="AB121" s="21">
        <f>EXP(-LN(2)/2)*AB120+(1-EXP(-LN(2)/2))/(LN(2)/2)*V121*Y121*VLOOKUP('Données projet'!$B$9,Paramètres!$A$1:$I$89,3,0)*0.475*44/12</f>
        <v>1.1168689061580877E-7</v>
      </c>
      <c r="AC121" s="22">
        <f t="shared" si="57"/>
        <v>53.731795682444478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8.2299999999999986</v>
      </c>
      <c r="AI121" s="13">
        <f>IF('Données projet'!$A$62&gt;35,AI120+AH121-AQ120,IF(A121&lt;'Données projet'!$A$62,$AF$205^A121,IF(A121='Données projet'!$A$62,'Données projet'!$B$62,AI120+AH121-AQ120)))</f>
        <v>453.23000000000013</v>
      </c>
      <c r="AJ121" s="13">
        <f>AI121*VLOOKUP('Données projet'!$B$10,Paramètres!$A$1:$I$89,3,0)*VLOOKUP('Données projet'!$B$10,Paramètres!$A$1:$I$89,5,0)</f>
        <v>212.11164000000005</v>
      </c>
      <c r="AK121" s="13">
        <f t="shared" si="89"/>
        <v>52.396763121120088</v>
      </c>
      <c r="AL121" s="20">
        <f t="shared" si="58"/>
        <v>460.68546876928417</v>
      </c>
      <c r="AM121" s="59">
        <f t="shared" si="59"/>
        <v>742.39379213388452</v>
      </c>
      <c r="AN121" s="59">
        <f ca="1">AVERAGE(OFFSET($AM$3,0,0,'Données projet'!$E$10+1,1))-AVERAGE(OFFSET($H$3,0,0,'Données projet'!$E$10+1,1))</f>
        <v>374.38106339726073</v>
      </c>
      <c r="AO121" s="59">
        <f t="shared" si="90"/>
        <v>296.53283288925957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57.58246797252442</v>
      </c>
      <c r="AV121" s="21">
        <f>EXP(-LN(2)/25)*AV120+(1-EXP(-LN(2)/25))/(LN(2)/25)*Calculateur!AQ121*Calculateur!AS121*VLOOKUP('Données projet'!$B$10,Paramètres!$A$1:$I$89,3,0)*0.475*44/12</f>
        <v>17.789389716047925</v>
      </c>
      <c r="AW121" s="21">
        <f>EXP(-LN(2)/2)*AW120+(1-EXP(-LN(2)/2))/(LN(2)/2)*AQ121*AT121*VLOOKUP('Données projet'!$B$10,Paramètres!$A$1:$I$89,3,0)*0.475*44/12</f>
        <v>0.43856531346238847</v>
      </c>
      <c r="AX121" s="21">
        <f t="shared" si="60"/>
        <v>75.810423002034739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8.9160000000000021</v>
      </c>
      <c r="BD121" s="12">
        <f>IF('Données projet'!$A$88&gt;35,BD120+BC121-BL120,IF(A121&lt;'Données projet'!$A$88,$BA$205^A121,IF(A121='Données projet'!$A$88,'Données projet'!$B$88,BD120+BC121-BL120)))</f>
        <v>398.36400000000071</v>
      </c>
      <c r="BE121" s="13">
        <f>BD121*VLOOKUP('Données projet'!$B$11,Paramètres!$A$1:$I$89,3,0)*VLOOKUP('Données projet'!$B$11,Paramètres!$A$1:$I$89,5,0)</f>
        <v>360.43974720000062</v>
      </c>
      <c r="BF121" s="13">
        <f t="shared" si="91"/>
        <v>83.708472633827739</v>
      </c>
      <c r="BG121" s="20">
        <f t="shared" si="61"/>
        <v>773.55814954391769</v>
      </c>
      <c r="BH121" s="59">
        <f t="shared" si="62"/>
        <v>1055.2664729085182</v>
      </c>
      <c r="BI121" s="59">
        <f ca="1">AVERAGE(OFFSET($BH$3,0,0,'Données projet'!$E$11+1,1))-AVERAGE(OFFSET($H$3,0,0,'Données projet'!$E$11+1,1))</f>
        <v>681.47578137804555</v>
      </c>
      <c r="BJ121" s="59">
        <f t="shared" si="92"/>
        <v>300.88511065995885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33.684468987099024</v>
      </c>
      <c r="BQ121" s="21">
        <f>EXP(-LN(2)/25)*BQ120+(1-EXP(-LN(2)/25))/(LN(2)/25)*Calculateur!BL121*Calculateur!BN121*VLOOKUP('Données projet'!$B$11,Paramètres!$A$1:$I$89,3,0)*0.475*44/12</f>
        <v>23.074530700102343</v>
      </c>
      <c r="BR121" s="21">
        <f>EXP(-LN(2)/2)*BR120+(1-EXP(-LN(2)/2))/(LN(2)/2)*BL121*BO121*VLOOKUP('Données projet'!$B$11,Paramètres!$A$1:$I$89,3,0)*0.475*44/12</f>
        <v>1.3657793110100189</v>
      </c>
      <c r="BS121" s="22">
        <f t="shared" si="63"/>
        <v>58.124778998211383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8.5265128291212022E-14</v>
      </c>
      <c r="BZ121" s="13">
        <f>BY121*VLOOKUP('Données projet'!$B$12,Paramètres!$A$1:$I$89,3,0)*VLOOKUP('Données projet'!$B$12,Paramètres!$A$1:$I$89,5,0)</f>
        <v>8.9119112089974823E-14</v>
      </c>
      <c r="CA121" s="13">
        <f t="shared" si="93"/>
        <v>1.3568952080113142E-12</v>
      </c>
      <c r="CB121" s="20">
        <f t="shared" si="64"/>
        <v>2.5184749408430782E-12</v>
      </c>
      <c r="CC121" s="59">
        <f t="shared" si="65"/>
        <v>281.7083233646029</v>
      </c>
      <c r="CD121" s="59">
        <f ca="1">AVERAGE(OFFSET($CC$3,0,0,'Données projet'!$E$12+1,1))-AVERAGE(OFFSET($H$3,0,0,'Données projet'!$E$12+1,1))</f>
        <v>290.69667785754848</v>
      </c>
      <c r="CE121" s="59">
        <f t="shared" si="94"/>
        <v>256.28124185489082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12.461979073308651</v>
      </c>
      <c r="CL121" s="21">
        <f>EXP(-LN(2)/25)*CL120+(1-EXP(-LN(2)/25))/(LN(2)/25)*Calculateur!CG121*Calculateur!CI121*VLOOKUP('Données projet'!$B$12,Paramètres!$A$1:$I$89,3,0)*0.475*44/12</f>
        <v>27.59059494074295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40.052574014051601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408.246209980743</v>
      </c>
      <c r="CZ121" s="59">
        <f t="shared" si="96"/>
        <v>394.10236303013903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26.892984721238751</v>
      </c>
      <c r="DG121" s="21">
        <f>EXP(-LN(2)/25)*DG120+(1-EXP(-LN(2)/25))/(LN(2)/25)*Calculateur!DB121*Calculateur!DD121*VLOOKUP('Données projet'!$B$13,Paramètres!$A$1:$I$89,3,0)*0.475*44/12</f>
        <v>19.650364545353291</v>
      </c>
      <c r="DH121" s="21">
        <f>EXP(-LN(2)/2)*DH120+(1-EXP(-LN(2)/2))/(LN(2)/2)*DB121*DE121*VLOOKUP('Données projet'!$B$13,Paramètres!$A$1:$I$89,3,0)*0.475*44/12</f>
        <v>1.3073169436909031E-4</v>
      </c>
      <c r="DI121" s="22">
        <f t="shared" si="69"/>
        <v>46.543479998286415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5.6843418860808015E-13</v>
      </c>
      <c r="DP121" s="17">
        <f>DO121*VLOOKUP('Données projet'!$B$14,Paramètres!$A$1:$I$89,3,0)*VLOOKUP('Données projet'!$B$14,Paramètres!$A$1:$I$89,5,0)</f>
        <v>3.177547114319168E-13</v>
      </c>
      <c r="DQ121" s="13">
        <f t="shared" si="97"/>
        <v>4.1725404435445377E-12</v>
      </c>
      <c r="DR121" s="20">
        <f t="shared" si="70"/>
        <v>7.820597394917325E-12</v>
      </c>
      <c r="DS121" s="59">
        <f t="shared" si="71"/>
        <v>281.70832336460825</v>
      </c>
      <c r="DT121" s="59">
        <f ca="1">AVERAGE(OFFSET($DS$3,0,0,'Données projet'!$E$14+1,1))-AVERAGE(OFFSET($H$3,0,0,'Données projet'!$E$14+1,1))</f>
        <v>407.05634973057056</v>
      </c>
      <c r="DU121" s="59">
        <f t="shared" si="98"/>
        <v>375.32891954889965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89.186302538782584</v>
      </c>
      <c r="EB121" s="21">
        <f>EXP(-LN(2)/25)*EB120+(1-EXP(-LN(2)/25))/(LN(2)/25)*Calculateur!DW121*Calculateur!DY121*VLOOKUP('Données projet'!$B$14,Paramètres!$A$1:$I$89,3,0)*0.475*44/12</f>
        <v>20.283474663269175</v>
      </c>
      <c r="EC121" s="21">
        <f>EXP(-LN(2)/2)*EC120+(1-EXP(-LN(2)/2))/(LN(2)/2)*DW121*DZ121*VLOOKUP('Données projet'!$B$14,Paramètres!$A$1:$I$89,3,0)*0.475*44/12</f>
        <v>4.5004799558412974E-6</v>
      </c>
      <c r="ED121" s="22">
        <f t="shared" si="72"/>
        <v>109.46978170253172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1.1368683772161603E-13</v>
      </c>
      <c r="EK121" s="17">
        <f>EJ121*VLOOKUP('Données projet'!$B$15,Paramètres!$A$1:$I$89,3,0)*VLOOKUP('Données projet'!$B$15,Paramètres!$A$1:$I$89,5,0)</f>
        <v>5.0249582272954292E-14</v>
      </c>
      <c r="EL121" s="13">
        <f t="shared" si="99"/>
        <v>8.1784820119191593E-13</v>
      </c>
      <c r="EM121" s="20">
        <f t="shared" si="73"/>
        <v>1.5119369728679821E-12</v>
      </c>
      <c r="EN121" s="59">
        <f t="shared" si="74"/>
        <v>281.70832336460194</v>
      </c>
      <c r="EO121" s="59">
        <f ca="1">AVERAGE(OFFSET($EN$3,0,0,'Données projet'!$E$15+1,1))-AVERAGE(OFFSET($H$3,0,0,'Données projet'!$E$15+1,1))</f>
        <v>418.28022549686278</v>
      </c>
      <c r="EP121" s="59">
        <f t="shared" si="100"/>
        <v>354.55070454517158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97.357281357413214</v>
      </c>
      <c r="EW121" s="21">
        <f>EXP(-LN(2)/25)*EW120+(1-EXP(-LN(2)/25))/(LN(2)/25)*Calculateur!ER121*Calculateur!ET121*VLOOKUP('Données projet'!$B$15,Paramètres!$A$1:$I$89,3,0)*0.475*44/12</f>
        <v>25.069095645825684</v>
      </c>
      <c r="EX121" s="21">
        <f>EXP(-LN(2)/2)*EX120+(1-EXP(-LN(2)/2))/(LN(2)/2)*ER121*EU121*VLOOKUP('Données projet'!$B$15,Paramètres!$A$1:$I$89,3,0)*0.475*44/12</f>
        <v>1.4992502435364811E-4</v>
      </c>
      <c r="EY121" s="22">
        <f t="shared" si="75"/>
        <v>122.42652692826326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7.0011111111111104</v>
      </c>
      <c r="FE121" s="12">
        <f>IF('Données projet'!$A$218&gt;35,FE120+FD121-FM120,IF(A121&lt;'Données projet'!$A$218,$FB$205^A121,IF(A121='Données projet'!$A$218,'Données projet'!$B$218,FE120+FD121-FM120)))</f>
        <v>287.26555555555552</v>
      </c>
      <c r="FF121" s="17">
        <f>FE121*VLOOKUP('Données projet'!$B$16,Paramètres!$A$1:$I$89,3,0)*VLOOKUP('Données projet'!$B$16,Paramètres!$A$1:$I$89,5,0)</f>
        <v>327.13801466666661</v>
      </c>
      <c r="FG121" s="13">
        <f t="shared" si="101"/>
        <v>76.836644122379781</v>
      </c>
      <c r="FH121" s="20">
        <f t="shared" si="76"/>
        <v>703.58919739092244</v>
      </c>
      <c r="FI121" s="59">
        <f t="shared" si="77"/>
        <v>985.29752075552278</v>
      </c>
      <c r="FJ121" s="59">
        <f ca="1">AVERAGE(OFFSET($FI$3,0,0,'Données projet'!$E$16+1,1))-AVERAGE(OFFSET($H$3,0,0,'Données projet'!$E$16+1,1))</f>
        <v>640.05156427113661</v>
      </c>
      <c r="FK121" s="59">
        <f t="shared" si="102"/>
        <v>308.77220155372902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21.647109957519113</v>
      </c>
      <c r="FR121" s="21">
        <f>EXP(-LN(2)/25)*FR120+(1-EXP(-LN(2)/25))/(LN(2)/25)*Calculateur!FM121*Calculateur!FO121*VLOOKUP('Données projet'!$B$16,Paramètres!$A$1:$I$89,3,0)*0.475*44/12</f>
        <v>26.538327119460583</v>
      </c>
      <c r="FS121" s="21">
        <f>EXP(-LN(2)/2)*FS120+(1-EXP(-LN(2)/2))/(LN(2)/2)*FM121*FP121*VLOOKUP('Données projet'!$B$16,Paramètres!$A$1:$I$89,3,0)*0.475*44/12</f>
        <v>0.82563550611538994</v>
      </c>
      <c r="FT121" s="22">
        <f t="shared" si="78"/>
        <v>49.011072583095086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281.90999129793113</v>
      </c>
      <c r="S122" s="59">
        <f ca="1">AVERAGE(OFFSET($R$3,0,0,'Données projet'!$E$9+1,1))-AVERAGE(OFFSET($H$3,0,0,'Données projet'!$E$9+1,1))</f>
        <v>318.50474972254085</v>
      </c>
      <c r="T122" s="59">
        <f t="shared" si="88"/>
        <v>326.45858332753562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43.167319791658095</v>
      </c>
      <c r="AA122" s="21">
        <f>EXP(-LN(2)/25)*AA121+(1-EXP(-LN(2)/25))/(LN(2)/25)*Calculateur!V122*Calculateur!X122*VLOOKUP('Données projet'!$B$9,Paramètres!$A$1:$I$89,3,0)*0.475*44/12</f>
        <v>9.4357839155022223</v>
      </c>
      <c r="AB122" s="21">
        <f>EXP(-LN(2)/2)*AB121+(1-EXP(-LN(2)/2))/(LN(2)/2)*V122*Y122*VLOOKUP('Données projet'!$B$9,Paramètres!$A$1:$I$89,3,0)*0.475*44/12</f>
        <v>7.8974557724078556E-8</v>
      </c>
      <c r="AC122" s="22">
        <f t="shared" si="57"/>
        <v>52.603103786134874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8.2299999999999986</v>
      </c>
      <c r="AI122" s="13">
        <f>IF('Données projet'!$A$62&gt;35,AI121+AH122-AQ121,IF(A122&lt;'Données projet'!$A$62,$AF$205^A122,IF(A122='Données projet'!$A$62,'Données projet'!$B$62,AI121+AH122-AQ121)))</f>
        <v>461.46000000000015</v>
      </c>
      <c r="AJ122" s="13">
        <f>AI122*VLOOKUP('Données projet'!$B$10,Paramètres!$A$1:$I$89,3,0)*VLOOKUP('Données projet'!$B$10,Paramètres!$A$1:$I$89,5,0)</f>
        <v>215.96328000000008</v>
      </c>
      <c r="AK122" s="13">
        <f t="shared" si="89"/>
        <v>53.236581182498291</v>
      </c>
      <c r="AL122" s="20">
        <f t="shared" si="58"/>
        <v>468.85642489285124</v>
      </c>
      <c r="AM122" s="59">
        <f t="shared" si="59"/>
        <v>750.76641619078032</v>
      </c>
      <c r="AN122" s="59">
        <f ca="1">AVERAGE(OFFSET($AM$3,0,0,'Données projet'!$E$10+1,1))-AVERAGE(OFFSET($H$3,0,0,'Données projet'!$E$10+1,1))</f>
        <v>374.38106339726073</v>
      </c>
      <c r="AO122" s="59">
        <f t="shared" si="90"/>
        <v>296.53283288925957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56.453310897420685</v>
      </c>
      <c r="AV122" s="21">
        <f>EXP(-LN(2)/25)*AV121+(1-EXP(-LN(2)/25))/(LN(2)/25)*Calculateur!AQ122*Calculateur!AS122*VLOOKUP('Données projet'!$B$10,Paramètres!$A$1:$I$89,3,0)*0.475*44/12</f>
        <v>17.302937918759248</v>
      </c>
      <c r="AW122" s="21">
        <f>EXP(-LN(2)/2)*AW121+(1-EXP(-LN(2)/2))/(LN(2)/2)*AQ122*AT122*VLOOKUP('Données projet'!$B$10,Paramètres!$A$1:$I$89,3,0)*0.475*44/12</f>
        <v>0.31011250714245875</v>
      </c>
      <c r="AX122" s="21">
        <f t="shared" si="60"/>
        <v>74.066361323322397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8.9160000000000021</v>
      </c>
      <c r="BD122" s="12">
        <f>IF('Données projet'!$A$88&gt;35,BD121+BC122-BL121,IF(A122&lt;'Données projet'!$A$88,$BA$205^A122,IF(A122='Données projet'!$A$88,'Données projet'!$B$88,BD121+BC122-BL121)))</f>
        <v>407.28000000000071</v>
      </c>
      <c r="BE122" s="13">
        <f>BD122*VLOOKUP('Données projet'!$B$11,Paramètres!$A$1:$I$89,3,0)*VLOOKUP('Données projet'!$B$11,Paramètres!$A$1:$I$89,5,0)</f>
        <v>368.5069440000006</v>
      </c>
      <c r="BF122" s="13">
        <f t="shared" si="91"/>
        <v>85.361780301252097</v>
      </c>
      <c r="BG122" s="20">
        <f t="shared" si="61"/>
        <v>790.48802815801503</v>
      </c>
      <c r="BH122" s="59">
        <f t="shared" si="62"/>
        <v>1072.3980194559442</v>
      </c>
      <c r="BI122" s="59">
        <f ca="1">AVERAGE(OFFSET($BH$3,0,0,'Données projet'!$E$11+1,1))-AVERAGE(OFFSET($H$3,0,0,'Données projet'!$E$11+1,1))</f>
        <v>681.47578137804555</v>
      </c>
      <c r="BJ122" s="59">
        <f t="shared" si="92"/>
        <v>300.88511065995885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33.023937095759393</v>
      </c>
      <c r="BQ122" s="21">
        <f>EXP(-LN(2)/25)*BQ121+(1-EXP(-LN(2)/25))/(LN(2)/25)*Calculateur!BL122*Calculateur!BN122*VLOOKUP('Données projet'!$B$11,Paramètres!$A$1:$I$89,3,0)*0.475*44/12</f>
        <v>22.443556444671213</v>
      </c>
      <c r="BR122" s="21">
        <f>EXP(-LN(2)/2)*BR121+(1-EXP(-LN(2)/2))/(LN(2)/2)*BL122*BO122*VLOOKUP('Données projet'!$B$11,Paramètres!$A$1:$I$89,3,0)*0.475*44/12</f>
        <v>0.96575181241947516</v>
      </c>
      <c r="BS122" s="22">
        <f t="shared" si="63"/>
        <v>56.433245352850086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8.5265128291212022E-14</v>
      </c>
      <c r="BZ122" s="13">
        <f>BY122*VLOOKUP('Données projet'!$B$12,Paramètres!$A$1:$I$89,3,0)*VLOOKUP('Données projet'!$B$12,Paramètres!$A$1:$I$89,5,0)</f>
        <v>8.9119112089974823E-14</v>
      </c>
      <c r="CA122" s="13">
        <f t="shared" si="93"/>
        <v>1.3568952080113142E-12</v>
      </c>
      <c r="CB122" s="20">
        <f t="shared" si="64"/>
        <v>2.5184749408430782E-12</v>
      </c>
      <c r="CC122" s="59">
        <f t="shared" si="65"/>
        <v>281.90999129793164</v>
      </c>
      <c r="CD122" s="59">
        <f ca="1">AVERAGE(OFFSET($CC$3,0,0,'Données projet'!$E$12+1,1))-AVERAGE(OFFSET($H$3,0,0,'Données projet'!$E$12+1,1))</f>
        <v>290.69667785754848</v>
      </c>
      <c r="CE122" s="59">
        <f t="shared" si="94"/>
        <v>256.28124185489082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12.217607264737762</v>
      </c>
      <c r="CL122" s="21">
        <f>EXP(-LN(2)/25)*CL121+(1-EXP(-LN(2)/25))/(LN(2)/25)*Calculateur!CG122*Calculateur!CI122*VLOOKUP('Données projet'!$B$12,Paramètres!$A$1:$I$89,3,0)*0.475*44/12</f>
        <v>26.836128671162005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39.053735935899766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408.246209980743</v>
      </c>
      <c r="CZ122" s="59">
        <f t="shared" si="96"/>
        <v>394.10236303013903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26.365629693956269</v>
      </c>
      <c r="DG122" s="21">
        <f>EXP(-LN(2)/25)*DG121+(1-EXP(-LN(2)/25))/(LN(2)/25)*Calculateur!DB122*Calculateur!DD122*VLOOKUP('Données projet'!$B$13,Paramètres!$A$1:$I$89,3,0)*0.475*44/12</f>
        <v>19.113024293492845</v>
      </c>
      <c r="DH122" s="21">
        <f>EXP(-LN(2)/2)*DH121+(1-EXP(-LN(2)/2))/(LN(2)/2)*DB122*DE122*VLOOKUP('Données projet'!$B$13,Paramètres!$A$1:$I$89,3,0)*0.475*44/12</f>
        <v>9.2441267604390949E-5</v>
      </c>
      <c r="DI122" s="22">
        <f t="shared" si="69"/>
        <v>45.478746428716718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5.6843418860808015E-13</v>
      </c>
      <c r="DP122" s="17">
        <f>DO122*VLOOKUP('Données projet'!$B$14,Paramètres!$A$1:$I$89,3,0)*VLOOKUP('Données projet'!$B$14,Paramètres!$A$1:$I$89,5,0)</f>
        <v>3.177547114319168E-13</v>
      </c>
      <c r="DQ122" s="13">
        <f t="shared" si="97"/>
        <v>4.1725404435445377E-12</v>
      </c>
      <c r="DR122" s="20">
        <f t="shared" si="70"/>
        <v>7.820597394917325E-12</v>
      </c>
      <c r="DS122" s="59">
        <f t="shared" si="71"/>
        <v>281.90999129793698</v>
      </c>
      <c r="DT122" s="59">
        <f ca="1">AVERAGE(OFFSET($DS$3,0,0,'Données projet'!$E$14+1,1))-AVERAGE(OFFSET($H$3,0,0,'Données projet'!$E$14+1,1))</f>
        <v>407.05634973057056</v>
      </c>
      <c r="DU122" s="59">
        <f t="shared" si="98"/>
        <v>375.32891954889965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87.437413544270228</v>
      </c>
      <c r="EB122" s="21">
        <f>EXP(-LN(2)/25)*EB121+(1-EXP(-LN(2)/25))/(LN(2)/25)*Calculateur!DW122*Calculateur!DY122*VLOOKUP('Données projet'!$B$14,Paramètres!$A$1:$I$89,3,0)*0.475*44/12</f>
        <v>19.728821981940506</v>
      </c>
      <c r="EC122" s="21">
        <f>EXP(-LN(2)/2)*EC121+(1-EXP(-LN(2)/2))/(LN(2)/2)*DW122*DZ122*VLOOKUP('Données projet'!$B$14,Paramètres!$A$1:$I$89,3,0)*0.475*44/12</f>
        <v>3.1823198953695154E-6</v>
      </c>
      <c r="ED122" s="22">
        <f t="shared" si="72"/>
        <v>107.16623870853063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1.1368683772161603E-13</v>
      </c>
      <c r="EK122" s="17">
        <f>EJ122*VLOOKUP('Données projet'!$B$15,Paramètres!$A$1:$I$89,3,0)*VLOOKUP('Données projet'!$B$15,Paramètres!$A$1:$I$89,5,0)</f>
        <v>5.0249582272954292E-14</v>
      </c>
      <c r="EL122" s="13">
        <f t="shared" si="99"/>
        <v>8.1784820119191593E-13</v>
      </c>
      <c r="EM122" s="20">
        <f t="shared" si="73"/>
        <v>1.5119369728679821E-12</v>
      </c>
      <c r="EN122" s="59">
        <f t="shared" si="74"/>
        <v>281.90999129793067</v>
      </c>
      <c r="EO122" s="59">
        <f ca="1">AVERAGE(OFFSET($EN$3,0,0,'Données projet'!$E$15+1,1))-AVERAGE(OFFSET($H$3,0,0,'Données projet'!$E$15+1,1))</f>
        <v>418.28022549686278</v>
      </c>
      <c r="EP122" s="59">
        <f t="shared" si="100"/>
        <v>354.55070454517158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95.448164452072476</v>
      </c>
      <c r="EW122" s="21">
        <f>EXP(-LN(2)/25)*EW121+(1-EXP(-LN(2)/25))/(LN(2)/25)*Calculateur!ER122*Calculateur!ET122*VLOOKUP('Données projet'!$B$15,Paramètres!$A$1:$I$89,3,0)*0.475*44/12</f>
        <v>24.383579907064135</v>
      </c>
      <c r="EX122" s="21">
        <f>EXP(-LN(2)/2)*EX121+(1-EXP(-LN(2)/2))/(LN(2)/2)*ER122*EU122*VLOOKUP('Données projet'!$B$15,Paramètres!$A$1:$I$89,3,0)*0.475*44/12</f>
        <v>1.0601300139002287E-4</v>
      </c>
      <c r="EY122" s="22">
        <f t="shared" si="75"/>
        <v>119.83185037213799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7.0011111111111104</v>
      </c>
      <c r="FE122" s="12">
        <f>IF('Données projet'!$A$218&gt;35,FE121+FD122-FM121,IF(A122&lt;'Données projet'!$A$218,$FB$205^A122,IF(A122='Données projet'!$A$218,'Données projet'!$B$218,FE121+FD122-FM121)))</f>
        <v>294.26666666666665</v>
      </c>
      <c r="FF122" s="17">
        <f>FE122*VLOOKUP('Données projet'!$B$16,Paramètres!$A$1:$I$89,3,0)*VLOOKUP('Données projet'!$B$16,Paramètres!$A$1:$I$89,5,0)</f>
        <v>335.11088000000001</v>
      </c>
      <c r="FG122" s="13">
        <f t="shared" si="101"/>
        <v>78.48897334219626</v>
      </c>
      <c r="FH122" s="20">
        <f t="shared" si="76"/>
        <v>720.35307790432523</v>
      </c>
      <c r="FI122" s="59">
        <f t="shared" si="77"/>
        <v>1002.2630692022544</v>
      </c>
      <c r="FJ122" s="59">
        <f ca="1">AVERAGE(OFFSET($FI$3,0,0,'Données projet'!$E$16+1,1))-AVERAGE(OFFSET($H$3,0,0,'Données projet'!$E$16+1,1))</f>
        <v>640.05156427113661</v>
      </c>
      <c r="FK122" s="59">
        <f t="shared" si="102"/>
        <v>308.77220155372902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21.222623334685508</v>
      </c>
      <c r="FR122" s="21">
        <f>EXP(-LN(2)/25)*FR121+(1-EXP(-LN(2)/25))/(LN(2)/25)*Calculateur!FM122*Calculateur!FO122*VLOOKUP('Données projet'!$B$16,Paramètres!$A$1:$I$89,3,0)*0.475*44/12</f>
        <v>25.812635168788965</v>
      </c>
      <c r="FS122" s="21">
        <f>EXP(-LN(2)/2)*FS121+(1-EXP(-LN(2)/2))/(LN(2)/2)*FM122*FP122*VLOOKUP('Données projet'!$B$16,Paramètres!$A$1:$I$89,3,0)*0.475*44/12</f>
        <v>0.58381246516257945</v>
      </c>
      <c r="FT122" s="22">
        <f t="shared" si="78"/>
        <v>47.619070968637054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282.10816074347861</v>
      </c>
      <c r="S123" s="59">
        <f ca="1">AVERAGE(OFFSET($R$3,0,0,'Données projet'!$E$9+1,1))-AVERAGE(OFFSET($H$3,0,0,'Données projet'!$E$9+1,1))</f>
        <v>318.50474972254085</v>
      </c>
      <c r="T123" s="59">
        <f t="shared" si="88"/>
        <v>326.45858332753562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42.320834980008932</v>
      </c>
      <c r="AA123" s="21">
        <f>EXP(-LN(2)/25)*AA122+(1-EXP(-LN(2)/25))/(LN(2)/25)*Calculateur!V123*Calculateur!X123*VLOOKUP('Données projet'!$B$9,Paramètres!$A$1:$I$89,3,0)*0.475*44/12</f>
        <v>9.1777619081265041</v>
      </c>
      <c r="AB123" s="21">
        <f>EXP(-LN(2)/2)*AB122+(1-EXP(-LN(2)/2))/(LN(2)/2)*V123*Y123*VLOOKUP('Données projet'!$B$9,Paramètres!$A$1:$I$89,3,0)*0.475*44/12</f>
        <v>5.5843445307904383E-8</v>
      </c>
      <c r="AC123" s="22">
        <f t="shared" si="57"/>
        <v>51.498596943978882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8.2299999999999986</v>
      </c>
      <c r="AI123" s="13">
        <f>IF('Données projet'!$A$62&gt;35,AI122+AH123-AQ122,IF(A123&lt;'Données projet'!$A$62,$AF$205^A123,IF(A123='Données projet'!$A$62,'Données projet'!$B$62,AI122+AH123-AQ122)))</f>
        <v>469.69000000000017</v>
      </c>
      <c r="AJ123" s="13">
        <f>AI123*VLOOKUP('Données projet'!$B$10,Paramètres!$A$1:$I$89,3,0)*VLOOKUP('Données projet'!$B$10,Paramètres!$A$1:$I$89,5,0)</f>
        <v>219.81492000000009</v>
      </c>
      <c r="AK123" s="13">
        <f t="shared" si="89"/>
        <v>54.074657526864193</v>
      </c>
      <c r="AL123" s="20">
        <f t="shared" si="58"/>
        <v>477.02434752595531</v>
      </c>
      <c r="AM123" s="59">
        <f t="shared" si="59"/>
        <v>759.13250826943192</v>
      </c>
      <c r="AN123" s="59">
        <f ca="1">AVERAGE(OFFSET($AM$3,0,0,'Données projet'!$E$10+1,1))-AVERAGE(OFFSET($H$3,0,0,'Données projet'!$E$10+1,1))</f>
        <v>374.38106339726073</v>
      </c>
      <c r="AO123" s="59">
        <f t="shared" si="90"/>
        <v>296.53283288925957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55.346295903841927</v>
      </c>
      <c r="AV123" s="21">
        <f>EXP(-LN(2)/25)*AV122+(1-EXP(-LN(2)/25))/(LN(2)/25)*Calculateur!AQ123*Calculateur!AS123*VLOOKUP('Données projet'!$B$10,Paramètres!$A$1:$I$89,3,0)*0.475*44/12</f>
        <v>16.829788171448818</v>
      </c>
      <c r="AW123" s="21">
        <f>EXP(-LN(2)/2)*AW122+(1-EXP(-LN(2)/2))/(LN(2)/2)*AQ123*AT123*VLOOKUP('Données projet'!$B$10,Paramètres!$A$1:$I$89,3,0)*0.475*44/12</f>
        <v>0.21928265673119424</v>
      </c>
      <c r="AX123" s="21">
        <f t="shared" si="60"/>
        <v>72.395366732021941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8.9160000000000021</v>
      </c>
      <c r="BD123" s="12">
        <f>IF('Données projet'!$A$88&gt;35,BD122+BC123-BL122,IF(A123&lt;'Données projet'!$A$88,$BA$205^A123,IF(A123='Données projet'!$A$88,'Données projet'!$B$88,BD122+BC123-BL122)))</f>
        <v>416.19600000000071</v>
      </c>
      <c r="BE123" s="13">
        <f>BD123*VLOOKUP('Données projet'!$B$11,Paramètres!$A$1:$I$89,3,0)*VLOOKUP('Données projet'!$B$11,Paramètres!$A$1:$I$89,5,0)</f>
        <v>376.57414080000063</v>
      </c>
      <c r="BF123" s="13">
        <f t="shared" si="91"/>
        <v>87.010880052402811</v>
      </c>
      <c r="BG123" s="20">
        <f t="shared" si="61"/>
        <v>807.41057798460258</v>
      </c>
      <c r="BH123" s="59">
        <f t="shared" si="62"/>
        <v>1089.5187387280791</v>
      </c>
      <c r="BI123" s="59">
        <f ca="1">AVERAGE(OFFSET($BH$3,0,0,'Données projet'!$E$11+1,1))-AVERAGE(OFFSET($H$3,0,0,'Données projet'!$E$11+1,1))</f>
        <v>681.47578137804555</v>
      </c>
      <c r="BJ123" s="59">
        <f t="shared" si="92"/>
        <v>300.88511065995885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32.37635783192426</v>
      </c>
      <c r="BQ123" s="21">
        <f>EXP(-LN(2)/25)*BQ122+(1-EXP(-LN(2)/25))/(LN(2)/25)*Calculateur!BL123*Calculateur!BN123*VLOOKUP('Données projet'!$B$11,Paramètres!$A$1:$I$89,3,0)*0.475*44/12</f>
        <v>21.829836213436341</v>
      </c>
      <c r="BR123" s="21">
        <f>EXP(-LN(2)/2)*BR122+(1-EXP(-LN(2)/2))/(LN(2)/2)*BL123*BO123*VLOOKUP('Données projet'!$B$11,Paramètres!$A$1:$I$89,3,0)*0.475*44/12</f>
        <v>0.68288965550500957</v>
      </c>
      <c r="BS123" s="22">
        <f t="shared" si="63"/>
        <v>54.889083700865612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8.5265128291212022E-14</v>
      </c>
      <c r="BZ123" s="13">
        <f>BY123*VLOOKUP('Données projet'!$B$12,Paramètres!$A$1:$I$89,3,0)*VLOOKUP('Données projet'!$B$12,Paramètres!$A$1:$I$89,5,0)</f>
        <v>8.9119112089974823E-14</v>
      </c>
      <c r="CA123" s="13">
        <f t="shared" si="93"/>
        <v>1.3568952080113142E-12</v>
      </c>
      <c r="CB123" s="20">
        <f t="shared" si="64"/>
        <v>2.5184749408430782E-12</v>
      </c>
      <c r="CC123" s="59">
        <f t="shared" si="65"/>
        <v>282.10816074347912</v>
      </c>
      <c r="CD123" s="59">
        <f ca="1">AVERAGE(OFFSET($CC$3,0,0,'Données projet'!$E$12+1,1))-AVERAGE(OFFSET($H$3,0,0,'Données projet'!$E$12+1,1))</f>
        <v>290.69667785754848</v>
      </c>
      <c r="CE123" s="59">
        <f t="shared" si="94"/>
        <v>256.28124185489082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11.978027438280861</v>
      </c>
      <c r="CL123" s="21">
        <f>EXP(-LN(2)/25)*CL122+(1-EXP(-LN(2)/25))/(LN(2)/25)*Calculateur!CG123*Calculateur!CI123*VLOOKUP('Données projet'!$B$12,Paramètres!$A$1:$I$89,3,0)*0.475*44/12</f>
        <v>26.102293321398406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38.080320759679267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408.246209980743</v>
      </c>
      <c r="CZ123" s="59">
        <f t="shared" si="96"/>
        <v>394.10236303013903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25.848615777103987</v>
      </c>
      <c r="DG123" s="21">
        <f>EXP(-LN(2)/25)*DG122+(1-EXP(-LN(2)/25))/(LN(2)/25)*Calculateur!DB123*Calculateur!DD123*VLOOKUP('Données projet'!$B$13,Paramètres!$A$1:$I$89,3,0)*0.475*44/12</f>
        <v>18.590377639077019</v>
      </c>
      <c r="DH123" s="21">
        <f>EXP(-LN(2)/2)*DH122+(1-EXP(-LN(2)/2))/(LN(2)/2)*DB123*DE123*VLOOKUP('Données projet'!$B$13,Paramètres!$A$1:$I$89,3,0)*0.475*44/12</f>
        <v>6.5365847184545154E-5</v>
      </c>
      <c r="DI123" s="22">
        <f t="shared" si="69"/>
        <v>44.439058782028191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5.6843418860808015E-13</v>
      </c>
      <c r="DP123" s="17">
        <f>DO123*VLOOKUP('Données projet'!$B$14,Paramètres!$A$1:$I$89,3,0)*VLOOKUP('Données projet'!$B$14,Paramètres!$A$1:$I$89,5,0)</f>
        <v>3.177547114319168E-13</v>
      </c>
      <c r="DQ123" s="13">
        <f t="shared" si="97"/>
        <v>4.1725404435445377E-12</v>
      </c>
      <c r="DR123" s="20">
        <f t="shared" si="70"/>
        <v>7.820597394917325E-12</v>
      </c>
      <c r="DS123" s="59">
        <f t="shared" si="71"/>
        <v>282.10816074348446</v>
      </c>
      <c r="DT123" s="59">
        <f ca="1">AVERAGE(OFFSET($DS$3,0,0,'Données projet'!$E$14+1,1))-AVERAGE(OFFSET($H$3,0,0,'Données projet'!$E$14+1,1))</f>
        <v>407.05634973057056</v>
      </c>
      <c r="DU123" s="59">
        <f t="shared" si="98"/>
        <v>375.32891954889965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85.722819196223298</v>
      </c>
      <c r="EB123" s="21">
        <f>EXP(-LN(2)/25)*EB122+(1-EXP(-LN(2)/25))/(LN(2)/25)*Calculateur!DW123*Calculateur!DY123*VLOOKUP('Données projet'!$B$14,Paramètres!$A$1:$I$89,3,0)*0.475*44/12</f>
        <v>19.189336307350686</v>
      </c>
      <c r="EC123" s="21">
        <f>EXP(-LN(2)/2)*EC122+(1-EXP(-LN(2)/2))/(LN(2)/2)*DW123*DZ123*VLOOKUP('Données projet'!$B$14,Paramètres!$A$1:$I$89,3,0)*0.475*44/12</f>
        <v>2.2502399779206487E-6</v>
      </c>
      <c r="ED123" s="22">
        <f t="shared" si="72"/>
        <v>104.91215775381396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1.1368683772161603E-13</v>
      </c>
      <c r="EK123" s="17">
        <f>EJ123*VLOOKUP('Données projet'!$B$15,Paramètres!$A$1:$I$89,3,0)*VLOOKUP('Données projet'!$B$15,Paramètres!$A$1:$I$89,5,0)</f>
        <v>5.0249582272954292E-14</v>
      </c>
      <c r="EL123" s="13">
        <f t="shared" si="99"/>
        <v>8.1784820119191593E-13</v>
      </c>
      <c r="EM123" s="20">
        <f t="shared" si="73"/>
        <v>1.5119369728679821E-12</v>
      </c>
      <c r="EN123" s="59">
        <f t="shared" si="74"/>
        <v>282.10816074347815</v>
      </c>
      <c r="EO123" s="59">
        <f ca="1">AVERAGE(OFFSET($EN$3,0,0,'Données projet'!$E$15+1,1))-AVERAGE(OFFSET($H$3,0,0,'Données projet'!$E$15+1,1))</f>
        <v>418.28022549686278</v>
      </c>
      <c r="EP123" s="59">
        <f t="shared" si="100"/>
        <v>354.55070454517158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93.57648416479914</v>
      </c>
      <c r="EW123" s="21">
        <f>EXP(-LN(2)/25)*EW122+(1-EXP(-LN(2)/25))/(LN(2)/25)*Calculateur!ER123*Calculateur!ET123*VLOOKUP('Données projet'!$B$15,Paramètres!$A$1:$I$89,3,0)*0.475*44/12</f>
        <v>23.716809632228728</v>
      </c>
      <c r="EX123" s="21">
        <f>EXP(-LN(2)/2)*EX122+(1-EXP(-LN(2)/2))/(LN(2)/2)*ER123*EU123*VLOOKUP('Données projet'!$B$15,Paramètres!$A$1:$I$89,3,0)*0.475*44/12</f>
        <v>7.4962512176824056E-5</v>
      </c>
      <c r="EY123" s="22">
        <f t="shared" si="75"/>
        <v>117.29336875954004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7.0011111111111104</v>
      </c>
      <c r="FE123" s="12">
        <f>IF('Données projet'!$A$218&gt;35,FE122+FD123-FM122,IF(A123&lt;'Données projet'!$A$218,$FB$205^A123,IF(A123='Données projet'!$A$218,'Données projet'!$B$218,FE122+FD123-FM122)))</f>
        <v>301.26777777777778</v>
      </c>
      <c r="FF123" s="17">
        <f>FE123*VLOOKUP('Données projet'!$B$16,Paramètres!$A$1:$I$89,3,0)*VLOOKUP('Données projet'!$B$16,Paramètres!$A$1:$I$89,5,0)</f>
        <v>343.08374533333335</v>
      </c>
      <c r="FG123" s="13">
        <f t="shared" si="101"/>
        <v>80.136732547820415</v>
      </c>
      <c r="FH123" s="20">
        <f t="shared" si="76"/>
        <v>737.10899897634272</v>
      </c>
      <c r="FI123" s="59">
        <f t="shared" si="77"/>
        <v>1019.2171597198194</v>
      </c>
      <c r="FJ123" s="59">
        <f ca="1">AVERAGE(OFFSET($FI$3,0,0,'Données projet'!$E$16+1,1))-AVERAGE(OFFSET($H$3,0,0,'Données projet'!$E$16+1,1))</f>
        <v>640.05156427113661</v>
      </c>
      <c r="FK123" s="59">
        <f t="shared" si="102"/>
        <v>308.77220155372902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20.806460635614393</v>
      </c>
      <c r="FR123" s="21">
        <f>EXP(-LN(2)/25)*FR122+(1-EXP(-LN(2)/25))/(LN(2)/25)*Calculateur!FM123*Calculateur!FO123*VLOOKUP('Données projet'!$B$16,Paramètres!$A$1:$I$89,3,0)*0.475*44/12</f>
        <v>25.106787302670941</v>
      </c>
      <c r="FS123" s="21">
        <f>EXP(-LN(2)/2)*FS122+(1-EXP(-LN(2)/2))/(LN(2)/2)*FM123*FP123*VLOOKUP('Données projet'!$B$16,Paramètres!$A$1:$I$89,3,0)*0.475*44/12</f>
        <v>0.41281775305769497</v>
      </c>
      <c r="FT123" s="22">
        <f t="shared" si="78"/>
        <v>46.326065691343032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282.30289239218638</v>
      </c>
      <c r="S124" s="59">
        <f ca="1">AVERAGE(OFFSET($R$3,0,0,'Données projet'!$E$9+1,1))-AVERAGE(OFFSET($H$3,0,0,'Données projet'!$E$9+1,1))</f>
        <v>318.50474972254085</v>
      </c>
      <c r="T124" s="59">
        <f t="shared" si="88"/>
        <v>326.45858332753562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41.490949219211458</v>
      </c>
      <c r="AA124" s="21">
        <f>EXP(-LN(2)/25)*AA123+(1-EXP(-LN(2)/25))/(LN(2)/25)*Calculateur!V124*Calculateur!X124*VLOOKUP('Données projet'!$B$9,Paramètres!$A$1:$I$89,3,0)*0.475*44/12</f>
        <v>8.9267955261112615</v>
      </c>
      <c r="AB124" s="21">
        <f>EXP(-LN(2)/2)*AB123+(1-EXP(-LN(2)/2))/(LN(2)/2)*V124*Y124*VLOOKUP('Données projet'!$B$9,Paramètres!$A$1:$I$89,3,0)*0.475*44/12</f>
        <v>3.9487278862039278E-8</v>
      </c>
      <c r="AC124" s="22">
        <f t="shared" si="57"/>
        <v>50.417744784809997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>
        <f>VLOOKUP(A124,'Données projet'!$A$61:$I$81,2,0)</f>
        <v>477.92</v>
      </c>
      <c r="AG124" s="12">
        <f>VLOOKUP(A124,'Données projet'!$A$61:$I$81,9,0)</f>
        <v>8.2299999999999986</v>
      </c>
      <c r="AH124" s="12">
        <f t="array" ref="AH124">INDEX(AG:AG,MIN(IF(ISNUMBER(AG124:AG320),ROW(AG124:AG320),"")))</f>
        <v>8.2299999999999986</v>
      </c>
      <c r="AI124" s="13">
        <f>IF('Données projet'!$A$62&gt;35,AI123+AH124-AQ123,IF(A124&lt;'Données projet'!$A$62,$AF$205^A124,IF(A124='Données projet'!$A$62,'Données projet'!$B$62,AI123+AH124-AQ123)))</f>
        <v>477.92000000000019</v>
      </c>
      <c r="AJ124" s="13">
        <f>AI124*VLOOKUP('Données projet'!$B$10,Paramètres!$A$1:$I$89,3,0)*VLOOKUP('Données projet'!$B$10,Paramètres!$A$1:$I$89,5,0)</f>
        <v>223.66656000000006</v>
      </c>
      <c r="AK124" s="13">
        <f t="shared" si="89"/>
        <v>54.911026194090759</v>
      </c>
      <c r="AL124" s="20">
        <f t="shared" si="58"/>
        <v>485.18929595470814</v>
      </c>
      <c r="AM124" s="59">
        <f t="shared" si="59"/>
        <v>767.49218834689259</v>
      </c>
      <c r="AN124" s="59">
        <f ca="1">AVERAGE(OFFSET($AM$3,0,0,'Données projet'!$E$10+1,1))-AVERAGE(OFFSET($H$3,0,0,'Données projet'!$E$10+1,1))</f>
        <v>374.38106339726073</v>
      </c>
      <c r="AO124" s="59">
        <f t="shared" si="90"/>
        <v>296.53283288925957</v>
      </c>
      <c r="AP124" s="15">
        <f>IF(ISNA(VLOOKUP(A124,'Données projet'!$A$61:$I$81,3,0)),0,VLOOKUP(A124,'Données projet'!$A$61:$I$81,3,0))</f>
        <v>7</v>
      </c>
      <c r="AQ124" s="15">
        <f>IF(ISNA(VLOOKUP(A124,'Données projet'!$A$61:$I$81,4,0)),0,VLOOKUP(A124,'Données projet'!$A$61:$I$81,4,0))</f>
        <v>236.89000000000001</v>
      </c>
      <c r="AR124" s="16">
        <f>IF(ISNA(VLOOKUP(A124,'Données projet'!$A$61:$I$81,5,0)),0%,VLOOKUP(A124,'Données projet'!$A$61:$I$81,5,0)*VLOOKUP('Données projet'!$B$10,Paramètres!$A$1:$I$89,7,0))</f>
        <v>0.33</v>
      </c>
      <c r="AS124" s="16">
        <f>IF(ISNA(VLOOKUP(A124,'Données projet'!$A$61:$I$81,6,0)),0%,VLOOKUP(A124,'Données projet'!$A$61:$I$81,6,0)*VLOOKUP('Données projet'!$B$10,Paramètres!$A$1:$I$89,7,0))</f>
        <v>0.11000000000000001</v>
      </c>
      <c r="AT124" s="16">
        <f>IF(ISNA(VLOOKUP(A124,'Données projet'!$A$61:$I$81,7,0)),0%,VLOOKUP(A124,'Données projet'!$A$61:$I$81,7,0))</f>
        <v>0.2</v>
      </c>
      <c r="AU124" s="21">
        <f>EXP(-LN(2)/35)*AU123+(1-EXP(-LN(2)/35))/(LN(2)/35)*AQ124*AR124*VLOOKUP('Données projet'!$B$10,Paramètres!$A$1:$I$89,3,0)*0.475*44/12</f>
        <v>102.79373622752556</v>
      </c>
      <c r="AV124" s="21">
        <f>EXP(-LN(2)/25)*AV123+(1-EXP(-LN(2)/25))/(LN(2)/25)*Calculateur!AQ124*Calculateur!AS124*VLOOKUP('Données projet'!$B$10,Paramètres!$A$1:$I$89,3,0)*0.475*44/12</f>
        <v>32.483461898659932</v>
      </c>
      <c r="AW124" s="21">
        <f>EXP(-LN(2)/2)*AW123+(1-EXP(-LN(2)/2))/(LN(2)/2)*AQ124*AT124*VLOOKUP('Données projet'!$B$10,Paramètres!$A$1:$I$89,3,0)*0.475*44/12</f>
        <v>25.259934292324992</v>
      </c>
      <c r="AX124" s="21">
        <f t="shared" si="60"/>
        <v>160.53713241851048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8.9160000000000021</v>
      </c>
      <c r="BD124" s="12">
        <f>IF('Données projet'!$A$88&gt;35,BD123+BC124-BL123,IF(A124&lt;'Données projet'!$A$88,$BA$205^A124,IF(A124='Données projet'!$A$88,'Données projet'!$B$88,BD123+BC124-BL123)))</f>
        <v>425.11200000000071</v>
      </c>
      <c r="BE124" s="13">
        <f>BD124*VLOOKUP('Données projet'!$B$11,Paramètres!$A$1:$I$89,3,0)*VLOOKUP('Données projet'!$B$11,Paramètres!$A$1:$I$89,5,0)</f>
        <v>384.64133760000061</v>
      </c>
      <c r="BF124" s="13">
        <f t="shared" si="91"/>
        <v>88.65587241476193</v>
      </c>
      <c r="BG124" s="20">
        <f t="shared" si="61"/>
        <v>824.32597410904464</v>
      </c>
      <c r="BH124" s="59">
        <f t="shared" si="62"/>
        <v>1106.6288665012289</v>
      </c>
      <c r="BI124" s="59">
        <f ca="1">AVERAGE(OFFSET($BH$3,0,0,'Données projet'!$E$11+1,1))-AVERAGE(OFFSET($H$3,0,0,'Données projet'!$E$11+1,1))</f>
        <v>681.47578137804555</v>
      </c>
      <c r="BJ124" s="59">
        <f t="shared" si="92"/>
        <v>300.88511065995885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31.741477202468587</v>
      </c>
      <c r="BQ124" s="21">
        <f>EXP(-LN(2)/25)*BQ123+(1-EXP(-LN(2)/25))/(LN(2)/25)*Calculateur!BL124*Calculateur!BN124*VLOOKUP('Données projet'!$B$11,Paramètres!$A$1:$I$89,3,0)*0.475*44/12</f>
        <v>21.232898194198729</v>
      </c>
      <c r="BR124" s="21">
        <f>EXP(-LN(2)/2)*BR123+(1-EXP(-LN(2)/2))/(LN(2)/2)*BL124*BO124*VLOOKUP('Données projet'!$B$11,Paramètres!$A$1:$I$89,3,0)*0.475*44/12</f>
        <v>0.48287590620973764</v>
      </c>
      <c r="BS124" s="22">
        <f t="shared" si="63"/>
        <v>53.457251302877047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8.5265128291212022E-14</v>
      </c>
      <c r="BZ124" s="13">
        <f>BY124*VLOOKUP('Données projet'!$B$12,Paramètres!$A$1:$I$89,3,0)*VLOOKUP('Données projet'!$B$12,Paramètres!$A$1:$I$89,5,0)</f>
        <v>8.9119112089974823E-14</v>
      </c>
      <c r="CA124" s="13">
        <f t="shared" si="93"/>
        <v>1.3568952080113142E-12</v>
      </c>
      <c r="CB124" s="20">
        <f t="shared" si="64"/>
        <v>2.5184749408430782E-12</v>
      </c>
      <c r="CC124" s="59">
        <f t="shared" si="65"/>
        <v>282.30289239218689</v>
      </c>
      <c r="CD124" s="59">
        <f ca="1">AVERAGE(OFFSET($CC$3,0,0,'Données projet'!$E$12+1,1))-AVERAGE(OFFSET($H$3,0,0,'Données projet'!$E$12+1,1))</f>
        <v>290.69667785754848</v>
      </c>
      <c r="CE124" s="59">
        <f t="shared" si="94"/>
        <v>256.28124185489082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11.743145626091517</v>
      </c>
      <c r="CL124" s="21">
        <f>EXP(-LN(2)/25)*CL123+(1-EXP(-LN(2)/25))/(LN(2)/25)*Calculateur!CG124*Calculateur!CI124*VLOOKUP('Données projet'!$B$12,Paramètres!$A$1:$I$89,3,0)*0.475*44/12</f>
        <v>25.38852473786482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37.131670363956339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408.246209980743</v>
      </c>
      <c r="CZ124" s="59">
        <f t="shared" si="96"/>
        <v>394.10236303013903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25.34174018781383</v>
      </c>
      <c r="DG124" s="21">
        <f>EXP(-LN(2)/25)*DG123+(1-EXP(-LN(2)/25))/(LN(2)/25)*Calculateur!DB124*Calculateur!DD124*VLOOKUP('Données projet'!$B$13,Paramètres!$A$1:$I$89,3,0)*0.475*44/12</f>
        <v>18.082022784910986</v>
      </c>
      <c r="DH124" s="21">
        <f>EXP(-LN(2)/2)*DH123+(1-EXP(-LN(2)/2))/(LN(2)/2)*DB124*DE124*VLOOKUP('Données projet'!$B$13,Paramètres!$A$1:$I$89,3,0)*0.475*44/12</f>
        <v>4.6220633802195475E-5</v>
      </c>
      <c r="DI124" s="22">
        <f t="shared" si="69"/>
        <v>43.423809193358622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5.6843418860808015E-13</v>
      </c>
      <c r="DP124" s="17">
        <f>DO124*VLOOKUP('Données projet'!$B$14,Paramètres!$A$1:$I$89,3,0)*VLOOKUP('Données projet'!$B$14,Paramètres!$A$1:$I$89,5,0)</f>
        <v>3.177547114319168E-13</v>
      </c>
      <c r="DQ124" s="13">
        <f t="shared" si="97"/>
        <v>4.1725404435445377E-12</v>
      </c>
      <c r="DR124" s="20">
        <f t="shared" si="70"/>
        <v>7.820597394917325E-12</v>
      </c>
      <c r="DS124" s="59">
        <f t="shared" si="71"/>
        <v>282.30289239219223</v>
      </c>
      <c r="DT124" s="59">
        <f ca="1">AVERAGE(OFFSET($DS$3,0,0,'Données projet'!$E$14+1,1))-AVERAGE(OFFSET($H$3,0,0,'Données projet'!$E$14+1,1))</f>
        <v>407.05634973057056</v>
      </c>
      <c r="DU124" s="59">
        <f t="shared" si="98"/>
        <v>375.32891954889965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84.041846997542279</v>
      </c>
      <c r="EB124" s="21">
        <f>EXP(-LN(2)/25)*EB123+(1-EXP(-LN(2)/25))/(LN(2)/25)*Calculateur!DW124*Calculateur!DY124*VLOOKUP('Données projet'!$B$14,Paramètres!$A$1:$I$89,3,0)*0.475*44/12</f>
        <v>18.664602896902842</v>
      </c>
      <c r="EC124" s="21">
        <f>EXP(-LN(2)/2)*EC123+(1-EXP(-LN(2)/2))/(LN(2)/2)*DW124*DZ124*VLOOKUP('Données projet'!$B$14,Paramètres!$A$1:$I$89,3,0)*0.475*44/12</f>
        <v>1.5911599476847577E-6</v>
      </c>
      <c r="ED124" s="22">
        <f t="shared" si="72"/>
        <v>102.70645148560506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1.1368683772161603E-13</v>
      </c>
      <c r="EK124" s="17">
        <f>EJ124*VLOOKUP('Données projet'!$B$15,Paramètres!$A$1:$I$89,3,0)*VLOOKUP('Données projet'!$B$15,Paramètres!$A$1:$I$89,5,0)</f>
        <v>5.0249582272954292E-14</v>
      </c>
      <c r="EL124" s="13">
        <f t="shared" si="99"/>
        <v>8.1784820119191593E-13</v>
      </c>
      <c r="EM124" s="20">
        <f t="shared" si="73"/>
        <v>1.5119369728679821E-12</v>
      </c>
      <c r="EN124" s="59">
        <f t="shared" si="74"/>
        <v>282.30289239218592</v>
      </c>
      <c r="EO124" s="59">
        <f ca="1">AVERAGE(OFFSET($EN$3,0,0,'Données projet'!$E$15+1,1))-AVERAGE(OFFSET($H$3,0,0,'Données projet'!$E$15+1,1))</f>
        <v>418.28022549686278</v>
      </c>
      <c r="EP124" s="59">
        <f t="shared" si="100"/>
        <v>354.55070454517158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91.741506386346984</v>
      </c>
      <c r="EW124" s="21">
        <f>EXP(-LN(2)/25)*EW123+(1-EXP(-LN(2)/25))/(LN(2)/25)*Calculateur!ER124*Calculateur!ET124*VLOOKUP('Données projet'!$B$15,Paramètres!$A$1:$I$89,3,0)*0.475*44/12</f>
        <v>23.068272225622621</v>
      </c>
      <c r="EX124" s="21">
        <f>EXP(-LN(2)/2)*EX123+(1-EXP(-LN(2)/2))/(LN(2)/2)*ER124*EU124*VLOOKUP('Données projet'!$B$15,Paramètres!$A$1:$I$89,3,0)*0.475*44/12</f>
        <v>5.3006500695011433E-5</v>
      </c>
      <c r="EY124" s="22">
        <f t="shared" si="75"/>
        <v>114.8098316184703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7.0011111111111104</v>
      </c>
      <c r="FE124" s="12">
        <f>IF('Données projet'!$A$218&gt;35,FE123+FD124-FM123,IF(A124&lt;'Données projet'!$A$218,$FB$205^A124,IF(A124='Données projet'!$A$218,'Données projet'!$B$218,FE123+FD124-FM123)))</f>
        <v>308.26888888888891</v>
      </c>
      <c r="FF124" s="17">
        <f>FE124*VLOOKUP('Données projet'!$B$16,Paramètres!$A$1:$I$89,3,0)*VLOOKUP('Données projet'!$B$16,Paramètres!$A$1:$I$89,5,0)</f>
        <v>351.0566106666667</v>
      </c>
      <c r="FG124" s="13">
        <f t="shared" si="101"/>
        <v>81.780040164262672</v>
      </c>
      <c r="FH124" s="20">
        <f t="shared" si="76"/>
        <v>753.85716686386866</v>
      </c>
      <c r="FI124" s="59">
        <f t="shared" si="77"/>
        <v>1036.160059256053</v>
      </c>
      <c r="FJ124" s="59">
        <f ca="1">AVERAGE(OFFSET($FI$3,0,0,'Données projet'!$E$16+1,1))-AVERAGE(OFFSET($H$3,0,0,'Données projet'!$E$16+1,1))</f>
        <v>640.05156427113661</v>
      </c>
      <c r="FK124" s="59">
        <f t="shared" si="102"/>
        <v>308.77220155372902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20.39845863323788</v>
      </c>
      <c r="FR124" s="21">
        <f>EXP(-LN(2)/25)*FR123+(1-EXP(-LN(2)/25))/(LN(2)/25)*Calculateur!FM124*Calculateur!FO124*VLOOKUP('Données projet'!$B$16,Paramètres!$A$1:$I$89,3,0)*0.475*44/12</f>
        <v>24.420240883570841</v>
      </c>
      <c r="FS124" s="21">
        <f>EXP(-LN(2)/2)*FS123+(1-EXP(-LN(2)/2))/(LN(2)/2)*FM124*FP124*VLOOKUP('Données projet'!$B$16,Paramètres!$A$1:$I$89,3,0)*0.475*44/12</f>
        <v>0.29190623258128973</v>
      </c>
      <c r="FT124" s="22">
        <f t="shared" si="78"/>
        <v>45.110605749390011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282.49424588214379</v>
      </c>
      <c r="S125" s="59">
        <f ca="1">AVERAGE(OFFSET($R$3,0,0,'Données projet'!$E$9+1,1))-AVERAGE(OFFSET($H$3,0,0,'Données projet'!$E$9+1,1))</f>
        <v>318.50474972254085</v>
      </c>
      <c r="T125" s="59">
        <f t="shared" si="88"/>
        <v>326.45858332753562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40.677337012002887</v>
      </c>
      <c r="AA125" s="21">
        <f>EXP(-LN(2)/25)*AA124+(1-EXP(-LN(2)/25))/(LN(2)/25)*Calculateur!V125*Calculateur!X125*VLOOKUP('Données projet'!$B$9,Paramètres!$A$1:$I$89,3,0)*0.475*44/12</f>
        <v>8.682691833009974</v>
      </c>
      <c r="AB125" s="21">
        <f>EXP(-LN(2)/2)*AB124+(1-EXP(-LN(2)/2))/(LN(2)/2)*V125*Y125*VLOOKUP('Données projet'!$B$9,Paramètres!$A$1:$I$89,3,0)*0.475*44/12</f>
        <v>2.7921722653952191E-8</v>
      </c>
      <c r="AC125" s="22">
        <f t="shared" si="57"/>
        <v>49.360028872934585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5.7330000000000014</v>
      </c>
      <c r="AI125" s="13">
        <f>IF('Données projet'!$A$62&gt;35,AI124+AH125-AQ124,IF(A125&lt;'Données projet'!$A$62,$AF$205^A125,IF(A125='Données projet'!$A$62,'Données projet'!$B$62,AI124+AH125-AQ124)))</f>
        <v>246.76300000000018</v>
      </c>
      <c r="AJ125" s="13">
        <f>AI125*VLOOKUP('Données projet'!$B$10,Paramètres!$A$1:$I$89,3,0)*VLOOKUP('Données projet'!$B$10,Paramètres!$A$1:$I$89,5,0)</f>
        <v>115.48508400000009</v>
      </c>
      <c r="AK125" s="13">
        <f t="shared" si="89"/>
        <v>30.619630481516761</v>
      </c>
      <c r="AL125" s="20">
        <f t="shared" si="58"/>
        <v>254.46571105530847</v>
      </c>
      <c r="AM125" s="59">
        <f t="shared" si="59"/>
        <v>536.95995693745022</v>
      </c>
      <c r="AN125" s="59">
        <f ca="1">AVERAGE(OFFSET($AM$3,0,0,'Données projet'!$E$10+1,1))-AVERAGE(OFFSET($H$3,0,0,'Données projet'!$E$10+1,1))</f>
        <v>374.38106339726073</v>
      </c>
      <c r="AO125" s="59">
        <f t="shared" si="90"/>
        <v>296.53283288925957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100.77801375809197</v>
      </c>
      <c r="AV125" s="21">
        <f>EXP(-LN(2)/25)*AV124+(1-EXP(-LN(2)/25))/(LN(2)/25)*Calculateur!AQ125*Calculateur!AS125*VLOOKUP('Données projet'!$B$10,Paramètres!$A$1:$I$89,3,0)*0.475*44/12</f>
        <v>31.595199924810057</v>
      </c>
      <c r="AW125" s="21">
        <f>EXP(-LN(2)/2)*AW124+(1-EXP(-LN(2)/2))/(LN(2)/2)*AQ125*AT125*VLOOKUP('Données projet'!$B$10,Paramètres!$A$1:$I$89,3,0)*0.475*44/12</f>
        <v>17.861470830429617</v>
      </c>
      <c r="AX125" s="21">
        <f t="shared" si="60"/>
        <v>150.23468451333164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8.9160000000000021</v>
      </c>
      <c r="BD125" s="12">
        <f>IF('Données projet'!$A$88&gt;35,BD124+BC125-BL124,IF(A125&lt;'Données projet'!$A$88,$BA$205^A125,IF(A125='Données projet'!$A$88,'Données projet'!$B$88,BD124+BC125-BL124)))</f>
        <v>434.0280000000007</v>
      </c>
      <c r="BE125" s="13">
        <f>BD125*VLOOKUP('Données projet'!$B$11,Paramètres!$A$1:$I$89,3,0)*VLOOKUP('Données projet'!$B$11,Paramètres!$A$1:$I$89,5,0)</f>
        <v>392.70853440000059</v>
      </c>
      <c r="BF125" s="13">
        <f t="shared" si="91"/>
        <v>90.296853458070288</v>
      </c>
      <c r="BG125" s="20">
        <f t="shared" si="61"/>
        <v>841.23438385280679</v>
      </c>
      <c r="BH125" s="59">
        <f t="shared" si="62"/>
        <v>1123.7286297349485</v>
      </c>
      <c r="BI125" s="59">
        <f ca="1">AVERAGE(OFFSET($BH$3,0,0,'Données projet'!$E$11+1,1))-AVERAGE(OFFSET($H$3,0,0,'Données projet'!$E$11+1,1))</f>
        <v>681.47578137804555</v>
      </c>
      <c r="BJ125" s="59">
        <f t="shared" si="92"/>
        <v>300.88511065995885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31.11904619491759</v>
      </c>
      <c r="BQ125" s="21">
        <f>EXP(-LN(2)/25)*BQ124+(1-EXP(-LN(2)/25))/(LN(2)/25)*Calculateur!BL125*Calculateur!BN125*VLOOKUP('Données projet'!$B$11,Paramètres!$A$1:$I$89,3,0)*0.475*44/12</f>
        <v>20.652283476488776</v>
      </c>
      <c r="BR125" s="21">
        <f>EXP(-LN(2)/2)*BR124+(1-EXP(-LN(2)/2))/(LN(2)/2)*BL125*BO125*VLOOKUP('Données projet'!$B$11,Paramètres!$A$1:$I$89,3,0)*0.475*44/12</f>
        <v>0.34144482775250484</v>
      </c>
      <c r="BS125" s="22">
        <f t="shared" si="63"/>
        <v>52.112774499158867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8.5265128291212022E-14</v>
      </c>
      <c r="BZ125" s="13">
        <f>BY125*VLOOKUP('Données projet'!$B$12,Paramètres!$A$1:$I$89,3,0)*VLOOKUP('Données projet'!$B$12,Paramètres!$A$1:$I$89,5,0)</f>
        <v>8.9119112089974823E-14</v>
      </c>
      <c r="CA125" s="13">
        <f t="shared" si="93"/>
        <v>1.3568952080113142E-12</v>
      </c>
      <c r="CB125" s="20">
        <f t="shared" si="64"/>
        <v>2.5184749408430782E-12</v>
      </c>
      <c r="CC125" s="59">
        <f t="shared" si="65"/>
        <v>282.4942458821443</v>
      </c>
      <c r="CD125" s="59">
        <f ca="1">AVERAGE(OFFSET($CC$3,0,0,'Données projet'!$E$12+1,1))-AVERAGE(OFFSET($H$3,0,0,'Données projet'!$E$12+1,1))</f>
        <v>290.69667785754848</v>
      </c>
      <c r="CE125" s="59">
        <f t="shared" si="94"/>
        <v>256.28124185489082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11.512869702975445</v>
      </c>
      <c r="CL125" s="21">
        <f>EXP(-LN(2)/25)*CL124+(1-EXP(-LN(2)/25))/(LN(2)/25)*Calculateur!CG125*Calculateur!CI125*VLOOKUP('Données projet'!$B$12,Paramètres!$A$1:$I$89,3,0)*0.475*44/12</f>
        <v>24.694274193783418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36.207143896758865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408.246209980743</v>
      </c>
      <c r="CZ125" s="59">
        <f t="shared" si="96"/>
        <v>394.10236303013903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24.844804119666069</v>
      </c>
      <c r="DG125" s="21">
        <f>EXP(-LN(2)/25)*DG124+(1-EXP(-LN(2)/25))/(LN(2)/25)*Calculateur!DB125*Calculateur!DD125*VLOOKUP('Données projet'!$B$13,Paramètres!$A$1:$I$89,3,0)*0.475*44/12</f>
        <v>17.587568920965346</v>
      </c>
      <c r="DH125" s="21">
        <f>EXP(-LN(2)/2)*DH124+(1-EXP(-LN(2)/2))/(LN(2)/2)*DB125*DE125*VLOOKUP('Données projet'!$B$13,Paramètres!$A$1:$I$89,3,0)*0.475*44/12</f>
        <v>3.2682923592272577E-5</v>
      </c>
      <c r="DI125" s="22">
        <f t="shared" si="69"/>
        <v>42.432405723555007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5.6843418860808015E-13</v>
      </c>
      <c r="DP125" s="17">
        <f>DO125*VLOOKUP('Données projet'!$B$14,Paramètres!$A$1:$I$89,3,0)*VLOOKUP('Données projet'!$B$14,Paramètres!$A$1:$I$89,5,0)</f>
        <v>3.177547114319168E-13</v>
      </c>
      <c r="DQ125" s="13">
        <f t="shared" si="97"/>
        <v>4.1725404435445377E-12</v>
      </c>
      <c r="DR125" s="20">
        <f t="shared" si="70"/>
        <v>7.820597394917325E-12</v>
      </c>
      <c r="DS125" s="59">
        <f t="shared" si="71"/>
        <v>282.49424588214964</v>
      </c>
      <c r="DT125" s="59">
        <f ca="1">AVERAGE(OFFSET($DS$3,0,0,'Données projet'!$E$14+1,1))-AVERAGE(OFFSET($H$3,0,0,'Données projet'!$E$14+1,1))</f>
        <v>407.05634973057056</v>
      </c>
      <c r="DU125" s="59">
        <f t="shared" si="98"/>
        <v>375.32891954889965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82.393837638385591</v>
      </c>
      <c r="EB125" s="21">
        <f>EXP(-LN(2)/25)*EB124+(1-EXP(-LN(2)/25))/(LN(2)/25)*Calculateur!DW125*Calculateur!DY125*VLOOKUP('Données projet'!$B$14,Paramètres!$A$1:$I$89,3,0)*0.475*44/12</f>
        <v>18.154218349158228</v>
      </c>
      <c r="EC125" s="21">
        <f>EXP(-LN(2)/2)*EC124+(1-EXP(-LN(2)/2))/(LN(2)/2)*DW125*DZ125*VLOOKUP('Données projet'!$B$14,Paramètres!$A$1:$I$89,3,0)*0.475*44/12</f>
        <v>1.1251199889603244E-6</v>
      </c>
      <c r="ED125" s="22">
        <f t="shared" si="72"/>
        <v>100.54805711266381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1.1368683772161603E-13</v>
      </c>
      <c r="EK125" s="17">
        <f>EJ125*VLOOKUP('Données projet'!$B$15,Paramètres!$A$1:$I$89,3,0)*VLOOKUP('Données projet'!$B$15,Paramètres!$A$1:$I$89,5,0)</f>
        <v>5.0249582272954292E-14</v>
      </c>
      <c r="EL125" s="13">
        <f t="shared" si="99"/>
        <v>8.1784820119191593E-13</v>
      </c>
      <c r="EM125" s="20">
        <f t="shared" si="73"/>
        <v>1.5119369728679821E-12</v>
      </c>
      <c r="EN125" s="59">
        <f t="shared" si="74"/>
        <v>282.49424588214333</v>
      </c>
      <c r="EO125" s="59">
        <f ca="1">AVERAGE(OFFSET($EN$3,0,0,'Données projet'!$E$15+1,1))-AVERAGE(OFFSET($H$3,0,0,'Données projet'!$E$15+1,1))</f>
        <v>418.28022549686278</v>
      </c>
      <c r="EP125" s="59">
        <f t="shared" si="100"/>
        <v>354.55070454517158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89.942511402904344</v>
      </c>
      <c r="EW125" s="21">
        <f>EXP(-LN(2)/25)*EW124+(1-EXP(-LN(2)/25))/(LN(2)/25)*Calculateur!ER125*Calculateur!ET125*VLOOKUP('Données projet'!$B$15,Paramètres!$A$1:$I$89,3,0)*0.475*44/12</f>
        <v>22.437469108505258</v>
      </c>
      <c r="EX125" s="21">
        <f>EXP(-LN(2)/2)*EX124+(1-EXP(-LN(2)/2))/(LN(2)/2)*ER125*EU125*VLOOKUP('Données projet'!$B$15,Paramètres!$A$1:$I$89,3,0)*0.475*44/12</f>
        <v>3.7481256088412028E-5</v>
      </c>
      <c r="EY125" s="22">
        <f t="shared" si="75"/>
        <v>112.38001799266569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>
        <f>VLOOKUP(A125,'Données projet'!$A$217:$I$237,2,0)</f>
        <v>315.27</v>
      </c>
      <c r="FC125" s="12">
        <f>VLOOKUP(A125,'Données projet'!$A$217:$I$237,9,0)</f>
        <v>7.0011111111111104</v>
      </c>
      <c r="FD125" s="12">
        <f t="array" ref="FD125">INDEX(FC:FC,MIN(IF(ISNUMBER(FC125:FC321),ROW(FC125:FC321),"")))</f>
        <v>7.0011111111111104</v>
      </c>
      <c r="FE125" s="12">
        <f>IF('Données projet'!$A$218&gt;35,FE124+FD125-FM124,IF(A125&lt;'Données projet'!$A$218,$FB$205^A125,IF(A125='Données projet'!$A$218,'Données projet'!$B$218,FE124+FD125-FM124)))</f>
        <v>315.27000000000004</v>
      </c>
      <c r="FF125" s="17">
        <f>FE125*VLOOKUP('Données projet'!$B$16,Paramètres!$A$1:$I$89,3,0)*VLOOKUP('Données projet'!$B$16,Paramètres!$A$1:$I$89,5,0)</f>
        <v>359.02947600000005</v>
      </c>
      <c r="FG125" s="13">
        <f t="shared" si="101"/>
        <v>83.419008930402995</v>
      </c>
      <c r="FH125" s="20">
        <f t="shared" si="76"/>
        <v>770.5977779204519</v>
      </c>
      <c r="FI125" s="59">
        <f t="shared" si="77"/>
        <v>1053.0920238025938</v>
      </c>
      <c r="FJ125" s="59">
        <f ca="1">AVERAGE(OFFSET($FI$3,0,0,'Données projet'!$E$16+1,1))-AVERAGE(OFFSET($H$3,0,0,'Données projet'!$E$16+1,1))</f>
        <v>640.05156427113661</v>
      </c>
      <c r="FK125" s="59">
        <f t="shared" si="102"/>
        <v>308.77220155372902</v>
      </c>
      <c r="FL125" s="15">
        <f>IF(ISNA(VLOOKUP(A125,'Données projet'!$A$217:$I$237,3,0)),0,VLOOKUP(A125,'Données projet'!$A$217:$I$237,3,0))</f>
        <v>8</v>
      </c>
      <c r="FM125" s="15">
        <f>IF(ISNA(VLOOKUP(A125,'Données projet'!$A$217:$I$237,4,0)),0,VLOOKUP(A125,'Données projet'!$A$217:$I$237,4,0))</f>
        <v>45.829999999999984</v>
      </c>
      <c r="FN125" s="16">
        <f>IF(ISNA(VLOOKUP(A125,'Données projet'!$A$217:$I$237,5,0)),0%,VLOOKUP(A125,'Données projet'!$A$217:$I$237,5,0)*VLOOKUP('Données projet'!$B$16,Paramètres!$A$1:$I$89,7,0))</f>
        <v>0.15049999999999999</v>
      </c>
      <c r="FO125" s="16">
        <f>IF(ISNA(VLOOKUP(A125,'Données projet'!$A$217:$I$237,6,0)),0%,VLOOKUP(A125,'Données projet'!$A$217:$I$237,6,0)*VLOOKUP('Données projet'!$B$16,Paramètres!$A$1:$I$89,7,0))</f>
        <v>8.6000000000000007E-2</v>
      </c>
      <c r="FP125" s="16">
        <f>IF(ISNA(VLOOKUP(A125,'Données projet'!$A$217:$I$237,7,0)),0%,VLOOKUP(A125,'Données projet'!$A$217:$I$237,7,0))</f>
        <v>0.1</v>
      </c>
      <c r="FQ125" s="21">
        <f>EXP(-LN(2)/35)*FQ124+(1-EXP(-LN(2)/35))/(LN(2)/35)*FM125*FN125*VLOOKUP('Données projet'!$B$16,Paramètres!$A$1:$I$89,3,0)*0.475*44/12</f>
        <v>28.681679730442646</v>
      </c>
      <c r="FR125" s="21">
        <f>EXP(-LN(2)/25)*FR124+(1-EXP(-LN(2)/25))/(LN(2)/25)*Calculateur!FM125*Calculateur!FO125*VLOOKUP('Données projet'!$B$16,Paramètres!$A$1:$I$89,3,0)*0.475*44/12</f>
        <v>28.694772840348108</v>
      </c>
      <c r="FS125" s="21">
        <f>EXP(-LN(2)/2)*FS124+(1-EXP(-LN(2)/2))/(LN(2)/2)*FM125*FP125*VLOOKUP('Données projet'!$B$16,Paramètres!$A$1:$I$89,3,0)*0.475*44/12</f>
        <v>5.1307894444948854</v>
      </c>
      <c r="FT125" s="22">
        <f t="shared" si="78"/>
        <v>62.507242015285641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282.68227981685266</v>
      </c>
      <c r="S126" s="59">
        <f ca="1">AVERAGE(OFFSET($R$3,0,0,'Données projet'!$E$9+1,1))-AVERAGE(OFFSET($H$3,0,0,'Données projet'!$E$9+1,1))</f>
        <v>318.50474972254085</v>
      </c>
      <c r="T126" s="59">
        <f t="shared" si="88"/>
        <v>326.45858332753562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39.879679243923235</v>
      </c>
      <c r="AA126" s="21">
        <f>EXP(-LN(2)/25)*AA125+(1-EXP(-LN(2)/25))/(LN(2)/25)*Calculateur!V126*Calculateur!X126*VLOOKUP('Données projet'!$B$9,Paramètres!$A$1:$I$89,3,0)*0.475*44/12</f>
        <v>8.4452631682333976</v>
      </c>
      <c r="AB126" s="21">
        <f>EXP(-LN(2)/2)*AB125+(1-EXP(-LN(2)/2))/(LN(2)/2)*V126*Y126*VLOOKUP('Données projet'!$B$9,Paramètres!$A$1:$I$89,3,0)*0.475*44/12</f>
        <v>1.9743639431019639E-8</v>
      </c>
      <c r="AC126" s="22">
        <f t="shared" si="57"/>
        <v>48.324942431900269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5.7330000000000014</v>
      </c>
      <c r="AI126" s="13">
        <f>IF('Données projet'!$A$62&gt;35,AI125+AH126-AQ125,IF(A126&lt;'Données projet'!$A$62,$AF$205^A126,IF(A126='Données projet'!$A$62,'Données projet'!$B$62,AI125+AH126-AQ125)))</f>
        <v>252.49600000000018</v>
      </c>
      <c r="AJ126" s="13">
        <f>AI126*VLOOKUP('Données projet'!$B$10,Paramètres!$A$1:$I$89,3,0)*VLOOKUP('Données projet'!$B$10,Paramètres!$A$1:$I$89,5,0)</f>
        <v>118.16812800000008</v>
      </c>
      <c r="AK126" s="13">
        <f t="shared" si="89"/>
        <v>31.247363461606096</v>
      </c>
      <c r="AL126" s="20">
        <f t="shared" si="58"/>
        <v>260.23198096229737</v>
      </c>
      <c r="AM126" s="59">
        <f t="shared" si="59"/>
        <v>542.91426077914798</v>
      </c>
      <c r="AN126" s="59">
        <f ca="1">AVERAGE(OFFSET($AM$3,0,0,'Données projet'!$E$10+1,1))-AVERAGE(OFFSET($H$3,0,0,'Données projet'!$E$10+1,1))</f>
        <v>374.38106339726073</v>
      </c>
      <c r="AO126" s="59">
        <f t="shared" si="90"/>
        <v>296.53283288925957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98.801818376814666</v>
      </c>
      <c r="AV126" s="21">
        <f>EXP(-LN(2)/25)*AV125+(1-EXP(-LN(2)/25))/(LN(2)/25)*Calculateur!AQ126*Calculateur!AS126*VLOOKUP('Données projet'!$B$10,Paramètres!$A$1:$I$89,3,0)*0.475*44/12</f>
        <v>30.731227521346774</v>
      </c>
      <c r="AW126" s="21">
        <f>EXP(-LN(2)/2)*AW125+(1-EXP(-LN(2)/2))/(LN(2)/2)*AQ126*AT126*VLOOKUP('Données projet'!$B$10,Paramètres!$A$1:$I$89,3,0)*0.475*44/12</f>
        <v>12.629967146162498</v>
      </c>
      <c r="AX126" s="21">
        <f t="shared" si="60"/>
        <v>142.16301304432395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8.9160000000000021</v>
      </c>
      <c r="BD126" s="12">
        <f>IF('Données projet'!$A$88&gt;35,BD125+BC126-BL125,IF(A126&lt;'Données projet'!$A$88,$BA$205^A126,IF(A126='Données projet'!$A$88,'Données projet'!$B$88,BD125+BC126-BL125)))</f>
        <v>442.9440000000007</v>
      </c>
      <c r="BE126" s="13">
        <f>BD126*VLOOKUP('Données projet'!$B$11,Paramètres!$A$1:$I$89,3,0)*VLOOKUP('Données projet'!$B$11,Paramètres!$A$1:$I$89,5,0)</f>
        <v>400.77573120000062</v>
      </c>
      <c r="BF126" s="13">
        <f t="shared" si="91"/>
        <v>91.933915079444887</v>
      </c>
      <c r="BG126" s="20">
        <f t="shared" si="61"/>
        <v>858.13596727003414</v>
      </c>
      <c r="BH126" s="59">
        <f t="shared" si="62"/>
        <v>1140.8182470868849</v>
      </c>
      <c r="BI126" s="59">
        <f ca="1">AVERAGE(OFFSET($BH$3,0,0,'Données projet'!$E$11+1,1))-AVERAGE(OFFSET($H$3,0,0,'Données projet'!$E$11+1,1))</f>
        <v>681.47578137804555</v>
      </c>
      <c r="BJ126" s="59">
        <f t="shared" si="92"/>
        <v>300.88511065995885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30.508820679779241</v>
      </c>
      <c r="BQ126" s="21">
        <f>EXP(-LN(2)/25)*BQ125+(1-EXP(-LN(2)/25))/(LN(2)/25)*Calculateur!BL126*Calculateur!BN126*VLOOKUP('Données projet'!$B$11,Paramètres!$A$1:$I$89,3,0)*0.475*44/12</f>
        <v>20.087545698767805</v>
      </c>
      <c r="BR126" s="21">
        <f>EXP(-LN(2)/2)*BR125+(1-EXP(-LN(2)/2))/(LN(2)/2)*BL126*BO126*VLOOKUP('Données projet'!$B$11,Paramètres!$A$1:$I$89,3,0)*0.475*44/12</f>
        <v>0.24143795310486887</v>
      </c>
      <c r="BS126" s="22">
        <f t="shared" si="63"/>
        <v>50.837804331651917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8.5265128291212022E-14</v>
      </c>
      <c r="BZ126" s="13">
        <f>BY126*VLOOKUP('Données projet'!$B$12,Paramètres!$A$1:$I$89,3,0)*VLOOKUP('Données projet'!$B$12,Paramètres!$A$1:$I$89,5,0)</f>
        <v>8.9119112089974823E-14</v>
      </c>
      <c r="CA126" s="13">
        <f t="shared" si="93"/>
        <v>1.3568952080113142E-12</v>
      </c>
      <c r="CB126" s="20">
        <f t="shared" si="64"/>
        <v>2.5184749408430782E-12</v>
      </c>
      <c r="CC126" s="59">
        <f t="shared" si="65"/>
        <v>282.68227981685317</v>
      </c>
      <c r="CD126" s="59">
        <f ca="1">AVERAGE(OFFSET($CC$3,0,0,'Données projet'!$E$12+1,1))-AVERAGE(OFFSET($H$3,0,0,'Données projet'!$E$12+1,1))</f>
        <v>290.69667785754848</v>
      </c>
      <c r="CE126" s="59">
        <f t="shared" si="94"/>
        <v>256.28124185489082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11.287109350257236</v>
      </c>
      <c r="CL126" s="21">
        <f>EXP(-LN(2)/25)*CL125+(1-EXP(-LN(2)/25))/(LN(2)/25)*Calculateur!CG126*Calculateur!CI126*VLOOKUP('Données projet'!$B$12,Paramètres!$A$1:$I$89,3,0)*0.475*44/12</f>
        <v>24.019007967338968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35.306117317596204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408.246209980743</v>
      </c>
      <c r="CZ126" s="59">
        <f t="shared" si="96"/>
        <v>394.10236303013903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24.357612664713614</v>
      </c>
      <c r="DG126" s="21">
        <f>EXP(-LN(2)/25)*DG125+(1-EXP(-LN(2)/25))/(LN(2)/25)*Calculateur!DB126*Calculateur!DD126*VLOOKUP('Données projet'!$B$13,Paramètres!$A$1:$I$89,3,0)*0.475*44/12</f>
        <v>17.106635923931496</v>
      </c>
      <c r="DH126" s="21">
        <f>EXP(-LN(2)/2)*DH125+(1-EXP(-LN(2)/2))/(LN(2)/2)*DB126*DE126*VLOOKUP('Données projet'!$B$13,Paramètres!$A$1:$I$89,3,0)*0.475*44/12</f>
        <v>2.3110316901097737E-5</v>
      </c>
      <c r="DI126" s="22">
        <f t="shared" si="69"/>
        <v>41.464271698962008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5.6843418860808015E-13</v>
      </c>
      <c r="DP126" s="17">
        <f>DO126*VLOOKUP('Données projet'!$B$14,Paramètres!$A$1:$I$89,3,0)*VLOOKUP('Données projet'!$B$14,Paramètres!$A$1:$I$89,5,0)</f>
        <v>3.177547114319168E-13</v>
      </c>
      <c r="DQ126" s="13">
        <f t="shared" si="97"/>
        <v>4.1725404435445377E-12</v>
      </c>
      <c r="DR126" s="20">
        <f t="shared" si="70"/>
        <v>7.820597394917325E-12</v>
      </c>
      <c r="DS126" s="59">
        <f t="shared" si="71"/>
        <v>282.68227981685851</v>
      </c>
      <c r="DT126" s="59">
        <f ca="1">AVERAGE(OFFSET($DS$3,0,0,'Données projet'!$E$14+1,1))-AVERAGE(OFFSET($H$3,0,0,'Données projet'!$E$14+1,1))</f>
        <v>407.05634973057056</v>
      </c>
      <c r="DU126" s="59">
        <f t="shared" si="98"/>
        <v>375.32891954889965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80.778144737575516</v>
      </c>
      <c r="EB126" s="21">
        <f>EXP(-LN(2)/25)*EB125+(1-EXP(-LN(2)/25))/(LN(2)/25)*Calculateur!DW126*Calculateur!DY126*VLOOKUP('Données projet'!$B$14,Paramètres!$A$1:$I$89,3,0)*0.475*44/12</f>
        <v>17.657790293711646</v>
      </c>
      <c r="EC126" s="21">
        <f>EXP(-LN(2)/2)*EC125+(1-EXP(-LN(2)/2))/(LN(2)/2)*DW126*DZ126*VLOOKUP('Données projet'!$B$14,Paramètres!$A$1:$I$89,3,0)*0.475*44/12</f>
        <v>7.9557997384237886E-7</v>
      </c>
      <c r="ED126" s="22">
        <f t="shared" si="72"/>
        <v>98.435935826867137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1.1368683772161603E-13</v>
      </c>
      <c r="EK126" s="17">
        <f>EJ126*VLOOKUP('Données projet'!$B$15,Paramètres!$A$1:$I$89,3,0)*VLOOKUP('Données projet'!$B$15,Paramètres!$A$1:$I$89,5,0)</f>
        <v>5.0249582272954292E-14</v>
      </c>
      <c r="EL126" s="13">
        <f t="shared" si="99"/>
        <v>8.1784820119191593E-13</v>
      </c>
      <c r="EM126" s="20">
        <f t="shared" si="73"/>
        <v>1.5119369728679821E-12</v>
      </c>
      <c r="EN126" s="59">
        <f t="shared" si="74"/>
        <v>282.6822798168522</v>
      </c>
      <c r="EO126" s="59">
        <f ca="1">AVERAGE(OFFSET($EN$3,0,0,'Données projet'!$E$15+1,1))-AVERAGE(OFFSET($H$3,0,0,'Données projet'!$E$15+1,1))</f>
        <v>418.28022549686278</v>
      </c>
      <c r="EP126" s="59">
        <f t="shared" si="100"/>
        <v>354.55070454517158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88.178793613808423</v>
      </c>
      <c r="EW126" s="21">
        <f>EXP(-LN(2)/25)*EW125+(1-EXP(-LN(2)/25))/(LN(2)/25)*Calculateur!ER126*Calculateur!ET126*VLOOKUP('Données projet'!$B$15,Paramètres!$A$1:$I$89,3,0)*0.475*44/12</f>
        <v>21.823915335797963</v>
      </c>
      <c r="EX126" s="21">
        <f>EXP(-LN(2)/2)*EX125+(1-EXP(-LN(2)/2))/(LN(2)/2)*ER126*EU126*VLOOKUP('Données projet'!$B$15,Paramètres!$A$1:$I$89,3,0)*0.475*44/12</f>
        <v>2.6503250347505716E-5</v>
      </c>
      <c r="EY126" s="22">
        <f t="shared" si="75"/>
        <v>110.00273545285674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7.1129999999999995</v>
      </c>
      <c r="FE126" s="12">
        <f>IF('Données projet'!$A$218&gt;35,FE125+FD126-FM125,IF(A126&lt;'Données projet'!$A$218,$FB$205^A126,IF(A126='Données projet'!$A$218,'Données projet'!$B$218,FE125+FD126-FM125)))</f>
        <v>276.55300000000005</v>
      </c>
      <c r="FF126" s="17">
        <f>FE126*VLOOKUP('Données projet'!$B$16,Paramètres!$A$1:$I$89,3,0)*VLOOKUP('Données projet'!$B$16,Paramètres!$A$1:$I$89,5,0)</f>
        <v>314.93855640000004</v>
      </c>
      <c r="FG126" s="13">
        <f t="shared" si="101"/>
        <v>74.299246672874546</v>
      </c>
      <c r="FH126" s="20">
        <f t="shared" si="76"/>
        <v>677.92250701858995</v>
      </c>
      <c r="FI126" s="59">
        <f t="shared" si="77"/>
        <v>960.60478683544056</v>
      </c>
      <c r="FJ126" s="59">
        <f ca="1">AVERAGE(OFFSET($FI$3,0,0,'Données projet'!$E$16+1,1))-AVERAGE(OFFSET($H$3,0,0,'Données projet'!$E$16+1,1))</f>
        <v>640.05156427113661</v>
      </c>
      <c r="FK126" s="59">
        <f t="shared" si="102"/>
        <v>308.77220155372902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28.119249485025904</v>
      </c>
      <c r="FR126" s="21">
        <f>EXP(-LN(2)/25)*FR125+(1-EXP(-LN(2)/25))/(LN(2)/25)*Calculateur!FM126*Calculateur!FO126*VLOOKUP('Données projet'!$B$16,Paramètres!$A$1:$I$89,3,0)*0.475*44/12</f>
        <v>27.910112768036267</v>
      </c>
      <c r="FS126" s="21">
        <f>EXP(-LN(2)/2)*FS125+(1-EXP(-LN(2)/2))/(LN(2)/2)*FM126*FP126*VLOOKUP('Données projet'!$B$16,Paramètres!$A$1:$I$89,3,0)*0.475*44/12</f>
        <v>3.6280160090426929</v>
      </c>
      <c r="FT126" s="22">
        <f t="shared" si="78"/>
        <v>59.657378262104871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282.86705178317533</v>
      </c>
      <c r="S127" s="59">
        <f ca="1">AVERAGE(OFFSET($R$3,0,0,'Données projet'!$E$9+1,1))-AVERAGE(OFFSET($H$3,0,0,'Données projet'!$E$9+1,1))</f>
        <v>318.50474972254085</v>
      </c>
      <c r="T127" s="59">
        <f t="shared" si="88"/>
        <v>326.45858332753562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39.09766305815242</v>
      </c>
      <c r="AA127" s="21">
        <f>EXP(-LN(2)/25)*AA126+(1-EXP(-LN(2)/25))/(LN(2)/25)*Calculateur!V127*Calculateur!X127*VLOOKUP('Données projet'!$B$9,Paramètres!$A$1:$I$89,3,0)*0.475*44/12</f>
        <v>8.2143270027809674</v>
      </c>
      <c r="AB127" s="21">
        <f>EXP(-LN(2)/2)*AB126+(1-EXP(-LN(2)/2))/(LN(2)/2)*V127*Y127*VLOOKUP('Données projet'!$B$9,Paramètres!$A$1:$I$89,3,0)*0.475*44/12</f>
        <v>1.3960861326976096E-8</v>
      </c>
      <c r="AC127" s="22">
        <f t="shared" si="57"/>
        <v>47.311990074894254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5.7330000000000014</v>
      </c>
      <c r="AI127" s="13">
        <f>IF('Données projet'!$A$62&gt;35,AI126+AH127-AQ126,IF(A127&lt;'Données projet'!$A$62,$AF$205^A127,IF(A127='Données projet'!$A$62,'Données projet'!$B$62,AI126+AH127-AQ126)))</f>
        <v>258.22900000000016</v>
      </c>
      <c r="AJ127" s="13">
        <f>AI127*VLOOKUP('Données projet'!$B$10,Paramètres!$A$1:$I$89,3,0)*VLOOKUP('Données projet'!$B$10,Paramètres!$A$1:$I$89,5,0)</f>
        <v>120.85117200000008</v>
      </c>
      <c r="AK127" s="13">
        <f t="shared" si="89"/>
        <v>31.873439447313004</v>
      </c>
      <c r="AL127" s="20">
        <f t="shared" si="58"/>
        <v>265.99536493740356</v>
      </c>
      <c r="AM127" s="59">
        <f t="shared" si="59"/>
        <v>548.8624167205769</v>
      </c>
      <c r="AN127" s="59">
        <f ca="1">AVERAGE(OFFSET($AM$3,0,0,'Données projet'!$E$10+1,1))-AVERAGE(OFFSET($H$3,0,0,'Données projet'!$E$10+1,1))</f>
        <v>374.38106339726073</v>
      </c>
      <c r="AO127" s="59">
        <f t="shared" si="90"/>
        <v>296.53283288925957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96.864374981604044</v>
      </c>
      <c r="AV127" s="21">
        <f>EXP(-LN(2)/25)*AV126+(1-EXP(-LN(2)/25))/(LN(2)/25)*Calculateur!AQ127*Calculateur!AS127*VLOOKUP('Données projet'!$B$10,Paramètres!$A$1:$I$89,3,0)*0.475*44/12</f>
        <v>29.890880488690527</v>
      </c>
      <c r="AW127" s="21">
        <f>EXP(-LN(2)/2)*AW126+(1-EXP(-LN(2)/2))/(LN(2)/2)*AQ127*AT127*VLOOKUP('Données projet'!$B$10,Paramètres!$A$1:$I$89,3,0)*0.475*44/12</f>
        <v>8.9307354152148104</v>
      </c>
      <c r="AX127" s="21">
        <f t="shared" si="60"/>
        <v>135.68599088550937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8.9160000000000021</v>
      </c>
      <c r="BC127" s="12">
        <f t="array" ref="BC127">INDEX(BB:BB,MIN(IF(ISNUMBER(BB127:BB323),ROW(BB127:BB323),"")))</f>
        <v>8.9160000000000021</v>
      </c>
      <c r="BD127" s="12">
        <f>IF('Données projet'!$A$88&gt;35,BD126+BC127-BL126,IF(A127&lt;'Données projet'!$A$88,$BA$205^A127,IF(A127='Données projet'!$A$88,'Données projet'!$B$88,BD126+BC127-BL126)))</f>
        <v>451.8600000000007</v>
      </c>
      <c r="BE127" s="13">
        <f>BD127*VLOOKUP('Données projet'!$B$11,Paramètres!$A$1:$I$89,3,0)*VLOOKUP('Données projet'!$B$11,Paramètres!$A$1:$I$89,5,0)</f>
        <v>408.84292800000065</v>
      </c>
      <c r="BF127" s="13">
        <f t="shared" si="91"/>
        <v>93.567145264891295</v>
      </c>
      <c r="BG127" s="20">
        <f t="shared" si="61"/>
        <v>875.03087760302014</v>
      </c>
      <c r="BH127" s="59">
        <f t="shared" si="62"/>
        <v>1157.8979293861935</v>
      </c>
      <c r="BI127" s="59">
        <f ca="1">AVERAGE(OFFSET($BH$3,0,0,'Données projet'!$E$11+1,1))-AVERAGE(OFFSET($H$3,0,0,'Données projet'!$E$11+1,1))</f>
        <v>681.47578137804555</v>
      </c>
      <c r="BJ127" s="59">
        <f t="shared" si="92"/>
        <v>300.88511065995885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57.81</v>
      </c>
      <c r="BM127" s="16">
        <f>IF(ISNA(VLOOKUP(A127,'Données projet'!$A$87:$I$107,5,0)),0%,VLOOKUP(A127,'Données projet'!$A$87:$I$107,5,0)*VLOOKUP('Données projet'!$B$11,Paramètres!$A$1:$I$89,7,0))</f>
        <v>0.15049999999999999</v>
      </c>
      <c r="BN127" s="16">
        <f>IF(ISNA(VLOOKUP(A127,'Données projet'!$A$87:$I$107,6,0)),0%,VLOOKUP(A127,'Données projet'!$A$87:$I$107,6,0)*VLOOKUP('Données projet'!$B$11,Paramètres!$A$1:$I$89,7,0))</f>
        <v>8.6000000000000007E-2</v>
      </c>
      <c r="BO127" s="16">
        <f>IF(ISNA(VLOOKUP(A127,'Données projet'!$A$87:$I$107,7,0)),0%,VLOOKUP(A127,'Données projet'!$A$87:$I$107,7,0))</f>
        <v>0.1</v>
      </c>
      <c r="BP127" s="21">
        <f>EXP(-LN(2)/35)*BP126+(1-EXP(-LN(2)/35))/(LN(2)/35)*BL127*BM127*VLOOKUP('Données projet'!$B$11,Paramètres!$A$1:$I$89,3,0)*0.475*44/12</f>
        <v>38.612963922572</v>
      </c>
      <c r="BQ127" s="21">
        <f>EXP(-LN(2)/25)*BQ126+(1-EXP(-LN(2)/25))/(LN(2)/25)*Calculateur!BL127*Calculateur!BN127*VLOOKUP('Données projet'!$B$11,Paramètres!$A$1:$I$89,3,0)*0.475*44/12</f>
        <v>24.491472381184234</v>
      </c>
      <c r="BR127" s="21">
        <f>EXP(-LN(2)/2)*BR126+(1-EXP(-LN(2)/2))/(LN(2)/2)*BL127*BO127*VLOOKUP('Données projet'!$B$11,Paramètres!$A$1:$I$89,3,0)*0.475*44/12</f>
        <v>5.1059803375246293</v>
      </c>
      <c r="BS127" s="22">
        <f t="shared" si="63"/>
        <v>68.210416641280858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8.5265128291212022E-14</v>
      </c>
      <c r="BZ127" s="13">
        <f>BY127*VLOOKUP('Données projet'!$B$12,Paramètres!$A$1:$I$89,3,0)*VLOOKUP('Données projet'!$B$12,Paramètres!$A$1:$I$89,5,0)</f>
        <v>8.9119112089974823E-14</v>
      </c>
      <c r="CA127" s="13">
        <f t="shared" si="93"/>
        <v>1.3568952080113142E-12</v>
      </c>
      <c r="CB127" s="20">
        <f t="shared" si="64"/>
        <v>2.5184749408430782E-12</v>
      </c>
      <c r="CC127" s="59">
        <f t="shared" si="65"/>
        <v>282.86705178317584</v>
      </c>
      <c r="CD127" s="59">
        <f ca="1">AVERAGE(OFFSET($CC$3,0,0,'Données projet'!$E$12+1,1))-AVERAGE(OFFSET($H$3,0,0,'Données projet'!$E$12+1,1))</f>
        <v>290.69667785754848</v>
      </c>
      <c r="CE127" s="59">
        <f t="shared" si="94"/>
        <v>256.28124185489082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11.065776020355612</v>
      </c>
      <c r="CL127" s="21">
        <f>EXP(-LN(2)/25)*CL126+(1-EXP(-LN(2)/25))/(LN(2)/25)*Calculateur!CG127*Calculateur!CI127*VLOOKUP('Données projet'!$B$12,Paramètres!$A$1:$I$89,3,0)*0.475*44/12</f>
        <v>23.36220693136735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34.42798295172296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408.246209980743</v>
      </c>
      <c r="CZ127" s="59">
        <f t="shared" si="96"/>
        <v>394.10236303013903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23.879974737035329</v>
      </c>
      <c r="DG127" s="21">
        <f>EXP(-LN(2)/25)*DG126+(1-EXP(-LN(2)/25))/(LN(2)/25)*Calculateur!DB127*Calculateur!DD127*VLOOKUP('Données projet'!$B$13,Paramètres!$A$1:$I$89,3,0)*0.475*44/12</f>
        <v>16.638854064992703</v>
      </c>
      <c r="DH127" s="21">
        <f>EXP(-LN(2)/2)*DH126+(1-EXP(-LN(2)/2))/(LN(2)/2)*DB127*DE127*VLOOKUP('Données projet'!$B$13,Paramètres!$A$1:$I$89,3,0)*0.475*44/12</f>
        <v>1.6341461796136289E-5</v>
      </c>
      <c r="DI127" s="22">
        <f t="shared" si="69"/>
        <v>40.518845143489827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5.6843418860808015E-13</v>
      </c>
      <c r="DP127" s="17">
        <f>DO127*VLOOKUP('Données projet'!$B$14,Paramètres!$A$1:$I$89,3,0)*VLOOKUP('Données projet'!$B$14,Paramètres!$A$1:$I$89,5,0)</f>
        <v>3.177547114319168E-13</v>
      </c>
      <c r="DQ127" s="13">
        <f t="shared" si="97"/>
        <v>4.1725404435445377E-12</v>
      </c>
      <c r="DR127" s="20">
        <f t="shared" si="70"/>
        <v>7.820597394917325E-12</v>
      </c>
      <c r="DS127" s="59">
        <f t="shared" si="71"/>
        <v>282.86705178318118</v>
      </c>
      <c r="DT127" s="59">
        <f ca="1">AVERAGE(OFFSET($DS$3,0,0,'Données projet'!$E$14+1,1))-AVERAGE(OFFSET($H$3,0,0,'Données projet'!$E$14+1,1))</f>
        <v>407.05634973057056</v>
      </c>
      <c r="DU127" s="59">
        <f t="shared" si="98"/>
        <v>375.32891954889965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79.194134589074963</v>
      </c>
      <c r="EB127" s="21">
        <f>EXP(-LN(2)/25)*EB126+(1-EXP(-LN(2)/25))/(LN(2)/25)*Calculateur!DW127*Calculateur!DY127*VLOOKUP('Données projet'!$B$14,Paramètres!$A$1:$I$89,3,0)*0.475*44/12</f>
        <v>17.174937089547267</v>
      </c>
      <c r="EC127" s="21">
        <f>EXP(-LN(2)/2)*EC126+(1-EXP(-LN(2)/2))/(LN(2)/2)*DW127*DZ127*VLOOKUP('Données projet'!$B$14,Paramètres!$A$1:$I$89,3,0)*0.475*44/12</f>
        <v>5.6255999448016218E-7</v>
      </c>
      <c r="ED127" s="22">
        <f t="shared" si="72"/>
        <v>96.369072241182224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1.1368683772161603E-13</v>
      </c>
      <c r="EK127" s="17">
        <f>EJ127*VLOOKUP('Données projet'!$B$15,Paramètres!$A$1:$I$89,3,0)*VLOOKUP('Données projet'!$B$15,Paramètres!$A$1:$I$89,5,0)</f>
        <v>5.0249582272954292E-14</v>
      </c>
      <c r="EL127" s="13">
        <f t="shared" si="99"/>
        <v>8.1784820119191593E-13</v>
      </c>
      <c r="EM127" s="20">
        <f t="shared" si="73"/>
        <v>1.5119369728679821E-12</v>
      </c>
      <c r="EN127" s="59">
        <f t="shared" si="74"/>
        <v>282.86705178317487</v>
      </c>
      <c r="EO127" s="59">
        <f ca="1">AVERAGE(OFFSET($EN$3,0,0,'Données projet'!$E$15+1,1))-AVERAGE(OFFSET($H$3,0,0,'Données projet'!$E$15+1,1))</f>
        <v>418.28022549686278</v>
      </c>
      <c r="EP127" s="59">
        <f t="shared" si="100"/>
        <v>354.55070454517158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86.449661254795046</v>
      </c>
      <c r="EW127" s="21">
        <f>EXP(-LN(2)/25)*EW126+(1-EXP(-LN(2)/25))/(LN(2)/25)*Calculateur!ER127*Calculateur!ET127*VLOOKUP('Données projet'!$B$15,Paramètres!$A$1:$I$89,3,0)*0.475*44/12</f>
        <v>21.22713922327074</v>
      </c>
      <c r="EX127" s="21">
        <f>EXP(-LN(2)/2)*EX126+(1-EXP(-LN(2)/2))/(LN(2)/2)*ER127*EU127*VLOOKUP('Données projet'!$B$15,Paramètres!$A$1:$I$89,3,0)*0.475*44/12</f>
        <v>1.8740628044206014E-5</v>
      </c>
      <c r="EY127" s="22">
        <f t="shared" si="75"/>
        <v>107.67681921869384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7.1129999999999995</v>
      </c>
      <c r="FE127" s="12">
        <f>IF('Données projet'!$A$218&gt;35,FE126+FD127-FM126,IF(A127&lt;'Données projet'!$A$218,$FB$205^A127,IF(A127='Données projet'!$A$218,'Données projet'!$B$218,FE126+FD127-FM126)))</f>
        <v>283.66600000000005</v>
      </c>
      <c r="FF127" s="17">
        <f>FE127*VLOOKUP('Données projet'!$B$16,Paramètres!$A$1:$I$89,3,0)*VLOOKUP('Données projet'!$B$16,Paramètres!$A$1:$I$89,5,0)</f>
        <v>323.03884080000006</v>
      </c>
      <c r="FG127" s="13">
        <f t="shared" si="101"/>
        <v>75.985295359040222</v>
      </c>
      <c r="FH127" s="20">
        <f t="shared" si="76"/>
        <v>694.96703714366186</v>
      </c>
      <c r="FI127" s="59">
        <f t="shared" si="77"/>
        <v>977.83408892683519</v>
      </c>
      <c r="FJ127" s="59">
        <f ca="1">AVERAGE(OFFSET($FI$3,0,0,'Données projet'!$E$16+1,1))-AVERAGE(OFFSET($H$3,0,0,'Données projet'!$E$16+1,1))</f>
        <v>640.05156427113661</v>
      </c>
      <c r="FK127" s="59">
        <f t="shared" si="102"/>
        <v>308.77220155372902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27.567848153673207</v>
      </c>
      <c r="FR127" s="21">
        <f>EXP(-LN(2)/25)*FR126+(1-EXP(-LN(2)/25))/(LN(2)/25)*Calculateur!FM127*Calculateur!FO127*VLOOKUP('Données projet'!$B$16,Paramètres!$A$1:$I$89,3,0)*0.475*44/12</f>
        <v>27.146909266665276</v>
      </c>
      <c r="FS127" s="21">
        <f>EXP(-LN(2)/2)*FS126+(1-EXP(-LN(2)/2))/(LN(2)/2)*FM127*FP127*VLOOKUP('Données projet'!$B$16,Paramètres!$A$1:$I$89,3,0)*0.475*44/12</f>
        <v>2.5653947222474431</v>
      </c>
      <c r="FT127" s="22">
        <f t="shared" si="78"/>
        <v>57.280152142585926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283.04861836897049</v>
      </c>
      <c r="S128" s="59">
        <f ca="1">AVERAGE(OFFSET($R$3,0,0,'Données projet'!$E$9+1,1))-AVERAGE(OFFSET($H$3,0,0,'Données projet'!$E$9+1,1))</f>
        <v>318.50474972254085</v>
      </c>
      <c r="T128" s="59">
        <f t="shared" si="88"/>
        <v>326.45858332753562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38.330981732801803</v>
      </c>
      <c r="AA128" s="21">
        <f>EXP(-LN(2)/25)*AA127+(1-EXP(-LN(2)/25))/(LN(2)/25)*Calculateur!V128*Calculateur!X128*VLOOKUP('Données projet'!$B$9,Paramètres!$A$1:$I$89,3,0)*0.475*44/12</f>
        <v>7.9897057989172389</v>
      </c>
      <c r="AB128" s="21">
        <f>EXP(-LN(2)/2)*AB127+(1-EXP(-LN(2)/2))/(LN(2)/2)*V128*Y128*VLOOKUP('Données projet'!$B$9,Paramètres!$A$1:$I$89,3,0)*0.475*44/12</f>
        <v>9.8718197155098195E-9</v>
      </c>
      <c r="AC128" s="22">
        <f t="shared" si="57"/>
        <v>46.320687541590864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5.7330000000000014</v>
      </c>
      <c r="AI128" s="13">
        <f>IF('Données projet'!$A$62&gt;35,AI127+AH128-AQ127,IF(A128&lt;'Données projet'!$A$62,$AF$205^A128,IF(A128='Données projet'!$A$62,'Données projet'!$B$62,AI127+AH128-AQ127)))</f>
        <v>263.96200000000016</v>
      </c>
      <c r="AJ128" s="13">
        <f>AI128*VLOOKUP('Données projet'!$B$10,Paramètres!$A$1:$I$89,3,0)*VLOOKUP('Données projet'!$B$10,Paramètres!$A$1:$I$89,5,0)</f>
        <v>123.53421600000007</v>
      </c>
      <c r="AK128" s="13">
        <f t="shared" si="89"/>
        <v>32.497899461772079</v>
      </c>
      <c r="AL128" s="20">
        <f t="shared" si="58"/>
        <v>271.75593442925316</v>
      </c>
      <c r="AM128" s="59">
        <f t="shared" si="59"/>
        <v>554.80455279822172</v>
      </c>
      <c r="AN128" s="59">
        <f ca="1">AVERAGE(OFFSET($AM$3,0,0,'Données projet'!$E$10+1,1))-AVERAGE(OFFSET($H$3,0,0,'Données projet'!$E$10+1,1))</f>
        <v>374.38106339726073</v>
      </c>
      <c r="AO128" s="59">
        <f t="shared" si="90"/>
        <v>296.53283288925957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94.964923669649721</v>
      </c>
      <c r="AV128" s="21">
        <f>EXP(-LN(2)/25)*AV127+(1-EXP(-LN(2)/25))/(LN(2)/25)*Calculateur!AQ128*Calculateur!AS128*VLOOKUP('Données projet'!$B$10,Paramètres!$A$1:$I$89,3,0)*0.475*44/12</f>
        <v>29.073512789834197</v>
      </c>
      <c r="AW128" s="21">
        <f>EXP(-LN(2)/2)*AW127+(1-EXP(-LN(2)/2))/(LN(2)/2)*AQ128*AT128*VLOOKUP('Données projet'!$B$10,Paramètres!$A$1:$I$89,3,0)*0.475*44/12</f>
        <v>6.3149835730812498</v>
      </c>
      <c r="AX128" s="21">
        <f t="shared" si="60"/>
        <v>130.35342003256517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9.0229999999999961</v>
      </c>
      <c r="BD128" s="12">
        <f>IF('Données projet'!$A$88&gt;35,BD127+BC128-BL127,IF(A128&lt;'Données projet'!$A$88,$BA$205^A128,IF(A128='Données projet'!$A$88,'Données projet'!$B$88,BD127+BC128-BL127)))</f>
        <v>403.07300000000072</v>
      </c>
      <c r="BE128" s="13">
        <f>BD128*VLOOKUP('Données projet'!$B$11,Paramètres!$A$1:$I$89,3,0)*VLOOKUP('Données projet'!$B$11,Paramètres!$A$1:$I$89,5,0)</f>
        <v>364.70045040000065</v>
      </c>
      <c r="BF128" s="13">
        <f t="shared" si="91"/>
        <v>84.582200429685614</v>
      </c>
      <c r="BG128" s="20">
        <f t="shared" si="61"/>
        <v>782.50061686170341</v>
      </c>
      <c r="BH128" s="59">
        <f t="shared" si="62"/>
        <v>1065.5492352306719</v>
      </c>
      <c r="BI128" s="59">
        <f ca="1">AVERAGE(OFFSET($BH$3,0,0,'Données projet'!$E$11+1,1))-AVERAGE(OFFSET($H$3,0,0,'Données projet'!$E$11+1,1))</f>
        <v>681.47578137804555</v>
      </c>
      <c r="BJ128" s="59">
        <f t="shared" si="92"/>
        <v>300.88511065995885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37.855787251632833</v>
      </c>
      <c r="BQ128" s="21">
        <f>EXP(-LN(2)/25)*BQ127+(1-EXP(-LN(2)/25))/(LN(2)/25)*Calculateur!BL128*Calculateur!BN128*VLOOKUP('Données projet'!$B$11,Paramètres!$A$1:$I$89,3,0)*0.475*44/12</f>
        <v>23.821751780970196</v>
      </c>
      <c r="BR128" s="21">
        <f>EXP(-LN(2)/2)*BR127+(1-EXP(-LN(2)/2))/(LN(2)/2)*BL128*BO128*VLOOKUP('Données projet'!$B$11,Paramètres!$A$1:$I$89,3,0)*0.475*44/12</f>
        <v>3.6104733212688425</v>
      </c>
      <c r="BS128" s="22">
        <f t="shared" si="63"/>
        <v>65.288012353871878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8.5265128291212022E-14</v>
      </c>
      <c r="BZ128" s="13">
        <f>BY128*VLOOKUP('Données projet'!$B$12,Paramètres!$A$1:$I$89,3,0)*VLOOKUP('Données projet'!$B$12,Paramètres!$A$1:$I$89,5,0)</f>
        <v>8.9119112089974823E-14</v>
      </c>
      <c r="CA128" s="13">
        <f t="shared" si="93"/>
        <v>1.3568952080113142E-12</v>
      </c>
      <c r="CB128" s="20">
        <f t="shared" si="64"/>
        <v>2.5184749408430782E-12</v>
      </c>
      <c r="CC128" s="59">
        <f t="shared" si="65"/>
        <v>283.04861836897101</v>
      </c>
      <c r="CD128" s="59">
        <f ca="1">AVERAGE(OFFSET($CC$3,0,0,'Données projet'!$E$12+1,1))-AVERAGE(OFFSET($H$3,0,0,'Données projet'!$E$12+1,1))</f>
        <v>290.69667785754848</v>
      </c>
      <c r="CE128" s="59">
        <f t="shared" si="94"/>
        <v>256.28124185489082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10.848782902053358</v>
      </c>
      <c r="CL128" s="21">
        <f>EXP(-LN(2)/25)*CL127+(1-EXP(-LN(2)/25))/(LN(2)/25)*Calculateur!CG128*Calculateur!CI128*VLOOKUP('Données projet'!$B$12,Paramètres!$A$1:$I$89,3,0)*0.475*44/12</f>
        <v>22.723366154264042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33.5721490563174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408.246209980743</v>
      </c>
      <c r="CZ128" s="59">
        <f t="shared" si="96"/>
        <v>394.10236303013903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23.411702997788449</v>
      </c>
      <c r="DG128" s="21">
        <f>EXP(-LN(2)/25)*DG127+(1-EXP(-LN(2)/25))/(LN(2)/25)*Calculateur!DB128*Calculateur!DD128*VLOOKUP('Données projet'!$B$13,Paramètres!$A$1:$I$89,3,0)*0.475*44/12</f>
        <v>16.183863725586171</v>
      </c>
      <c r="DH128" s="21">
        <f>EXP(-LN(2)/2)*DH127+(1-EXP(-LN(2)/2))/(LN(2)/2)*DB128*DE128*VLOOKUP('Données projet'!$B$13,Paramètres!$A$1:$I$89,3,0)*0.475*44/12</f>
        <v>1.1555158450548869E-5</v>
      </c>
      <c r="DI128" s="22">
        <f t="shared" si="69"/>
        <v>39.595578278533068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5.6843418860808015E-13</v>
      </c>
      <c r="DP128" s="17">
        <f>DO128*VLOOKUP('Données projet'!$B$14,Paramètres!$A$1:$I$89,3,0)*VLOOKUP('Données projet'!$B$14,Paramètres!$A$1:$I$89,5,0)</f>
        <v>3.177547114319168E-13</v>
      </c>
      <c r="DQ128" s="13">
        <f t="shared" si="97"/>
        <v>4.1725404435445377E-12</v>
      </c>
      <c r="DR128" s="20">
        <f t="shared" si="70"/>
        <v>7.820597394917325E-12</v>
      </c>
      <c r="DS128" s="59">
        <f t="shared" si="71"/>
        <v>283.04861836897635</v>
      </c>
      <c r="DT128" s="59">
        <f ca="1">AVERAGE(OFFSET($DS$3,0,0,'Données projet'!$E$14+1,1))-AVERAGE(OFFSET($H$3,0,0,'Données projet'!$E$14+1,1))</f>
        <v>407.05634973057056</v>
      </c>
      <c r="DU128" s="59">
        <f t="shared" si="98"/>
        <v>375.32891954889965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77.641185913435706</v>
      </c>
      <c r="EB128" s="21">
        <f>EXP(-LN(2)/25)*EB127+(1-EXP(-LN(2)/25))/(LN(2)/25)*Calculateur!DW128*Calculateur!DY128*VLOOKUP('Données projet'!$B$14,Paramètres!$A$1:$I$89,3,0)*0.475*44/12</f>
        <v>16.705287531642909</v>
      </c>
      <c r="EC128" s="21">
        <f>EXP(-LN(2)/2)*EC127+(1-EXP(-LN(2)/2))/(LN(2)/2)*DW128*DZ128*VLOOKUP('Données projet'!$B$14,Paramètres!$A$1:$I$89,3,0)*0.475*44/12</f>
        <v>3.9778998692118943E-7</v>
      </c>
      <c r="ED128" s="22">
        <f t="shared" si="72"/>
        <v>94.346473842868605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1.1368683772161603E-13</v>
      </c>
      <c r="EK128" s="17">
        <f>EJ128*VLOOKUP('Données projet'!$B$15,Paramètres!$A$1:$I$89,3,0)*VLOOKUP('Données projet'!$B$15,Paramètres!$A$1:$I$89,5,0)</f>
        <v>5.0249582272954292E-14</v>
      </c>
      <c r="EL128" s="13">
        <f t="shared" si="99"/>
        <v>8.1784820119191593E-13</v>
      </c>
      <c r="EM128" s="20">
        <f t="shared" si="73"/>
        <v>1.5119369728679821E-12</v>
      </c>
      <c r="EN128" s="59">
        <f t="shared" si="74"/>
        <v>283.04861836897004</v>
      </c>
      <c r="EO128" s="59">
        <f ca="1">AVERAGE(OFFSET($EN$3,0,0,'Données projet'!$E$15+1,1))-AVERAGE(OFFSET($H$3,0,0,'Données projet'!$E$15+1,1))</f>
        <v>418.28022549686278</v>
      </c>
      <c r="EP128" s="59">
        <f t="shared" si="100"/>
        <v>354.55070454517158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84.754436126675316</v>
      </c>
      <c r="EW128" s="21">
        <f>EXP(-LN(2)/25)*EW127+(1-EXP(-LN(2)/25))/(LN(2)/25)*Calculateur!ER128*Calculateur!ET128*VLOOKUP('Données projet'!$B$15,Paramètres!$A$1:$I$89,3,0)*0.475*44/12</f>
        <v>20.646681984923664</v>
      </c>
      <c r="EX128" s="21">
        <f>EXP(-LN(2)/2)*EX127+(1-EXP(-LN(2)/2))/(LN(2)/2)*ER128*EU128*VLOOKUP('Données projet'!$B$15,Paramètres!$A$1:$I$89,3,0)*0.475*44/12</f>
        <v>1.3251625173752858E-5</v>
      </c>
      <c r="EY128" s="22">
        <f t="shared" si="75"/>
        <v>105.40113136322415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7.1129999999999995</v>
      </c>
      <c r="FE128" s="12">
        <f>IF('Données projet'!$A$218&gt;35,FE127+FD128-FM127,IF(A128&lt;'Données projet'!$A$218,$FB$205^A128,IF(A128='Données projet'!$A$218,'Données projet'!$B$218,FE127+FD128-FM127)))</f>
        <v>290.77900000000005</v>
      </c>
      <c r="FF128" s="17">
        <f>FE128*VLOOKUP('Données projet'!$B$16,Paramètres!$A$1:$I$89,3,0)*VLOOKUP('Données projet'!$B$16,Paramètres!$A$1:$I$89,5,0)</f>
        <v>331.13912520000008</v>
      </c>
      <c r="FG128" s="13">
        <f t="shared" si="101"/>
        <v>77.6664295030006</v>
      </c>
      <c r="FH128" s="20">
        <f t="shared" si="76"/>
        <v>712.00300777439281</v>
      </c>
      <c r="FI128" s="59">
        <f t="shared" si="77"/>
        <v>995.05162614336132</v>
      </c>
      <c r="FJ128" s="59">
        <f ca="1">AVERAGE(OFFSET($FI$3,0,0,'Données projet'!$E$16+1,1))-AVERAGE(OFFSET($H$3,0,0,'Données projet'!$E$16+1,1))</f>
        <v>640.05156427113661</v>
      </c>
      <c r="FK128" s="59">
        <f t="shared" si="102"/>
        <v>308.77220155372902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27.027259466106734</v>
      </c>
      <c r="FR128" s="21">
        <f>EXP(-LN(2)/25)*FR127+(1-EXP(-LN(2)/25))/(LN(2)/25)*Calculateur!FM128*Calculateur!FO128*VLOOKUP('Données projet'!$B$16,Paramètres!$A$1:$I$89,3,0)*0.475*44/12</f>
        <v>26.404575605174401</v>
      </c>
      <c r="FS128" s="21">
        <f>EXP(-LN(2)/2)*FS127+(1-EXP(-LN(2)/2))/(LN(2)/2)*FM128*FP128*VLOOKUP('Données projet'!$B$16,Paramètres!$A$1:$I$89,3,0)*0.475*44/12</f>
        <v>1.8140080045213467</v>
      </c>
      <c r="FT128" s="22">
        <f t="shared" si="78"/>
        <v>55.245843075802483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283.2270351804242</v>
      </c>
      <c r="S129" s="59">
        <f ca="1">AVERAGE(OFFSET($R$3,0,0,'Données projet'!$E$9+1,1))-AVERAGE(OFFSET($H$3,0,0,'Données projet'!$E$9+1,1))</f>
        <v>318.50474972254085</v>
      </c>
      <c r="T129" s="59">
        <f t="shared" si="88"/>
        <v>326.45858332753562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37.579334560611876</v>
      </c>
      <c r="AA129" s="21">
        <f>EXP(-LN(2)/25)*AA128+(1-EXP(-LN(2)/25))/(LN(2)/25)*Calculateur!V129*Calculateur!X129*VLOOKUP('Données projet'!$B$9,Paramètres!$A$1:$I$89,3,0)*0.475*44/12</f>
        <v>7.7712268736854799</v>
      </c>
      <c r="AB129" s="21">
        <f>EXP(-LN(2)/2)*AB128+(1-EXP(-LN(2)/2))/(LN(2)/2)*V129*Y129*VLOOKUP('Données projet'!$B$9,Paramètres!$A$1:$I$89,3,0)*0.475*44/12</f>
        <v>6.9804306634880479E-9</v>
      </c>
      <c r="AC129" s="22">
        <f t="shared" si="57"/>
        <v>45.350561441277783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5.7330000000000014</v>
      </c>
      <c r="AI129" s="13">
        <f>IF('Données projet'!$A$62&gt;35,AI128+AH129-AQ128,IF(A129&lt;'Données projet'!$A$62,$AF$205^A129,IF(A129='Données projet'!$A$62,'Données projet'!$B$62,AI128+AH129-AQ128)))</f>
        <v>269.69500000000016</v>
      </c>
      <c r="AJ129" s="13">
        <f>AI129*VLOOKUP('Données projet'!$B$10,Paramètres!$A$1:$I$89,3,0)*VLOOKUP('Données projet'!$B$10,Paramètres!$A$1:$I$89,5,0)</f>
        <v>126.21726000000007</v>
      </c>
      <c r="AK129" s="13">
        <f t="shared" si="89"/>
        <v>33.120782644378309</v>
      </c>
      <c r="AL129" s="20">
        <f t="shared" si="58"/>
        <v>277.5137576056257</v>
      </c>
      <c r="AM129" s="59">
        <f t="shared" si="59"/>
        <v>560.7407927860479</v>
      </c>
      <c r="AN129" s="59">
        <f ca="1">AVERAGE(OFFSET($AM$3,0,0,'Données projet'!$E$10+1,1))-AVERAGE(OFFSET($H$3,0,0,'Données projet'!$E$10+1,1))</f>
        <v>374.38106339726073</v>
      </c>
      <c r="AO129" s="59">
        <f t="shared" si="90"/>
        <v>296.53283288925957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93.102719439371924</v>
      </c>
      <c r="AV129" s="21">
        <f>EXP(-LN(2)/25)*AV128+(1-EXP(-LN(2)/25))/(LN(2)/25)*Calculateur!AQ129*Calculateur!AS129*VLOOKUP('Données projet'!$B$10,Paramètres!$A$1:$I$89,3,0)*0.475*44/12</f>
        <v>28.278496053686592</v>
      </c>
      <c r="AW129" s="21">
        <f>EXP(-LN(2)/2)*AW128+(1-EXP(-LN(2)/2))/(LN(2)/2)*AQ129*AT129*VLOOKUP('Données projet'!$B$10,Paramètres!$A$1:$I$89,3,0)*0.475*44/12</f>
        <v>4.4653677076074061</v>
      </c>
      <c r="AX129" s="21">
        <f t="shared" si="60"/>
        <v>125.84658320066592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9.0229999999999961</v>
      </c>
      <c r="BD129" s="12">
        <f>IF('Données projet'!$A$88&gt;35,BD128+BC129-BL128,IF(A129&lt;'Données projet'!$A$88,$BA$205^A129,IF(A129='Données projet'!$A$88,'Données projet'!$B$88,BD128+BC129-BL128)))</f>
        <v>412.09600000000069</v>
      </c>
      <c r="BE129" s="13">
        <f>BD129*VLOOKUP('Données projet'!$B$11,Paramètres!$A$1:$I$89,3,0)*VLOOKUP('Données projet'!$B$11,Paramètres!$A$1:$I$89,5,0)</f>
        <v>372.86446080000059</v>
      </c>
      <c r="BF129" s="13">
        <f t="shared" si="91"/>
        <v>86.253061792690659</v>
      </c>
      <c r="BG129" s="20">
        <f t="shared" si="61"/>
        <v>799.62968518227046</v>
      </c>
      <c r="BH129" s="59">
        <f t="shared" si="62"/>
        <v>1082.8567203626926</v>
      </c>
      <c r="BI129" s="59">
        <f ca="1">AVERAGE(OFFSET($BH$3,0,0,'Données projet'!$E$11+1,1))-AVERAGE(OFFSET($H$3,0,0,'Données projet'!$E$11+1,1))</f>
        <v>681.47578137804555</v>
      </c>
      <c r="BJ129" s="59">
        <f t="shared" si="92"/>
        <v>300.88511065995885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37.113458353378611</v>
      </c>
      <c r="BQ129" s="21">
        <f>EXP(-LN(2)/25)*BQ128+(1-EXP(-LN(2)/25))/(LN(2)/25)*Calculateur!BL129*Calculateur!BN129*VLOOKUP('Données projet'!$B$11,Paramètres!$A$1:$I$89,3,0)*0.475*44/12</f>
        <v>23.170344725788084</v>
      </c>
      <c r="BR129" s="21">
        <f>EXP(-LN(2)/2)*BR128+(1-EXP(-LN(2)/2))/(LN(2)/2)*BL129*BO129*VLOOKUP('Données projet'!$B$11,Paramètres!$A$1:$I$89,3,0)*0.475*44/12</f>
        <v>2.5529901687623151</v>
      </c>
      <c r="BS129" s="22">
        <f t="shared" si="63"/>
        <v>62.836793247929009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8.5265128291212022E-14</v>
      </c>
      <c r="BZ129" s="13">
        <f>BY129*VLOOKUP('Données projet'!$B$12,Paramètres!$A$1:$I$89,3,0)*VLOOKUP('Données projet'!$B$12,Paramètres!$A$1:$I$89,5,0)</f>
        <v>8.9119112089974823E-14</v>
      </c>
      <c r="CA129" s="13">
        <f t="shared" si="93"/>
        <v>1.3568952080113142E-12</v>
      </c>
      <c r="CB129" s="20">
        <f t="shared" si="64"/>
        <v>2.5184749408430782E-12</v>
      </c>
      <c r="CC129" s="59">
        <f t="shared" si="65"/>
        <v>283.22703518042471</v>
      </c>
      <c r="CD129" s="59">
        <f ca="1">AVERAGE(OFFSET($CC$3,0,0,'Données projet'!$E$12+1,1))-AVERAGE(OFFSET($H$3,0,0,'Données projet'!$E$12+1,1))</f>
        <v>290.69667785754848</v>
      </c>
      <c r="CE129" s="59">
        <f t="shared" si="94"/>
        <v>256.28124185489082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10.636044886448277</v>
      </c>
      <c r="CL129" s="21">
        <f>EXP(-LN(2)/25)*CL128+(1-EXP(-LN(2)/25))/(LN(2)/25)*Calculateur!CG129*Calculateur!CI129*VLOOKUP('Données projet'!$B$12,Paramètres!$A$1:$I$89,3,0)*0.475*44/12</f>
        <v>22.101994511805799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32.738039398254074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408.246209980743</v>
      </c>
      <c r="CZ129" s="59">
        <f t="shared" si="96"/>
        <v>394.10236303013903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22.952613781730641</v>
      </c>
      <c r="DG129" s="21">
        <f>EXP(-LN(2)/25)*DG128+(1-EXP(-LN(2)/25))/(LN(2)/25)*Calculateur!DB129*Calculateur!DD129*VLOOKUP('Données projet'!$B$13,Paramètres!$A$1:$I$89,3,0)*0.475*44/12</f>
        <v>15.741315120937612</v>
      </c>
      <c r="DH129" s="21">
        <f>EXP(-LN(2)/2)*DH128+(1-EXP(-LN(2)/2))/(LN(2)/2)*DB129*DE129*VLOOKUP('Données projet'!$B$13,Paramètres!$A$1:$I$89,3,0)*0.475*44/12</f>
        <v>8.1707308980681443E-6</v>
      </c>
      <c r="DI129" s="22">
        <f t="shared" si="69"/>
        <v>38.693937073399155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5.6843418860808015E-13</v>
      </c>
      <c r="DP129" s="17">
        <f>DO129*VLOOKUP('Données projet'!$B$14,Paramètres!$A$1:$I$89,3,0)*VLOOKUP('Données projet'!$B$14,Paramètres!$A$1:$I$89,5,0)</f>
        <v>3.177547114319168E-13</v>
      </c>
      <c r="DQ129" s="13">
        <f t="shared" si="97"/>
        <v>4.1725404435445377E-12</v>
      </c>
      <c r="DR129" s="20">
        <f t="shared" si="70"/>
        <v>7.820597394917325E-12</v>
      </c>
      <c r="DS129" s="59">
        <f t="shared" si="71"/>
        <v>283.22703518043005</v>
      </c>
      <c r="DT129" s="59">
        <f ca="1">AVERAGE(OFFSET($DS$3,0,0,'Données projet'!$E$14+1,1))-AVERAGE(OFFSET($H$3,0,0,'Données projet'!$E$14+1,1))</f>
        <v>407.05634973057056</v>
      </c>
      <c r="DU129" s="59">
        <f t="shared" si="98"/>
        <v>375.32891954889965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76.118689614120584</v>
      </c>
      <c r="EB129" s="21">
        <f>EXP(-LN(2)/25)*EB128+(1-EXP(-LN(2)/25))/(LN(2)/25)*Calculateur!DW129*Calculateur!DY129*VLOOKUP('Données projet'!$B$14,Paramètres!$A$1:$I$89,3,0)*0.475*44/12</f>
        <v>16.248480565597244</v>
      </c>
      <c r="EC129" s="21">
        <f>EXP(-LN(2)/2)*EC128+(1-EXP(-LN(2)/2))/(LN(2)/2)*DW129*DZ129*VLOOKUP('Données projet'!$B$14,Paramètres!$A$1:$I$89,3,0)*0.475*44/12</f>
        <v>2.8127999724008109E-7</v>
      </c>
      <c r="ED129" s="22">
        <f t="shared" si="72"/>
        <v>92.367170460997826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1.1368683772161603E-13</v>
      </c>
      <c r="EK129" s="17">
        <f>EJ129*VLOOKUP('Données projet'!$B$15,Paramètres!$A$1:$I$89,3,0)*VLOOKUP('Données projet'!$B$15,Paramètres!$A$1:$I$89,5,0)</f>
        <v>5.0249582272954292E-14</v>
      </c>
      <c r="EL129" s="13">
        <f t="shared" si="99"/>
        <v>8.1784820119191593E-13</v>
      </c>
      <c r="EM129" s="20">
        <f t="shared" si="73"/>
        <v>1.5119369728679821E-12</v>
      </c>
      <c r="EN129" s="59">
        <f t="shared" si="74"/>
        <v>283.22703518042374</v>
      </c>
      <c r="EO129" s="59">
        <f ca="1">AVERAGE(OFFSET($EN$3,0,0,'Données projet'!$E$15+1,1))-AVERAGE(OFFSET($H$3,0,0,'Données projet'!$E$15+1,1))</f>
        <v>418.28022549686278</v>
      </c>
      <c r="EP129" s="59">
        <f t="shared" si="100"/>
        <v>354.55070454517158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83.092453329332784</v>
      </c>
      <c r="EW129" s="21">
        <f>EXP(-LN(2)/25)*EW128+(1-EXP(-LN(2)/25))/(LN(2)/25)*Calculateur!ER129*Calculateur!ET129*VLOOKUP('Données projet'!$B$15,Paramètres!$A$1:$I$89,3,0)*0.475*44/12</f>
        <v>20.082097380284107</v>
      </c>
      <c r="EX129" s="21">
        <f>EXP(-LN(2)/2)*EX128+(1-EXP(-LN(2)/2))/(LN(2)/2)*ER129*EU129*VLOOKUP('Données projet'!$B$15,Paramètres!$A$1:$I$89,3,0)*0.475*44/12</f>
        <v>9.370314022103007E-6</v>
      </c>
      <c r="EY129" s="22">
        <f t="shared" si="75"/>
        <v>103.17456007993091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7.1129999999999995</v>
      </c>
      <c r="FE129" s="12">
        <f>IF('Données projet'!$A$218&gt;35,FE128+FD129-FM128,IF(A129&lt;'Données projet'!$A$218,$FB$205^A129,IF(A129='Données projet'!$A$218,'Données projet'!$B$218,FE128+FD129-FM128)))</f>
        <v>297.89200000000005</v>
      </c>
      <c r="FF129" s="17">
        <f>FE129*VLOOKUP('Données projet'!$B$16,Paramètres!$A$1:$I$89,3,0)*VLOOKUP('Données projet'!$B$16,Paramètres!$A$1:$I$89,5,0)</f>
        <v>339.23940960000004</v>
      </c>
      <c r="FG129" s="13">
        <f t="shared" si="101"/>
        <v>79.342783153306911</v>
      </c>
      <c r="FH129" s="20">
        <f t="shared" si="76"/>
        <v>729.03065237867622</v>
      </c>
      <c r="FI129" s="59">
        <f t="shared" si="77"/>
        <v>1012.2576875590985</v>
      </c>
      <c r="FJ129" s="59">
        <f ca="1">AVERAGE(OFFSET($FI$3,0,0,'Données projet'!$E$16+1,1))-AVERAGE(OFFSET($H$3,0,0,'Données projet'!$E$16+1,1))</f>
        <v>640.05156427113661</v>
      </c>
      <c r="FK129" s="59">
        <f t="shared" si="102"/>
        <v>308.77220155372902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26.497271392976899</v>
      </c>
      <c r="FR129" s="21">
        <f>EXP(-LN(2)/25)*FR128+(1-EXP(-LN(2)/25))/(LN(2)/25)*Calculateur!FM129*Calculateur!FO129*VLOOKUP('Données projet'!$B$16,Paramètres!$A$1:$I$89,3,0)*0.475*44/12</f>
        <v>25.682541096694624</v>
      </c>
      <c r="FS129" s="21">
        <f>EXP(-LN(2)/2)*FS128+(1-EXP(-LN(2)/2))/(LN(2)/2)*FM129*FP129*VLOOKUP('Données projet'!$B$16,Paramètres!$A$1:$I$89,3,0)*0.475*44/12</f>
        <v>1.2826973611237218</v>
      </c>
      <c r="FT129" s="22">
        <f t="shared" si="78"/>
        <v>53.462509850795243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283.40235685907942</v>
      </c>
      <c r="S130" s="59">
        <f ca="1">AVERAGE(OFFSET($R$3,0,0,'Données projet'!$E$9+1,1))-AVERAGE(OFFSET($H$3,0,0,'Données projet'!$E$9+1,1))</f>
        <v>318.50474972254085</v>
      </c>
      <c r="T130" s="59">
        <f t="shared" si="88"/>
        <v>326.45858332753562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36.842426731009084</v>
      </c>
      <c r="AA130" s="21">
        <f>EXP(-LN(2)/25)*AA129+(1-EXP(-LN(2)/25))/(LN(2)/25)*Calculateur!V130*Calculateur!X130*VLOOKUP('Données projet'!$B$9,Paramètres!$A$1:$I$89,3,0)*0.475*44/12</f>
        <v>7.5587222661534907</v>
      </c>
      <c r="AB130" s="21">
        <f>EXP(-LN(2)/2)*AB129+(1-EXP(-LN(2)/2))/(LN(2)/2)*V130*Y130*VLOOKUP('Données projet'!$B$9,Paramètres!$A$1:$I$89,3,0)*0.475*44/12</f>
        <v>4.9359098577549098E-9</v>
      </c>
      <c r="AC130" s="22">
        <f t="shared" si="57"/>
        <v>44.401149002098485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5.7330000000000014</v>
      </c>
      <c r="AI130" s="13">
        <f>IF('Données projet'!$A$62&gt;35,AI129+AH130-AQ129,IF(A130&lt;'Données projet'!$A$62,$AF$205^A130,IF(A130='Données projet'!$A$62,'Données projet'!$B$62,AI129+AH130-AQ129)))</f>
        <v>275.42800000000017</v>
      </c>
      <c r="AJ130" s="13">
        <f>AI130*VLOOKUP('Données projet'!$B$10,Paramètres!$A$1:$I$89,3,0)*VLOOKUP('Données projet'!$B$10,Paramètres!$A$1:$I$89,5,0)</f>
        <v>128.90030400000006</v>
      </c>
      <c r="AK130" s="13">
        <f t="shared" si="89"/>
        <v>33.74212637546124</v>
      </c>
      <c r="AL130" s="20">
        <f t="shared" si="58"/>
        <v>283.26889957059507</v>
      </c>
      <c r="AM130" s="59">
        <f t="shared" si="59"/>
        <v>566.67125642967244</v>
      </c>
      <c r="AN130" s="59">
        <f ca="1">AVERAGE(OFFSET($AM$3,0,0,'Données projet'!$E$10+1,1))-AVERAGE(OFFSET($H$3,0,0,'Données projet'!$E$10+1,1))</f>
        <v>374.38106339726073</v>
      </c>
      <c r="AO130" s="59">
        <f t="shared" si="90"/>
        <v>296.53283288925957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91.277031898217444</v>
      </c>
      <c r="AV130" s="21">
        <f>EXP(-LN(2)/25)*AV129+(1-EXP(-LN(2)/25))/(LN(2)/25)*Calculateur!AQ130*Calculateur!AS130*VLOOKUP('Données projet'!$B$10,Paramètres!$A$1:$I$89,3,0)*0.475*44/12</f>
        <v>27.505219091997056</v>
      </c>
      <c r="AW130" s="21">
        <f>EXP(-LN(2)/2)*AW129+(1-EXP(-LN(2)/2))/(LN(2)/2)*AQ130*AT130*VLOOKUP('Données projet'!$B$10,Paramètres!$A$1:$I$89,3,0)*0.475*44/12</f>
        <v>3.1574917865406258</v>
      </c>
      <c r="AX130" s="21">
        <f t="shared" si="60"/>
        <v>121.93974277675512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9.0229999999999961</v>
      </c>
      <c r="BD130" s="12">
        <f>IF('Données projet'!$A$88&gt;35,BD129+BC130-BL129,IF(A130&lt;'Données projet'!$A$88,$BA$205^A130,IF(A130='Données projet'!$A$88,'Données projet'!$B$88,BD129+BC130-BL129)))</f>
        <v>421.11900000000071</v>
      </c>
      <c r="BE130" s="13">
        <f>BD130*VLOOKUP('Données projet'!$B$11,Paramètres!$A$1:$I$89,3,0)*VLOOKUP('Données projet'!$B$11,Paramètres!$A$1:$I$89,5,0)</f>
        <v>381.02847120000064</v>
      </c>
      <c r="BF130" s="13">
        <f t="shared" si="91"/>
        <v>87.919669823283783</v>
      </c>
      <c r="BG130" s="20">
        <f t="shared" si="61"/>
        <v>816.75134561555353</v>
      </c>
      <c r="BH130" s="59">
        <f t="shared" si="62"/>
        <v>1100.153702474631</v>
      </c>
      <c r="BI130" s="59">
        <f ca="1">AVERAGE(OFFSET($BH$3,0,0,'Données projet'!$E$11+1,1))-AVERAGE(OFFSET($H$3,0,0,'Données projet'!$E$11+1,1))</f>
        <v>681.47578137804555</v>
      </c>
      <c r="BJ130" s="59">
        <f t="shared" si="92"/>
        <v>300.88511065995885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36.385686072043235</v>
      </c>
      <c r="BQ130" s="21">
        <f>EXP(-LN(2)/25)*BQ129+(1-EXP(-LN(2)/25))/(LN(2)/25)*Calculateur!BL130*Calculateur!BN130*VLOOKUP('Données projet'!$B$11,Paramètres!$A$1:$I$89,3,0)*0.475*44/12</f>
        <v>22.536750430785936</v>
      </c>
      <c r="BR130" s="21">
        <f>EXP(-LN(2)/2)*BR129+(1-EXP(-LN(2)/2))/(LN(2)/2)*BL130*BO130*VLOOKUP('Données projet'!$B$11,Paramètres!$A$1:$I$89,3,0)*0.475*44/12</f>
        <v>1.8052366606344215</v>
      </c>
      <c r="BS130" s="22">
        <f t="shared" si="63"/>
        <v>60.727673163463592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8.5265128291212022E-14</v>
      </c>
      <c r="BZ130" s="13">
        <f>BY130*VLOOKUP('Données projet'!$B$12,Paramètres!$A$1:$I$89,3,0)*VLOOKUP('Données projet'!$B$12,Paramètres!$A$1:$I$89,5,0)</f>
        <v>8.9119112089974823E-14</v>
      </c>
      <c r="CA130" s="13">
        <f t="shared" si="93"/>
        <v>1.3568952080113142E-12</v>
      </c>
      <c r="CB130" s="20">
        <f t="shared" si="64"/>
        <v>2.5184749408430782E-12</v>
      </c>
      <c r="CC130" s="59">
        <f t="shared" si="65"/>
        <v>283.40235685907993</v>
      </c>
      <c r="CD130" s="59">
        <f ca="1">AVERAGE(OFFSET($CC$3,0,0,'Données projet'!$E$12+1,1))-AVERAGE(OFFSET($H$3,0,0,'Données projet'!$E$12+1,1))</f>
        <v>290.69667785754848</v>
      </c>
      <c r="CE130" s="59">
        <f t="shared" si="94"/>
        <v>256.28124185489082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10.427478533571835</v>
      </c>
      <c r="CL130" s="21">
        <f>EXP(-LN(2)/25)*CL129+(1-EXP(-LN(2)/25))/(LN(2)/25)*Calculateur!CG130*Calculateur!CI130*VLOOKUP('Données projet'!$B$12,Paramètres!$A$1:$I$89,3,0)*0.475*44/12</f>
        <v>21.497614309587092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31.925092843158929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408.246209980743</v>
      </c>
      <c r="CZ130" s="59">
        <f t="shared" si="96"/>
        <v>394.10236303013903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22.502527025182953</v>
      </c>
      <c r="DG130" s="21">
        <f>EXP(-LN(2)/25)*DG129+(1-EXP(-LN(2)/25))/(LN(2)/25)*Calculateur!DB130*Calculateur!DD130*VLOOKUP('Données projet'!$B$13,Paramètres!$A$1:$I$89,3,0)*0.475*44/12</f>
        <v>15.310868031155788</v>
      </c>
      <c r="DH130" s="21">
        <f>EXP(-LN(2)/2)*DH129+(1-EXP(-LN(2)/2))/(LN(2)/2)*DB130*DE130*VLOOKUP('Données projet'!$B$13,Paramètres!$A$1:$I$89,3,0)*0.475*44/12</f>
        <v>5.7775792252744343E-6</v>
      </c>
      <c r="DI130" s="22">
        <f t="shared" si="69"/>
        <v>37.813400833917967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5.6843418860808015E-13</v>
      </c>
      <c r="DP130" s="17">
        <f>DO130*VLOOKUP('Données projet'!$B$14,Paramètres!$A$1:$I$89,3,0)*VLOOKUP('Données projet'!$B$14,Paramètres!$A$1:$I$89,5,0)</f>
        <v>3.177547114319168E-13</v>
      </c>
      <c r="DQ130" s="13">
        <f t="shared" si="97"/>
        <v>4.1725404435445377E-12</v>
      </c>
      <c r="DR130" s="20">
        <f t="shared" si="70"/>
        <v>7.820597394917325E-12</v>
      </c>
      <c r="DS130" s="59">
        <f t="shared" si="71"/>
        <v>283.40235685908527</v>
      </c>
      <c r="DT130" s="59">
        <f ca="1">AVERAGE(OFFSET($DS$3,0,0,'Données projet'!$E$14+1,1))-AVERAGE(OFFSET($H$3,0,0,'Données projet'!$E$14+1,1))</f>
        <v>407.05634973057056</v>
      </c>
      <c r="DU130" s="59">
        <f t="shared" si="98"/>
        <v>375.32891954889965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74.626048538603982</v>
      </c>
      <c r="EB130" s="21">
        <f>EXP(-LN(2)/25)*EB129+(1-EXP(-LN(2)/25))/(LN(2)/25)*Calculateur!DW130*Calculateur!DY130*VLOOKUP('Données projet'!$B$14,Paramètres!$A$1:$I$89,3,0)*0.475*44/12</f>
        <v>15.804165010060531</v>
      </c>
      <c r="EC130" s="21">
        <f>EXP(-LN(2)/2)*EC129+(1-EXP(-LN(2)/2))/(LN(2)/2)*DW130*DZ130*VLOOKUP('Données projet'!$B$14,Paramètres!$A$1:$I$89,3,0)*0.475*44/12</f>
        <v>1.9889499346059472E-7</v>
      </c>
      <c r="ED130" s="22">
        <f t="shared" si="72"/>
        <v>90.430213747559506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1.1368683772161603E-13</v>
      </c>
      <c r="EK130" s="17">
        <f>EJ130*VLOOKUP('Données projet'!$B$15,Paramètres!$A$1:$I$89,3,0)*VLOOKUP('Données projet'!$B$15,Paramètres!$A$1:$I$89,5,0)</f>
        <v>5.0249582272954292E-14</v>
      </c>
      <c r="EL130" s="13">
        <f t="shared" si="99"/>
        <v>8.1784820119191593E-13</v>
      </c>
      <c r="EM130" s="20">
        <f t="shared" si="73"/>
        <v>1.5119369728679821E-12</v>
      </c>
      <c r="EN130" s="59">
        <f t="shared" si="74"/>
        <v>283.40235685907896</v>
      </c>
      <c r="EO130" s="59">
        <f ca="1">AVERAGE(OFFSET($EN$3,0,0,'Données projet'!$E$15+1,1))-AVERAGE(OFFSET($H$3,0,0,'Données projet'!$E$15+1,1))</f>
        <v>418.28022549686278</v>
      </c>
      <c r="EP130" s="59">
        <f t="shared" si="100"/>
        <v>354.55070454517158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81.463061000936733</v>
      </c>
      <c r="EW130" s="21">
        <f>EXP(-LN(2)/25)*EW129+(1-EXP(-LN(2)/25))/(LN(2)/25)*Calculateur!ER130*Calculateur!ET130*VLOOKUP('Données projet'!$B$15,Paramètres!$A$1:$I$89,3,0)*0.475*44/12</f>
        <v>19.532951371348634</v>
      </c>
      <c r="EX130" s="21">
        <f>EXP(-LN(2)/2)*EX129+(1-EXP(-LN(2)/2))/(LN(2)/2)*ER130*EU130*VLOOKUP('Données projet'!$B$15,Paramètres!$A$1:$I$89,3,0)*0.475*44/12</f>
        <v>6.6258125868764291E-6</v>
      </c>
      <c r="EY130" s="22">
        <f t="shared" si="75"/>
        <v>100.99601899809795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7.1129999999999995</v>
      </c>
      <c r="FE130" s="12">
        <f>IF('Données projet'!$A$218&gt;35,FE129+FD130-FM129,IF(A130&lt;'Données projet'!$A$218,$FB$205^A130,IF(A130='Données projet'!$A$218,'Données projet'!$B$218,FE129+FD130-FM129)))</f>
        <v>305.00500000000005</v>
      </c>
      <c r="FF130" s="17">
        <f>FE130*VLOOKUP('Données projet'!$B$16,Paramètres!$A$1:$I$89,3,0)*VLOOKUP('Données projet'!$B$16,Paramètres!$A$1:$I$89,5,0)</f>
        <v>347.33969400000007</v>
      </c>
      <c r="FG130" s="13">
        <f t="shared" si="101"/>
        <v>81.014483591844552</v>
      </c>
      <c r="FH130" s="20">
        <f t="shared" si="76"/>
        <v>746.05019263912936</v>
      </c>
      <c r="FI130" s="59">
        <f t="shared" si="77"/>
        <v>1029.4525494982067</v>
      </c>
      <c r="FJ130" s="59">
        <f ca="1">AVERAGE(OFFSET($FI$3,0,0,'Données projet'!$E$16+1,1))-AVERAGE(OFFSET($H$3,0,0,'Données projet'!$E$16+1,1))</f>
        <v>640.05156427113661</v>
      </c>
      <c r="FK130" s="59">
        <f t="shared" si="102"/>
        <v>308.77220155372902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25.977676062700333</v>
      </c>
      <c r="FR130" s="21">
        <f>EXP(-LN(2)/25)*FR129+(1-EXP(-LN(2)/25))/(LN(2)/25)*Calculateur!FM130*Calculateur!FO130*VLOOKUP('Données projet'!$B$16,Paramètres!$A$1:$I$89,3,0)*0.475*44/12</f>
        <v>24.980250659819372</v>
      </c>
      <c r="FS130" s="21">
        <f>EXP(-LN(2)/2)*FS129+(1-EXP(-LN(2)/2))/(LN(2)/2)*FM130*FP130*VLOOKUP('Données projet'!$B$16,Paramètres!$A$1:$I$89,3,0)*0.475*44/12</f>
        <v>0.90700400226067357</v>
      </c>
      <c r="FT130" s="22">
        <f t="shared" si="78"/>
        <v>51.864930724780372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283.57463709857052</v>
      </c>
      <c r="S131" s="59">
        <f ca="1">AVERAGE(OFFSET($R$3,0,0,'Données projet'!$E$9+1,1))-AVERAGE(OFFSET($H$3,0,0,'Données projet'!$E$9+1,1))</f>
        <v>318.50474972254085</v>
      </c>
      <c r="T131" s="59">
        <f t="shared" si="88"/>
        <v>326.45858332753562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36.119969214475411</v>
      </c>
      <c r="AA131" s="21">
        <f>EXP(-LN(2)/25)*AA130+(1-EXP(-LN(2)/25))/(LN(2)/25)*Calculateur!V131*Calculateur!X131*VLOOKUP('Données projet'!$B$9,Paramètres!$A$1:$I$89,3,0)*0.475*44/12</f>
        <v>7.3520286082895954</v>
      </c>
      <c r="AB131" s="21">
        <f>EXP(-LN(2)/2)*AB130+(1-EXP(-LN(2)/2))/(LN(2)/2)*V131*Y131*VLOOKUP('Données projet'!$B$9,Paramètres!$A$1:$I$89,3,0)*0.475*44/12</f>
        <v>3.4902153317440239E-9</v>
      </c>
      <c r="AC131" s="22">
        <f t="shared" si="57"/>
        <v>43.471997826255219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5.7330000000000014</v>
      </c>
      <c r="AI131" s="13">
        <f>IF('Données projet'!$A$62&gt;35,AI130+AH131-AQ130,IF(A131&lt;'Données projet'!$A$62,$AF$205^A131,IF(A131='Données projet'!$A$62,'Données projet'!$B$62,AI130+AH131-AQ130)))</f>
        <v>281.16100000000017</v>
      </c>
      <c r="AJ131" s="13">
        <f>AI131*VLOOKUP('Données projet'!$B$10,Paramètres!$A$1:$I$89,3,0)*VLOOKUP('Données projet'!$B$10,Paramètres!$A$1:$I$89,5,0)</f>
        <v>131.58334800000009</v>
      </c>
      <c r="AK131" s="13">
        <f t="shared" si="89"/>
        <v>34.361966390286234</v>
      </c>
      <c r="AL131" s="20">
        <f t="shared" si="58"/>
        <v>289.02142256308201</v>
      </c>
      <c r="AM131" s="59">
        <f t="shared" si="59"/>
        <v>572.59605966165054</v>
      </c>
      <c r="AN131" s="59">
        <f ca="1">AVERAGE(OFFSET($AM$3,0,0,'Données projet'!$E$10+1,1))-AVERAGE(OFFSET($H$3,0,0,'Données projet'!$E$10+1,1))</f>
        <v>374.38106339726073</v>
      </c>
      <c r="AO131" s="59">
        <f t="shared" si="90"/>
        <v>296.53283288925957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89.487144976185562</v>
      </c>
      <c r="AV131" s="21">
        <f>EXP(-LN(2)/25)*AV130+(1-EXP(-LN(2)/25))/(LN(2)/25)*Calculateur!AQ131*Calculateur!AS131*VLOOKUP('Données projet'!$B$10,Paramètres!$A$1:$I$89,3,0)*0.475*44/12</f>
        <v>26.753087429489788</v>
      </c>
      <c r="AW131" s="21">
        <f>EXP(-LN(2)/2)*AW130+(1-EXP(-LN(2)/2))/(LN(2)/2)*AQ131*AT131*VLOOKUP('Données projet'!$B$10,Paramètres!$A$1:$I$89,3,0)*0.475*44/12</f>
        <v>2.2326838538037035</v>
      </c>
      <c r="AX131" s="21">
        <f t="shared" si="60"/>
        <v>118.47291625947906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9.0229999999999961</v>
      </c>
      <c r="BD131" s="12">
        <f>IF('Données projet'!$A$88&gt;35,BD130+BC131-BL130,IF(A131&lt;'Données projet'!$A$88,$BA$205^A131,IF(A131='Données projet'!$A$88,'Données projet'!$B$88,BD130+BC131-BL130)))</f>
        <v>430.14200000000073</v>
      </c>
      <c r="BE131" s="13">
        <f>BD131*VLOOKUP('Données projet'!$B$11,Paramètres!$A$1:$I$89,3,0)*VLOOKUP('Données projet'!$B$11,Paramètres!$A$1:$I$89,5,0)</f>
        <v>389.19248160000063</v>
      </c>
      <c r="BF131" s="13">
        <f t="shared" si="91"/>
        <v>89.582126151232899</v>
      </c>
      <c r="BG131" s="20">
        <f t="shared" si="61"/>
        <v>833.86577516673162</v>
      </c>
      <c r="BH131" s="59">
        <f t="shared" si="62"/>
        <v>1117.4404122653002</v>
      </c>
      <c r="BI131" s="59">
        <f ca="1">AVERAGE(OFFSET($BH$3,0,0,'Données projet'!$E$11+1,1))-AVERAGE(OFFSET($H$3,0,0,'Données projet'!$E$11+1,1))</f>
        <v>681.47578137804555</v>
      </c>
      <c r="BJ131" s="59">
        <f t="shared" si="92"/>
        <v>300.88511065995885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35.672184961247588</v>
      </c>
      <c r="BQ131" s="21">
        <f>EXP(-LN(2)/25)*BQ130+(1-EXP(-LN(2)/25))/(LN(2)/25)*Calculateur!BL131*Calculateur!BN131*VLOOKUP('Données projet'!$B$11,Paramètres!$A$1:$I$89,3,0)*0.475*44/12</f>
        <v>21.920481805099897</v>
      </c>
      <c r="BR131" s="21">
        <f>EXP(-LN(2)/2)*BR130+(1-EXP(-LN(2)/2))/(LN(2)/2)*BL131*BO131*VLOOKUP('Données projet'!$B$11,Paramètres!$A$1:$I$89,3,0)*0.475*44/12</f>
        <v>1.2764950843811578</v>
      </c>
      <c r="BS131" s="22">
        <f t="shared" si="63"/>
        <v>58.869161850728645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8.5265128291212022E-14</v>
      </c>
      <c r="BZ131" s="13">
        <f>BY131*VLOOKUP('Données projet'!$B$12,Paramètres!$A$1:$I$89,3,0)*VLOOKUP('Données projet'!$B$12,Paramètres!$A$1:$I$89,5,0)</f>
        <v>8.9119112089974823E-14</v>
      </c>
      <c r="CA131" s="13">
        <f t="shared" si="93"/>
        <v>1.3568952080113142E-12</v>
      </c>
      <c r="CB131" s="20">
        <f t="shared" si="64"/>
        <v>2.5184749408430782E-12</v>
      </c>
      <c r="CC131" s="59">
        <f t="shared" si="65"/>
        <v>283.57463709857103</v>
      </c>
      <c r="CD131" s="59">
        <f ca="1">AVERAGE(OFFSET($CC$3,0,0,'Données projet'!$E$12+1,1))-AVERAGE(OFFSET($H$3,0,0,'Données projet'!$E$12+1,1))</f>
        <v>290.69667785754848</v>
      </c>
      <c r="CE131" s="59">
        <f t="shared" si="94"/>
        <v>256.28124185489082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10.223002039662385</v>
      </c>
      <c r="CL131" s="21">
        <f>EXP(-LN(2)/25)*CL130+(1-EXP(-LN(2)/25))/(LN(2)/25)*Calculateur!CG131*Calculateur!CI131*VLOOKUP('Données projet'!$B$12,Paramètres!$A$1:$I$89,3,0)*0.475*44/12</f>
        <v>20.909760915781032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31.132762955443418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408.246209980743</v>
      </c>
      <c r="CZ131" s="59">
        <f t="shared" si="96"/>
        <v>394.10236303013903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22.061266195405352</v>
      </c>
      <c r="DG131" s="21">
        <f>EXP(-LN(2)/25)*DG130+(1-EXP(-LN(2)/25))/(LN(2)/25)*Calculateur!DB131*Calculateur!DD131*VLOOKUP('Données projet'!$B$13,Paramètres!$A$1:$I$89,3,0)*0.475*44/12</f>
        <v>14.892191539680278</v>
      </c>
      <c r="DH131" s="21">
        <f>EXP(-LN(2)/2)*DH130+(1-EXP(-LN(2)/2))/(LN(2)/2)*DB131*DE131*VLOOKUP('Données projet'!$B$13,Paramètres!$A$1:$I$89,3,0)*0.475*44/12</f>
        <v>4.0853654490340721E-6</v>
      </c>
      <c r="DI131" s="22">
        <f t="shared" si="69"/>
        <v>36.953461820451075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5.6843418860808015E-13</v>
      </c>
      <c r="DP131" s="17">
        <f>DO131*VLOOKUP('Données projet'!$B$14,Paramètres!$A$1:$I$89,3,0)*VLOOKUP('Données projet'!$B$14,Paramètres!$A$1:$I$89,5,0)</f>
        <v>3.177547114319168E-13</v>
      </c>
      <c r="DQ131" s="13">
        <f t="shared" si="97"/>
        <v>4.1725404435445377E-12</v>
      </c>
      <c r="DR131" s="20">
        <f t="shared" si="70"/>
        <v>7.820597394917325E-12</v>
      </c>
      <c r="DS131" s="59">
        <f t="shared" si="71"/>
        <v>283.57463709857637</v>
      </c>
      <c r="DT131" s="59">
        <f ca="1">AVERAGE(OFFSET($DS$3,0,0,'Données projet'!$E$14+1,1))-AVERAGE(OFFSET($H$3,0,0,'Données projet'!$E$14+1,1))</f>
        <v>407.05634973057056</v>
      </c>
      <c r="DU131" s="59">
        <f t="shared" si="98"/>
        <v>375.32891954889965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73.162677244157095</v>
      </c>
      <c r="EB131" s="21">
        <f>EXP(-LN(2)/25)*EB130+(1-EXP(-LN(2)/25))/(LN(2)/25)*Calculateur!DW131*Calculateur!DY131*VLOOKUP('Données projet'!$B$14,Paramètres!$A$1:$I$89,3,0)*0.475*44/12</f>
        <v>15.371999286755509</v>
      </c>
      <c r="EC131" s="21">
        <f>EXP(-LN(2)/2)*EC130+(1-EXP(-LN(2)/2))/(LN(2)/2)*DW131*DZ131*VLOOKUP('Données projet'!$B$14,Paramètres!$A$1:$I$89,3,0)*0.475*44/12</f>
        <v>1.4063999862004055E-7</v>
      </c>
      <c r="ED131" s="22">
        <f t="shared" si="72"/>
        <v>88.534676671552603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1.1368683772161603E-13</v>
      </c>
      <c r="EK131" s="17">
        <f>EJ131*VLOOKUP('Données projet'!$B$15,Paramètres!$A$1:$I$89,3,0)*VLOOKUP('Données projet'!$B$15,Paramètres!$A$1:$I$89,5,0)</f>
        <v>5.0249582272954292E-14</v>
      </c>
      <c r="EL131" s="13">
        <f t="shared" si="99"/>
        <v>8.1784820119191593E-13</v>
      </c>
      <c r="EM131" s="20">
        <f t="shared" si="73"/>
        <v>1.5119369728679821E-12</v>
      </c>
      <c r="EN131" s="59">
        <f t="shared" si="74"/>
        <v>283.57463709857007</v>
      </c>
      <c r="EO131" s="59">
        <f ca="1">AVERAGE(OFFSET($EN$3,0,0,'Données projet'!$E$15+1,1))-AVERAGE(OFFSET($H$3,0,0,'Données projet'!$E$15+1,1))</f>
        <v>418.28022549686278</v>
      </c>
      <c r="EP131" s="59">
        <f t="shared" si="100"/>
        <v>354.55070454517158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79.865620062269329</v>
      </c>
      <c r="EW131" s="21">
        <f>EXP(-LN(2)/25)*EW130+(1-EXP(-LN(2)/25))/(LN(2)/25)*Calculateur!ER131*Calculateur!ET131*VLOOKUP('Données projet'!$B$15,Paramètres!$A$1:$I$89,3,0)*0.475*44/12</f>
        <v>18.998821788905836</v>
      </c>
      <c r="EX131" s="21">
        <f>EXP(-LN(2)/2)*EX130+(1-EXP(-LN(2)/2))/(LN(2)/2)*ER131*EU131*VLOOKUP('Données projet'!$B$15,Paramètres!$A$1:$I$89,3,0)*0.475*44/12</f>
        <v>4.6851570110515035E-6</v>
      </c>
      <c r="EY131" s="22">
        <f t="shared" si="75"/>
        <v>98.864446536332181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7.1129999999999995</v>
      </c>
      <c r="FE131" s="12">
        <f>IF('Données projet'!$A$218&gt;35,FE130+FD131-FM130,IF(A131&lt;'Données projet'!$A$218,$FB$205^A131,IF(A131='Données projet'!$A$218,'Données projet'!$B$218,FE130+FD131-FM130)))</f>
        <v>312.11800000000005</v>
      </c>
      <c r="FF131" s="17">
        <f>FE131*VLOOKUP('Données projet'!$B$16,Paramètres!$A$1:$I$89,3,0)*VLOOKUP('Données projet'!$B$16,Paramètres!$A$1:$I$89,5,0)</f>
        <v>355.43997840000003</v>
      </c>
      <c r="FG131" s="13">
        <f t="shared" si="101"/>
        <v>82.681651825128526</v>
      </c>
      <c r="FH131" s="20">
        <f t="shared" si="76"/>
        <v>763.06183930876557</v>
      </c>
      <c r="FI131" s="59">
        <f t="shared" si="77"/>
        <v>1046.6364764073342</v>
      </c>
      <c r="FJ131" s="59">
        <f ca="1">AVERAGE(OFFSET($FI$3,0,0,'Données projet'!$E$16+1,1))-AVERAGE(OFFSET($H$3,0,0,'Données projet'!$E$16+1,1))</f>
        <v>640.05156427113661</v>
      </c>
      <c r="FK131" s="59">
        <f t="shared" si="102"/>
        <v>308.77220155372902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25.468269679928632</v>
      </c>
      <c r="FR131" s="21">
        <f>EXP(-LN(2)/25)*FR130+(1-EXP(-LN(2)/25))/(LN(2)/25)*Calculateur!FM131*Calculateur!FO131*VLOOKUP('Données projet'!$B$16,Paramètres!$A$1:$I$89,3,0)*0.475*44/12</f>
        <v>24.297164391872322</v>
      </c>
      <c r="FS131" s="21">
        <f>EXP(-LN(2)/2)*FS130+(1-EXP(-LN(2)/2))/(LN(2)/2)*FM131*FP131*VLOOKUP('Données projet'!$B$16,Paramètres!$A$1:$I$89,3,0)*0.475*44/12</f>
        <v>0.64134868056186101</v>
      </c>
      <c r="FT131" s="22">
        <f t="shared" si="78"/>
        <v>50.406782752362815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283.74392866106734</v>
      </c>
      <c r="S132" s="59">
        <f ca="1">AVERAGE(OFFSET($R$3,0,0,'Données projet'!$E$9+1,1))-AVERAGE(OFFSET($H$3,0,0,'Données projet'!$E$9+1,1))</f>
        <v>318.50474972254085</v>
      </c>
      <c r="T132" s="59">
        <f t="shared" si="88"/>
        <v>326.45858332753562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35.41167864918539</v>
      </c>
      <c r="AA132" s="21">
        <f>EXP(-LN(2)/25)*AA131+(1-EXP(-LN(2)/25))/(LN(2)/25)*Calculateur!V132*Calculateur!X132*VLOOKUP('Données projet'!$B$9,Paramètres!$A$1:$I$89,3,0)*0.475*44/12</f>
        <v>7.1509869993695352</v>
      </c>
      <c r="AB132" s="21">
        <f>EXP(-LN(2)/2)*AB131+(1-EXP(-LN(2)/2))/(LN(2)/2)*V132*Y132*VLOOKUP('Données projet'!$B$9,Paramètres!$A$1:$I$89,3,0)*0.475*44/12</f>
        <v>2.4679549288774549E-9</v>
      </c>
      <c r="AC132" s="22">
        <f t="shared" ref="AC132:AC153" si="111">SUM(Z132:AB132)</f>
        <v>42.562665651022883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5.7330000000000014</v>
      </c>
      <c r="AI132" s="13">
        <f>IF('Données projet'!$A$62&gt;35,AI131+AH132-AQ131,IF(A132&lt;'Données projet'!$A$62,$AF$205^A132,IF(A132='Données projet'!$A$62,'Données projet'!$B$62,AI131+AH132-AQ131)))</f>
        <v>286.89400000000018</v>
      </c>
      <c r="AJ132" s="13">
        <f>AI132*VLOOKUP('Données projet'!$B$10,Paramètres!$A$1:$I$89,3,0)*VLOOKUP('Données projet'!$B$10,Paramètres!$A$1:$I$89,5,0)</f>
        <v>134.26639200000008</v>
      </c>
      <c r="AK132" s="13">
        <f t="shared" si="89"/>
        <v>34.980336883494694</v>
      </c>
      <c r="AL132" s="20">
        <f t="shared" ref="AL132:AL153" si="112">(AJ132+AK132)*0.475*44/12</f>
        <v>294.77138613875337</v>
      </c>
      <c r="AM132" s="59">
        <f t="shared" ref="AM132:AM195" si="113">AL132+(AD132+AE132)*44/12</f>
        <v>578.51531479981873</v>
      </c>
      <c r="AN132" s="59">
        <f ca="1">AVERAGE(OFFSET($AM$3,0,0,'Données projet'!$E$10+1,1))-AVERAGE(OFFSET($H$3,0,0,'Données projet'!$E$10+1,1))</f>
        <v>374.38106339726073</v>
      </c>
      <c r="AO132" s="59">
        <f t="shared" si="90"/>
        <v>296.53283288925957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87.732356644971503</v>
      </c>
      <c r="AV132" s="21">
        <f>EXP(-LN(2)/25)*AV131+(1-EXP(-LN(2)/25))/(LN(2)/25)*Calculateur!AQ132*Calculateur!AS132*VLOOKUP('Données projet'!$B$10,Paramètres!$A$1:$I$89,3,0)*0.475*44/12</f>
        <v>26.021522846846668</v>
      </c>
      <c r="AW132" s="21">
        <f>EXP(-LN(2)/2)*AW131+(1-EXP(-LN(2)/2))/(LN(2)/2)*AQ132*AT132*VLOOKUP('Données projet'!$B$10,Paramètres!$A$1:$I$89,3,0)*0.475*44/12</f>
        <v>1.5787458932703131</v>
      </c>
      <c r="AX132" s="21">
        <f t="shared" ref="AX132:AX153" si="114">SUM(AU132:AW132)</f>
        <v>115.33262538508848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9.0229999999999961</v>
      </c>
      <c r="BD132" s="12">
        <f>IF('Données projet'!$A$88&gt;35,BD131+BC132-BL131,IF(A132&lt;'Données projet'!$A$88,$BA$205^A132,IF(A132='Données projet'!$A$88,'Données projet'!$B$88,BD131+BC132-BL131)))</f>
        <v>439.16500000000076</v>
      </c>
      <c r="BE132" s="13">
        <f>BD132*VLOOKUP('Données projet'!$B$11,Paramètres!$A$1:$I$89,3,0)*VLOOKUP('Données projet'!$B$11,Paramètres!$A$1:$I$89,5,0)</f>
        <v>397.35649200000069</v>
      </c>
      <c r="BF132" s="13">
        <f t="shared" si="91"/>
        <v>91.240527898934658</v>
      </c>
      <c r="BG132" s="20">
        <f t="shared" ref="BG132:BG153" si="115">(BE132+BF132)*0.475*44/12</f>
        <v>850.97314299064567</v>
      </c>
      <c r="BH132" s="59">
        <f t="shared" ref="BH132:BH195" si="116">BG132+(AY132+AZ132)*44/12</f>
        <v>1134.717071651711</v>
      </c>
      <c r="BI132" s="59">
        <f ca="1">AVERAGE(OFFSET($BH$3,0,0,'Données projet'!$E$11+1,1))-AVERAGE(OFFSET($H$3,0,0,'Données projet'!$E$11+1,1))</f>
        <v>681.47578137804555</v>
      </c>
      <c r="BJ132" s="59">
        <f t="shared" si="92"/>
        <v>300.88511065995885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34.972675172041939</v>
      </c>
      <c r="BQ132" s="21">
        <f>EXP(-LN(2)/25)*BQ131+(1-EXP(-LN(2)/25))/(LN(2)/25)*Calculateur!BL132*Calculateur!BN132*VLOOKUP('Données projet'!$B$11,Paramètres!$A$1:$I$89,3,0)*0.475*44/12</f>
        <v>21.321065077391403</v>
      </c>
      <c r="BR132" s="21">
        <f>EXP(-LN(2)/2)*BR131+(1-EXP(-LN(2)/2))/(LN(2)/2)*BL132*BO132*VLOOKUP('Données projet'!$B$11,Paramètres!$A$1:$I$89,3,0)*0.475*44/12</f>
        <v>0.90261833031721095</v>
      </c>
      <c r="BS132" s="22">
        <f t="shared" ref="BS132:BS153" si="117">SUM(BP132:BR132)</f>
        <v>57.196358579750552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8.5265128291212022E-14</v>
      </c>
      <c r="BZ132" s="13">
        <f>BY132*VLOOKUP('Données projet'!$B$12,Paramètres!$A$1:$I$89,3,0)*VLOOKUP('Données projet'!$B$12,Paramètres!$A$1:$I$89,5,0)</f>
        <v>8.9119112089974823E-14</v>
      </c>
      <c r="CA132" s="13">
        <f t="shared" si="93"/>
        <v>1.3568952080113142E-12</v>
      </c>
      <c r="CB132" s="20">
        <f t="shared" ref="CB132:CB153" si="118">(BZ132+CA132)*0.475*44/12</f>
        <v>2.5184749408430782E-12</v>
      </c>
      <c r="CC132" s="59">
        <f t="shared" ref="CC132:CC195" si="119">CB132+(BT132+BU132)*44/12</f>
        <v>283.74392866106786</v>
      </c>
      <c r="CD132" s="59">
        <f ca="1">AVERAGE(OFFSET($CC$3,0,0,'Données projet'!$E$12+1,1))-AVERAGE(OFFSET($H$3,0,0,'Données projet'!$E$12+1,1))</f>
        <v>290.69667785754848</v>
      </c>
      <c r="CE132" s="59">
        <f t="shared" si="94"/>
        <v>256.28124185489082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10.022535205080153</v>
      </c>
      <c r="CL132" s="21">
        <f>EXP(-LN(2)/25)*CL131+(1-EXP(-LN(2)/25))/(LN(2)/25)*Calculateur!CG132*Calculateur!CI132*VLOOKUP('Données projet'!$B$12,Paramètres!$A$1:$I$89,3,0)*0.475*44/12</f>
        <v>20.337982403942462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30.360517609022615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408.246209980743</v>
      </c>
      <c r="CZ132" s="59">
        <f t="shared" si="96"/>
        <v>394.10236303013903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21.62865822135716</v>
      </c>
      <c r="DG132" s="21">
        <f>EXP(-LN(2)/25)*DG131+(1-EXP(-LN(2)/25))/(LN(2)/25)*Calculateur!DB132*Calculateur!DD132*VLOOKUP('Données projet'!$B$13,Paramètres!$A$1:$I$89,3,0)*0.475*44/12</f>
        <v>14.484963778881404</v>
      </c>
      <c r="DH132" s="21">
        <f>EXP(-LN(2)/2)*DH131+(1-EXP(-LN(2)/2))/(LN(2)/2)*DB132*DE132*VLOOKUP('Données projet'!$B$13,Paramètres!$A$1:$I$89,3,0)*0.475*44/12</f>
        <v>2.8887896126372172E-6</v>
      </c>
      <c r="DI132" s="22">
        <f t="shared" ref="DI132:DI153" si="123">SUM(DF132:DH132)</f>
        <v>36.113624889028173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5.6843418860808015E-13</v>
      </c>
      <c r="DP132" s="17">
        <f>DO132*VLOOKUP('Données projet'!$B$14,Paramètres!$A$1:$I$89,3,0)*VLOOKUP('Données projet'!$B$14,Paramètres!$A$1:$I$89,5,0)</f>
        <v>3.177547114319168E-13</v>
      </c>
      <c r="DQ132" s="13">
        <f t="shared" si="97"/>
        <v>4.1725404435445377E-12</v>
      </c>
      <c r="DR132" s="20">
        <f t="shared" ref="DR132:DR153" si="124">(DP132+DQ132)*0.475*44/12</f>
        <v>7.820597394917325E-12</v>
      </c>
      <c r="DS132" s="59">
        <f t="shared" ref="DS132:DS195" si="125">DR132+(DJ132+DK132)*44/12</f>
        <v>283.7439286610732</v>
      </c>
      <c r="DT132" s="59">
        <f ca="1">AVERAGE(OFFSET($DS$3,0,0,'Données projet'!$E$14+1,1))-AVERAGE(OFFSET($H$3,0,0,'Données projet'!$E$14+1,1))</f>
        <v>407.05634973057056</v>
      </c>
      <c r="DU132" s="59">
        <f t="shared" si="98"/>
        <v>375.32891954889965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71.728001768225951</v>
      </c>
      <c r="EB132" s="21">
        <f>EXP(-LN(2)/25)*EB131+(1-EXP(-LN(2)/25))/(LN(2)/25)*Calculateur!DW132*Calculateur!DY132*VLOOKUP('Données projet'!$B$14,Paramètres!$A$1:$I$89,3,0)*0.475*44/12</f>
        <v>14.951651157880869</v>
      </c>
      <c r="EC132" s="21">
        <f>EXP(-LN(2)/2)*EC131+(1-EXP(-LN(2)/2))/(LN(2)/2)*DW132*DZ132*VLOOKUP('Données projet'!$B$14,Paramètres!$A$1:$I$89,3,0)*0.475*44/12</f>
        <v>9.9447496730297358E-8</v>
      </c>
      <c r="ED132" s="22">
        <f t="shared" ref="ED132:ED153" si="126">SUM(EA132:EC132)</f>
        <v>86.679653025554316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1.1368683772161603E-13</v>
      </c>
      <c r="EK132" s="17">
        <f>EJ132*VLOOKUP('Données projet'!$B$15,Paramètres!$A$1:$I$89,3,0)*VLOOKUP('Données projet'!$B$15,Paramètres!$A$1:$I$89,5,0)</f>
        <v>5.0249582272954292E-14</v>
      </c>
      <c r="EL132" s="13">
        <f t="shared" si="99"/>
        <v>8.1784820119191593E-13</v>
      </c>
      <c r="EM132" s="20">
        <f t="shared" ref="EM132:EM153" si="127">(EK132+EL132)*0.475*44/12</f>
        <v>1.5119369728679821E-12</v>
      </c>
      <c r="EN132" s="59">
        <f t="shared" ref="EN132:EN195" si="128">EM132+(EE132+EF132)*44/12</f>
        <v>283.74392866106689</v>
      </c>
      <c r="EO132" s="59">
        <f ca="1">AVERAGE(OFFSET($EN$3,0,0,'Données projet'!$E$15+1,1))-AVERAGE(OFFSET($H$3,0,0,'Données projet'!$E$15+1,1))</f>
        <v>418.28022549686278</v>
      </c>
      <c r="EP132" s="59">
        <f t="shared" si="100"/>
        <v>354.55070454517158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78.299503966066439</v>
      </c>
      <c r="EW132" s="21">
        <f>EXP(-LN(2)/25)*EW131+(1-EXP(-LN(2)/25))/(LN(2)/25)*Calculateur!ER132*Calculateur!ET132*VLOOKUP('Données projet'!$B$15,Paramètres!$A$1:$I$89,3,0)*0.475*44/12</f>
        <v>18.479298007983591</v>
      </c>
      <c r="EX132" s="21">
        <f>EXP(-LN(2)/2)*EX131+(1-EXP(-LN(2)/2))/(LN(2)/2)*ER132*EU132*VLOOKUP('Données projet'!$B$15,Paramètres!$A$1:$I$89,3,0)*0.475*44/12</f>
        <v>3.3129062934382145E-6</v>
      </c>
      <c r="EY132" s="22">
        <f t="shared" ref="EY132:EY153" si="129">SUM(EV132:EX132)</f>
        <v>96.778805286956313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7.1129999999999995</v>
      </c>
      <c r="FE132" s="12">
        <f>IF('Données projet'!$A$218&gt;35,FE131+FD132-FM131,IF(A132&lt;'Données projet'!$A$218,$FB$205^A132,IF(A132='Données projet'!$A$218,'Données projet'!$B$218,FE131+FD132-FM131)))</f>
        <v>319.23100000000005</v>
      </c>
      <c r="FF132" s="17">
        <f>FE132*VLOOKUP('Données projet'!$B$16,Paramètres!$A$1:$I$89,3,0)*VLOOKUP('Données projet'!$B$16,Paramètres!$A$1:$I$89,5,0)</f>
        <v>363.54026280000005</v>
      </c>
      <c r="FG132" s="13">
        <f t="shared" si="101"/>
        <v>84.344403029550918</v>
      </c>
      <c r="FH132" s="20">
        <f t="shared" ref="FH132:FH153" si="130">(FF132+FG132)*0.475*44/12</f>
        <v>780.06579298646784</v>
      </c>
      <c r="FI132" s="59">
        <f t="shared" ref="FI132:FI195" si="131">FH132+(EZ132+FA132)*44/12</f>
        <v>1063.8097216475333</v>
      </c>
      <c r="FJ132" s="59">
        <f ca="1">AVERAGE(OFFSET($FI$3,0,0,'Données projet'!$E$16+1,1))-AVERAGE(OFFSET($H$3,0,0,'Données projet'!$E$16+1,1))</f>
        <v>640.05156427113661</v>
      </c>
      <c r="FK132" s="59">
        <f t="shared" si="102"/>
        <v>308.77220155372902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24.96885244561587</v>
      </c>
      <c r="FR132" s="21">
        <f>EXP(-LN(2)/25)*FR131+(1-EXP(-LN(2)/25))/(LN(2)/25)*Calculateur!FM132*Calculateur!FO132*VLOOKUP('Données projet'!$B$16,Paramètres!$A$1:$I$89,3,0)*0.475*44/12</f>
        <v>23.632757153844231</v>
      </c>
      <c r="FS132" s="21">
        <f>EXP(-LN(2)/2)*FS131+(1-EXP(-LN(2)/2))/(LN(2)/2)*FM132*FP132*VLOOKUP('Données projet'!$B$16,Paramètres!$A$1:$I$89,3,0)*0.475*44/12</f>
        <v>0.45350200113033684</v>
      </c>
      <c r="FT132" s="22">
        <f t="shared" ref="FT132:FT153" si="132">SUM(FQ132:FS132)</f>
        <v>49.055111600590443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283.9102833934341</v>
      </c>
      <c r="S133" s="59">
        <f ca="1">AVERAGE(OFFSET($R$3,0,0,'Données projet'!$E$9+1,1))-AVERAGE(OFFSET($H$3,0,0,'Données projet'!$E$9+1,1))</f>
        <v>318.50474972254085</v>
      </c>
      <c r="T133" s="59">
        <f t="shared" ref="T133:T196" si="142">$T$3</f>
        <v>326.45858332753562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34.71727722986612</v>
      </c>
      <c r="AA133" s="21">
        <f>EXP(-LN(2)/25)*AA132+(1-EXP(-LN(2)/25))/(LN(2)/25)*Calculateur!V133*Calculateur!X133*VLOOKUP('Données projet'!$B$9,Paramètres!$A$1:$I$89,3,0)*0.475*44/12</f>
        <v>6.9554428838177129</v>
      </c>
      <c r="AB133" s="21">
        <f>EXP(-LN(2)/2)*AB132+(1-EXP(-LN(2)/2))/(LN(2)/2)*V133*Y133*VLOOKUP('Données projet'!$B$9,Paramètres!$A$1:$I$89,3,0)*0.475*44/12</f>
        <v>1.745107665872012E-9</v>
      </c>
      <c r="AC133" s="22">
        <f t="shared" si="111"/>
        <v>41.672720115428938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5.7330000000000014</v>
      </c>
      <c r="AI133" s="13">
        <f>IF('Données projet'!$A$62&gt;35,AI132+AH133-AQ132,IF(A133&lt;'Données projet'!$A$62,$AF$205^A133,IF(A133='Données projet'!$A$62,'Données projet'!$B$62,AI132+AH133-AQ132)))</f>
        <v>292.62700000000018</v>
      </c>
      <c r="AJ133" s="13">
        <f>AI133*VLOOKUP('Données projet'!$B$10,Paramètres!$A$1:$I$89,3,0)*VLOOKUP('Données projet'!$B$10,Paramètres!$A$1:$I$89,5,0)</f>
        <v>136.94943600000008</v>
      </c>
      <c r="AK133" s="13">
        <f t="shared" ref="AK133:AK153" si="143">EXP(-1.0587+0.8836*LN(AJ133)+0.284)</f>
        <v>35.59727060496035</v>
      </c>
      <c r="AL133" s="20">
        <f t="shared" si="112"/>
        <v>300.51884733697273</v>
      </c>
      <c r="AM133" s="59">
        <f t="shared" si="113"/>
        <v>584.42913073040484</v>
      </c>
      <c r="AN133" s="59">
        <f ca="1">AVERAGE(OFFSET($AM$3,0,0,'Données projet'!$E$10+1,1))-AVERAGE(OFFSET($H$3,0,0,'Données projet'!$E$10+1,1))</f>
        <v>374.38106339726073</v>
      </c>
      <c r="AO133" s="59">
        <f t="shared" ref="AO133:AO196" si="144">$AO$3</f>
        <v>296.53283288925957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86.01197864261735</v>
      </c>
      <c r="AV133" s="21">
        <f>EXP(-LN(2)/25)*AV132+(1-EXP(-LN(2)/25))/(LN(2)/25)*Calculateur!AQ133*Calculateur!AS133*VLOOKUP('Données projet'!$B$10,Paramètres!$A$1:$I$89,3,0)*0.475*44/12</f>
        <v>25.309962936187233</v>
      </c>
      <c r="AW133" s="21">
        <f>EXP(-LN(2)/2)*AW132+(1-EXP(-LN(2)/2))/(LN(2)/2)*AQ133*AT133*VLOOKUP('Données projet'!$B$10,Paramètres!$A$1:$I$89,3,0)*0.475*44/12</f>
        <v>1.116341926901852</v>
      </c>
      <c r="AX133" s="21">
        <f t="shared" si="114"/>
        <v>112.43828350570644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9.0229999999999961</v>
      </c>
      <c r="BD133" s="12">
        <f>IF('Données projet'!$A$88&gt;35,BD132+BC133-BL132,IF(A133&lt;'Données projet'!$A$88,$BA$205^A133,IF(A133='Données projet'!$A$88,'Données projet'!$B$88,BD132+BC133-BL132)))</f>
        <v>448.18800000000078</v>
      </c>
      <c r="BE133" s="13">
        <f>BD133*VLOOKUP('Données projet'!$B$11,Paramètres!$A$1:$I$89,3,0)*VLOOKUP('Données projet'!$B$11,Paramètres!$A$1:$I$89,5,0)</f>
        <v>405.52050240000068</v>
      </c>
      <c r="BF133" s="13">
        <f t="shared" ref="BF133:BF153" si="145">EXP(-1.0587+0.8836*LN(BE133)+0.284)</f>
        <v>92.894967969753338</v>
      </c>
      <c r="BG133" s="20">
        <f t="shared" si="115"/>
        <v>868.07361089398819</v>
      </c>
      <c r="BH133" s="59">
        <f t="shared" si="116"/>
        <v>1151.9838942874203</v>
      </c>
      <c r="BI133" s="59">
        <f ca="1">AVERAGE(OFFSET($BH$3,0,0,'Données projet'!$E$11+1,1))-AVERAGE(OFFSET($H$3,0,0,'Données projet'!$E$11+1,1))</f>
        <v>681.47578137804555</v>
      </c>
      <c r="BJ133" s="59">
        <f t="shared" ref="BJ133:BJ196" si="146">$BJ$3</f>
        <v>300.88511065995885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34.286882343143766</v>
      </c>
      <c r="BQ133" s="21">
        <f>EXP(-LN(2)/25)*BQ132+(1-EXP(-LN(2)/25))/(LN(2)/25)*Calculateur!BL133*Calculateur!BN133*VLOOKUP('Données projet'!$B$11,Paramètres!$A$1:$I$89,3,0)*0.475*44/12</f>
        <v>20.738039431624053</v>
      </c>
      <c r="BR133" s="21">
        <f>EXP(-LN(2)/2)*BR132+(1-EXP(-LN(2)/2))/(LN(2)/2)*BL133*BO133*VLOOKUP('Données projet'!$B$11,Paramètres!$A$1:$I$89,3,0)*0.475*44/12</f>
        <v>0.638247542190579</v>
      </c>
      <c r="BS133" s="22">
        <f t="shared" si="117"/>
        <v>55.663169316958395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8.5265128291212022E-14</v>
      </c>
      <c r="BZ133" s="13">
        <f>BY133*VLOOKUP('Données projet'!$B$12,Paramètres!$A$1:$I$89,3,0)*VLOOKUP('Données projet'!$B$12,Paramètres!$A$1:$I$89,5,0)</f>
        <v>8.9119112089974823E-14</v>
      </c>
      <c r="CA133" s="13">
        <f t="shared" ref="CA133:CA153" si="147">EXP(-1.0587+0.8836*LN(BZ133)+0.284)</f>
        <v>1.3568952080113142E-12</v>
      </c>
      <c r="CB133" s="20">
        <f t="shared" si="118"/>
        <v>2.5184749408430782E-12</v>
      </c>
      <c r="CC133" s="59">
        <f t="shared" si="119"/>
        <v>283.91028339343461</v>
      </c>
      <c r="CD133" s="59">
        <f ca="1">AVERAGE(OFFSET($CC$3,0,0,'Données projet'!$E$12+1,1))-AVERAGE(OFFSET($H$3,0,0,'Données projet'!$E$12+1,1))</f>
        <v>290.69667785754848</v>
      </c>
      <c r="CE133" s="59">
        <f t="shared" ref="CE133:CE196" si="148">$CE$3</f>
        <v>256.28124185489082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9.8259994028513837</v>
      </c>
      <c r="CL133" s="21">
        <f>EXP(-LN(2)/25)*CL132+(1-EXP(-LN(2)/25))/(LN(2)/25)*Calculateur!CG133*Calculateur!CI133*VLOOKUP('Données projet'!$B$12,Paramètres!$A$1:$I$89,3,0)*0.475*44/12</f>
        <v>19.781839205578645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29.607838608430029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408.246209980743</v>
      </c>
      <c r="CZ133" s="59">
        <f t="shared" ref="CZ133:CZ196" si="150">$CZ$3</f>
        <v>394.10236303013903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21.204533425815242</v>
      </c>
      <c r="DG133" s="21">
        <f>EXP(-LN(2)/25)*DG132+(1-EXP(-LN(2)/25))/(LN(2)/25)*Calculateur!DB133*Calculateur!DD133*VLOOKUP('Données projet'!$B$13,Paramètres!$A$1:$I$89,3,0)*0.475*44/12</f>
        <v>14.088871682616753</v>
      </c>
      <c r="DH133" s="21">
        <f>EXP(-LN(2)/2)*DH132+(1-EXP(-LN(2)/2))/(LN(2)/2)*DB133*DE133*VLOOKUP('Données projet'!$B$13,Paramètres!$A$1:$I$89,3,0)*0.475*44/12</f>
        <v>2.0426827245170361E-6</v>
      </c>
      <c r="DI133" s="22">
        <f t="shared" si="123"/>
        <v>35.293407151114721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5.6843418860808015E-13</v>
      </c>
      <c r="DP133" s="17">
        <f>DO133*VLOOKUP('Données projet'!$B$14,Paramètres!$A$1:$I$89,3,0)*VLOOKUP('Données projet'!$B$14,Paramètres!$A$1:$I$89,5,0)</f>
        <v>3.177547114319168E-13</v>
      </c>
      <c r="DQ133" s="13">
        <f t="shared" ref="DQ133:DQ153" si="151">EXP(-1.0587+0.8836*LN(DP133)+0.284)</f>
        <v>4.1725404435445377E-12</v>
      </c>
      <c r="DR133" s="20">
        <f t="shared" si="124"/>
        <v>7.820597394917325E-12</v>
      </c>
      <c r="DS133" s="59">
        <f t="shared" si="125"/>
        <v>283.91028339343995</v>
      </c>
      <c r="DT133" s="59">
        <f ca="1">AVERAGE(OFFSET($DS$3,0,0,'Données projet'!$E$14+1,1))-AVERAGE(OFFSET($H$3,0,0,'Données projet'!$E$14+1,1))</f>
        <v>407.05634973057056</v>
      </c>
      <c r="DU133" s="59">
        <f t="shared" ref="DU133:DU196" si="152">$DU$3</f>
        <v>375.32891954889965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70.32145940331219</v>
      </c>
      <c r="EB133" s="21">
        <f>EXP(-LN(2)/25)*EB132+(1-EXP(-LN(2)/25))/(LN(2)/25)*Calculateur!DW133*Calculateur!DY133*VLOOKUP('Données projet'!$B$14,Paramètres!$A$1:$I$89,3,0)*0.475*44/12</f>
        <v>14.542797470695454</v>
      </c>
      <c r="EC133" s="21">
        <f>EXP(-LN(2)/2)*EC132+(1-EXP(-LN(2)/2))/(LN(2)/2)*DW133*DZ133*VLOOKUP('Données projet'!$B$14,Paramètres!$A$1:$I$89,3,0)*0.475*44/12</f>
        <v>7.0319999310020273E-8</v>
      </c>
      <c r="ED133" s="22">
        <f t="shared" si="126"/>
        <v>84.86425694432765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1.1368683772161603E-13</v>
      </c>
      <c r="EK133" s="17">
        <f>EJ133*VLOOKUP('Données projet'!$B$15,Paramètres!$A$1:$I$89,3,0)*VLOOKUP('Données projet'!$B$15,Paramètres!$A$1:$I$89,5,0)</f>
        <v>5.0249582272954292E-14</v>
      </c>
      <c r="EL133" s="13">
        <f t="shared" ref="EL133:EL153" si="153">EXP(-1.0587+0.8836*LN(EK133)+0.284)</f>
        <v>8.1784820119191593E-13</v>
      </c>
      <c r="EM133" s="20">
        <f t="shared" si="127"/>
        <v>1.5119369728679821E-12</v>
      </c>
      <c r="EN133" s="59">
        <f t="shared" si="128"/>
        <v>283.91028339343364</v>
      </c>
      <c r="EO133" s="59">
        <f ca="1">AVERAGE(OFFSET($EN$3,0,0,'Données projet'!$E$15+1,1))-AVERAGE(OFFSET($H$3,0,0,'Données projet'!$E$15+1,1))</f>
        <v>418.28022549686278</v>
      </c>
      <c r="EP133" s="59">
        <f t="shared" ref="EP133:EP196" si="154">$EP$3</f>
        <v>354.55070454517158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76.764098451273583</v>
      </c>
      <c r="EW133" s="21">
        <f>EXP(-LN(2)/25)*EW132+(1-EXP(-LN(2)/25))/(LN(2)/25)*Calculateur!ER133*Calculateur!ET133*VLOOKUP('Données projet'!$B$15,Paramètres!$A$1:$I$89,3,0)*0.475*44/12</f>
        <v>17.973980632171234</v>
      </c>
      <c r="EX133" s="21">
        <f>EXP(-LN(2)/2)*EX132+(1-EXP(-LN(2)/2))/(LN(2)/2)*ER133*EU133*VLOOKUP('Données projet'!$B$15,Paramètres!$A$1:$I$89,3,0)*0.475*44/12</f>
        <v>2.3425785055257517E-6</v>
      </c>
      <c r="EY133" s="22">
        <f t="shared" si="129"/>
        <v>94.738081426023328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7.1129999999999995</v>
      </c>
      <c r="FE133" s="12">
        <f>IF('Données projet'!$A$218&gt;35,FE132+FD133-FM132,IF(A133&lt;'Données projet'!$A$218,$FB$205^A133,IF(A133='Données projet'!$A$218,'Données projet'!$B$218,FE132+FD133-FM132)))</f>
        <v>326.34400000000005</v>
      </c>
      <c r="FF133" s="17">
        <f>FE133*VLOOKUP('Données projet'!$B$16,Paramètres!$A$1:$I$89,3,0)*VLOOKUP('Données projet'!$B$16,Paramètres!$A$1:$I$89,5,0)</f>
        <v>371.64054720000007</v>
      </c>
      <c r="FG133" s="13">
        <f t="shared" ref="FG133:FG153" si="155">EXP(-1.0587+0.8836*LN(FF133)+0.284)</f>
        <v>86.002846955826783</v>
      </c>
      <c r="FH133" s="20">
        <f t="shared" si="130"/>
        <v>797.06224482139839</v>
      </c>
      <c r="FI133" s="59">
        <f t="shared" si="131"/>
        <v>1080.9725282148306</v>
      </c>
      <c r="FJ133" s="59">
        <f ca="1">AVERAGE(OFFSET($FI$3,0,0,'Données projet'!$E$16+1,1))-AVERAGE(OFFSET($H$3,0,0,'Données projet'!$E$16+1,1))</f>
        <v>640.05156427113661</v>
      </c>
      <c r="FK133" s="59">
        <f t="shared" ref="FK133:FK196" si="156">$FK$3</f>
        <v>308.77220155372902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24.479228478653546</v>
      </c>
      <c r="FR133" s="21">
        <f>EXP(-LN(2)/25)*FR132+(1-EXP(-LN(2)/25))/(LN(2)/25)*Calculateur!FM133*Calculateur!FO133*VLOOKUP('Données projet'!$B$16,Paramètres!$A$1:$I$89,3,0)*0.475*44/12</f>
        <v>22.986518166679677</v>
      </c>
      <c r="FS133" s="21">
        <f>EXP(-LN(2)/2)*FS132+(1-EXP(-LN(2)/2))/(LN(2)/2)*FM133*FP133*VLOOKUP('Données projet'!$B$16,Paramètres!$A$1:$I$89,3,0)*0.475*44/12</f>
        <v>0.32067434028093056</v>
      </c>
      <c r="FT133" s="22">
        <f t="shared" si="132"/>
        <v>47.786420985614157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284.07375224310772</v>
      </c>
      <c r="S134" s="59">
        <f ca="1">AVERAGE(OFFSET($R$3,0,0,'Données projet'!$E$9+1,1))-AVERAGE(OFFSET($H$3,0,0,'Données projet'!$E$9+1,1))</f>
        <v>318.50474972254085</v>
      </c>
      <c r="T134" s="59">
        <f t="shared" si="142"/>
        <v>326.45858332753562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34.036492598836652</v>
      </c>
      <c r="AA134" s="21">
        <f>EXP(-LN(2)/25)*AA133+(1-EXP(-LN(2)/25))/(LN(2)/25)*Calculateur!V134*Calculateur!X134*VLOOKUP('Données projet'!$B$9,Paramètres!$A$1:$I$89,3,0)*0.475*44/12</f>
        <v>6.765245932388873</v>
      </c>
      <c r="AB134" s="21">
        <f>EXP(-LN(2)/2)*AB133+(1-EXP(-LN(2)/2))/(LN(2)/2)*V134*Y134*VLOOKUP('Données projet'!$B$9,Paramètres!$A$1:$I$89,3,0)*0.475*44/12</f>
        <v>1.2339774644387274E-9</v>
      </c>
      <c r="AC134" s="22">
        <f t="shared" si="111"/>
        <v>40.801738532459503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298.36</v>
      </c>
      <c r="AG134" s="12">
        <f>VLOOKUP(A134,'Données projet'!$A$61:$I$81,9,0)</f>
        <v>5.7330000000000014</v>
      </c>
      <c r="AH134" s="12">
        <f t="array" ref="AH134">INDEX(AG:AG,MIN(IF(ISNUMBER(AG134:AG330),ROW(AG134:AG330),"")))</f>
        <v>5.7330000000000014</v>
      </c>
      <c r="AI134" s="13">
        <f>IF('Données projet'!$A$62&gt;35,AI133+AH134-AQ133,IF(A134&lt;'Données projet'!$A$62,$AF$205^A134,IF(A134='Données projet'!$A$62,'Données projet'!$B$62,AI133+AH134-AQ133)))</f>
        <v>298.36000000000018</v>
      </c>
      <c r="AJ134" s="13">
        <f>AI134*VLOOKUP('Données projet'!$B$10,Paramètres!$A$1:$I$89,3,0)*VLOOKUP('Données projet'!$B$10,Paramètres!$A$1:$I$89,5,0)</f>
        <v>139.6324800000001</v>
      </c>
      <c r="AK134" s="13">
        <f t="shared" si="143"/>
        <v>36.212798947921591</v>
      </c>
      <c r="AL134" s="20">
        <f t="shared" si="112"/>
        <v>306.26386083429691</v>
      </c>
      <c r="AM134" s="59">
        <f t="shared" si="113"/>
        <v>590.33761307740269</v>
      </c>
      <c r="AN134" s="59">
        <f ca="1">AVERAGE(OFFSET($AM$3,0,0,'Données projet'!$E$10+1,1))-AVERAGE(OFFSET($H$3,0,0,'Données projet'!$E$10+1,1))</f>
        <v>374.38106339726073</v>
      </c>
      <c r="AO134" s="59">
        <f t="shared" si="144"/>
        <v>296.53283288925957</v>
      </c>
      <c r="AP134" s="15">
        <f>IF(ISNA(VLOOKUP(A134,'Données projet'!$A$61:$I$81,3,0)),0,VLOOKUP(A134,'Données projet'!$A$61:$I$81,3,0))</f>
        <v>8</v>
      </c>
      <c r="AQ134" s="15">
        <f>IF(ISNA(VLOOKUP(A134,'Données projet'!$A$61:$I$81,4,0)),0,VLOOKUP(A134,'Données projet'!$A$61:$I$81,4,0))</f>
        <v>298.36</v>
      </c>
      <c r="AR134" s="16">
        <f>IF(ISNA(VLOOKUP(A134,'Données projet'!$A$61:$I$81,5,0)),0%,VLOOKUP(A134,'Données projet'!$A$61:$I$81,5,0)*VLOOKUP('Données projet'!$B$10,Paramètres!$A$1:$I$89,7,0))</f>
        <v>0.33</v>
      </c>
      <c r="AS134" s="16">
        <f>IF(ISNA(VLOOKUP(A134,'Données projet'!$A$61:$I$81,6,0)),0%,VLOOKUP(A134,'Données projet'!$A$61:$I$81,6,0)*VLOOKUP('Données projet'!$B$10,Paramètres!$A$1:$I$89,7,0))</f>
        <v>0.11000000000000001</v>
      </c>
      <c r="AT134" s="16">
        <f>IF(ISNA(VLOOKUP(A134,'Données projet'!$A$61:$I$81,7,0)),0%,VLOOKUP(A134,'Données projet'!$A$61:$I$81,7,0))</f>
        <v>0.2</v>
      </c>
      <c r="AU134" s="21">
        <f>EXP(-LN(2)/35)*AU133+(1-EXP(-LN(2)/35))/(LN(2)/35)*AQ134*AR134*VLOOKUP('Données projet'!$B$10,Paramètres!$A$1:$I$89,3,0)*0.475*44/12</f>
        <v>145.4517261852103</v>
      </c>
      <c r="AV134" s="21">
        <f>EXP(-LN(2)/25)*AV133+(1-EXP(-LN(2)/25))/(LN(2)/25)*Calculateur!AQ134*Calculateur!AS134*VLOOKUP('Données projet'!$B$10,Paramètres!$A$1:$I$89,3,0)*0.475*44/12</f>
        <v>44.913098033140628</v>
      </c>
      <c r="AW134" s="21">
        <f>EXP(-LN(2)/2)*AW133+(1-EXP(-LN(2)/2))/(LN(2)/2)*AQ134*AT134*VLOOKUP('Données projet'!$B$10,Paramètres!$A$1:$I$89,3,0)*0.475*44/12</f>
        <v>32.408653674578815</v>
      </c>
      <c r="AX134" s="21">
        <f t="shared" si="114"/>
        <v>222.77347789292975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9.0229999999999961</v>
      </c>
      <c r="BD134" s="12">
        <f>IF('Données projet'!$A$88&gt;35,BD133+BC134-BL133,IF(A134&lt;'Données projet'!$A$88,$BA$205^A134,IF(A134='Données projet'!$A$88,'Données projet'!$B$88,BD133+BC134-BL133)))</f>
        <v>457.21100000000081</v>
      </c>
      <c r="BE134" s="13">
        <f>BD134*VLOOKUP('Données projet'!$B$11,Paramètres!$A$1:$I$89,3,0)*VLOOKUP('Données projet'!$B$11,Paramètres!$A$1:$I$89,5,0)</f>
        <v>413.68451280000073</v>
      </c>
      <c r="BF134" s="13">
        <f t="shared" si="145"/>
        <v>94.545535312483779</v>
      </c>
      <c r="BG134" s="20">
        <f t="shared" si="115"/>
        <v>885.16733379591051</v>
      </c>
      <c r="BH134" s="59">
        <f t="shared" si="116"/>
        <v>1169.2410860390162</v>
      </c>
      <c r="BI134" s="59">
        <f ca="1">AVERAGE(OFFSET($BH$3,0,0,'Données projet'!$E$11+1,1))-AVERAGE(OFFSET($H$3,0,0,'Données projet'!$E$11+1,1))</f>
        <v>681.47578137804555</v>
      </c>
      <c r="BJ134" s="59">
        <f t="shared" si="146"/>
        <v>300.88511065995885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33.614537493327965</v>
      </c>
      <c r="BQ134" s="21">
        <f>EXP(-LN(2)/25)*BQ133+(1-EXP(-LN(2)/25))/(LN(2)/25)*Calculateur!BL134*Calculateur!BN134*VLOOKUP('Données projet'!$B$11,Paramètres!$A$1:$I$89,3,0)*0.475*44/12</f>
        <v>20.170956652800196</v>
      </c>
      <c r="BR134" s="21">
        <f>EXP(-LN(2)/2)*BR133+(1-EXP(-LN(2)/2))/(LN(2)/2)*BL134*BO134*VLOOKUP('Données projet'!$B$11,Paramètres!$A$1:$I$89,3,0)*0.475*44/12</f>
        <v>0.45130916515860553</v>
      </c>
      <c r="BS134" s="22">
        <f t="shared" si="117"/>
        <v>54.236803311286764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8.5265128291212022E-14</v>
      </c>
      <c r="BZ134" s="13">
        <f>BY134*VLOOKUP('Données projet'!$B$12,Paramètres!$A$1:$I$89,3,0)*VLOOKUP('Données projet'!$B$12,Paramètres!$A$1:$I$89,5,0)</f>
        <v>8.9119112089974823E-14</v>
      </c>
      <c r="CA134" s="13">
        <f t="shared" si="147"/>
        <v>1.3568952080113142E-12</v>
      </c>
      <c r="CB134" s="20">
        <f t="shared" si="118"/>
        <v>2.5184749408430782E-12</v>
      </c>
      <c r="CC134" s="59">
        <f t="shared" si="119"/>
        <v>284.07375224310823</v>
      </c>
      <c r="CD134" s="59">
        <f ca="1">AVERAGE(OFFSET($CC$3,0,0,'Données projet'!$E$12+1,1))-AVERAGE(OFFSET($H$3,0,0,'Données projet'!$E$12+1,1))</f>
        <v>290.69667785754848</v>
      </c>
      <c r="CE134" s="59">
        <f t="shared" si="148"/>
        <v>256.28124185489082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9.6333175478293178</v>
      </c>
      <c r="CL134" s="21">
        <f>EXP(-LN(2)/25)*CL133+(1-EXP(-LN(2)/25))/(LN(2)/25)*Calculateur!CG134*Calculateur!CI134*VLOOKUP('Données projet'!$B$12,Paramètres!$A$1:$I$89,3,0)*0.475*44/12</f>
        <v>19.240903772220385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28.874221320049703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408.246209980743</v>
      </c>
      <c r="CZ134" s="59">
        <f t="shared" si="150"/>
        <v>394.10236303013903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20.788725458823318</v>
      </c>
      <c r="DG134" s="21">
        <f>EXP(-LN(2)/25)*DG133+(1-EXP(-LN(2)/25))/(LN(2)/25)*Calculateur!DB134*Calculateur!DD134*VLOOKUP('Données projet'!$B$13,Paramètres!$A$1:$I$89,3,0)*0.475*44/12</f>
        <v>13.703610745554037</v>
      </c>
      <c r="DH134" s="21">
        <f>EXP(-LN(2)/2)*DH133+(1-EXP(-LN(2)/2))/(LN(2)/2)*DB134*DE134*VLOOKUP('Données projet'!$B$13,Paramètres!$A$1:$I$89,3,0)*0.475*44/12</f>
        <v>1.4443948063186086E-6</v>
      </c>
      <c r="DI134" s="22">
        <f t="shared" si="123"/>
        <v>34.492337648772157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5.6843418860808015E-13</v>
      </c>
      <c r="DP134" s="17">
        <f>DO134*VLOOKUP('Données projet'!$B$14,Paramètres!$A$1:$I$89,3,0)*VLOOKUP('Données projet'!$B$14,Paramètres!$A$1:$I$89,5,0)</f>
        <v>3.177547114319168E-13</v>
      </c>
      <c r="DQ134" s="13">
        <f t="shared" si="151"/>
        <v>4.1725404435445377E-12</v>
      </c>
      <c r="DR134" s="20">
        <f t="shared" si="124"/>
        <v>7.820597394917325E-12</v>
      </c>
      <c r="DS134" s="59">
        <f t="shared" si="125"/>
        <v>284.07375224311357</v>
      </c>
      <c r="DT134" s="59">
        <f ca="1">AVERAGE(OFFSET($DS$3,0,0,'Données projet'!$E$14+1,1))-AVERAGE(OFFSET($H$3,0,0,'Données projet'!$E$14+1,1))</f>
        <v>407.05634973057056</v>
      </c>
      <c r="DU134" s="59">
        <f t="shared" si="152"/>
        <v>375.32891954889965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68.942498476268256</v>
      </c>
      <c r="EB134" s="21">
        <f>EXP(-LN(2)/25)*EB133+(1-EXP(-LN(2)/25))/(LN(2)/25)*Calculateur!DW134*Calculateur!DY134*VLOOKUP('Données projet'!$B$14,Paramètres!$A$1:$I$89,3,0)*0.475*44/12</f>
        <v>14.145123909086806</v>
      </c>
      <c r="EC134" s="21">
        <f>EXP(-LN(2)/2)*EC133+(1-EXP(-LN(2)/2))/(LN(2)/2)*DW134*DZ134*VLOOKUP('Données projet'!$B$14,Paramètres!$A$1:$I$89,3,0)*0.475*44/12</f>
        <v>4.9723748365148679E-8</v>
      </c>
      <c r="ED134" s="22">
        <f t="shared" si="126"/>
        <v>83.087622435078814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1.1368683772161603E-13</v>
      </c>
      <c r="EK134" s="17">
        <f>EJ134*VLOOKUP('Données projet'!$B$15,Paramètres!$A$1:$I$89,3,0)*VLOOKUP('Données projet'!$B$15,Paramètres!$A$1:$I$89,5,0)</f>
        <v>5.0249582272954292E-14</v>
      </c>
      <c r="EL134" s="13">
        <f t="shared" si="153"/>
        <v>8.1784820119191593E-13</v>
      </c>
      <c r="EM134" s="20">
        <f t="shared" si="127"/>
        <v>1.5119369728679821E-12</v>
      </c>
      <c r="EN134" s="59">
        <f t="shared" si="128"/>
        <v>284.07375224310726</v>
      </c>
      <c r="EO134" s="59">
        <f ca="1">AVERAGE(OFFSET($EN$3,0,0,'Données projet'!$E$15+1,1))-AVERAGE(OFFSET($H$3,0,0,'Données projet'!$E$15+1,1))</f>
        <v>418.28022549686278</v>
      </c>
      <c r="EP134" s="59">
        <f t="shared" si="154"/>
        <v>354.55070454517158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75.258801302120929</v>
      </c>
      <c r="EW134" s="21">
        <f>EXP(-LN(2)/25)*EW133+(1-EXP(-LN(2)/25))/(LN(2)/25)*Calculateur!ER134*Calculateur!ET134*VLOOKUP('Données projet'!$B$15,Paramètres!$A$1:$I$89,3,0)*0.475*44/12</f>
        <v>17.482481186573949</v>
      </c>
      <c r="EX134" s="21">
        <f>EXP(-LN(2)/2)*EX133+(1-EXP(-LN(2)/2))/(LN(2)/2)*ER134*EU134*VLOOKUP('Données projet'!$B$15,Paramètres!$A$1:$I$89,3,0)*0.475*44/12</f>
        <v>1.6564531467191073E-6</v>
      </c>
      <c r="EY134" s="22">
        <f t="shared" si="129"/>
        <v>92.741284145148029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7.1129999999999995</v>
      </c>
      <c r="FE134" s="12">
        <f>IF('Données projet'!$A$218&gt;35,FE133+FD134-FM133,IF(A134&lt;'Données projet'!$A$218,$FB$205^A134,IF(A134='Données projet'!$A$218,'Données projet'!$B$218,FE133+FD134-FM133)))</f>
        <v>333.45700000000005</v>
      </c>
      <c r="FF134" s="17">
        <f>FE134*VLOOKUP('Données projet'!$B$16,Paramètres!$A$1:$I$89,3,0)*VLOOKUP('Données projet'!$B$16,Paramètres!$A$1:$I$89,5,0)</f>
        <v>379.74083160000004</v>
      </c>
      <c r="FG134" s="13">
        <f t="shared" si="155"/>
        <v>87.657088297183577</v>
      </c>
      <c r="FH134" s="20">
        <f t="shared" si="130"/>
        <v>814.05137715426144</v>
      </c>
      <c r="FI134" s="59">
        <f t="shared" si="131"/>
        <v>1098.1251293973671</v>
      </c>
      <c r="FJ134" s="59">
        <f ca="1">AVERAGE(OFFSET($FI$3,0,0,'Données projet'!$E$16+1,1))-AVERAGE(OFFSET($H$3,0,0,'Données projet'!$E$16+1,1))</f>
        <v>640.05156427113661</v>
      </c>
      <c r="FK134" s="59">
        <f t="shared" si="156"/>
        <v>308.77220155372902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23.999205739042221</v>
      </c>
      <c r="FR134" s="21">
        <f>EXP(-LN(2)/25)*FR133+(1-EXP(-LN(2)/25))/(LN(2)/25)*Calculateur!FM134*Calculateur!FO134*VLOOKUP('Données projet'!$B$16,Paramètres!$A$1:$I$89,3,0)*0.475*44/12</f>
        <v>22.357950618603368</v>
      </c>
      <c r="FS134" s="21">
        <f>EXP(-LN(2)/2)*FS133+(1-EXP(-LN(2)/2))/(LN(2)/2)*FM134*FP134*VLOOKUP('Données projet'!$B$16,Paramètres!$A$1:$I$89,3,0)*0.475*44/12</f>
        <v>0.22675100056516848</v>
      </c>
      <c r="FT134" s="22">
        <f t="shared" si="132"/>
        <v>46.583907358210759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284.23438527370115</v>
      </c>
      <c r="S135" s="59">
        <f ca="1">AVERAGE(OFFSET($R$3,0,0,'Données projet'!$E$9+1,1))-AVERAGE(OFFSET($H$3,0,0,'Données projet'!$E$9+1,1))</f>
        <v>318.50474972254085</v>
      </c>
      <c r="T135" s="59">
        <f t="shared" si="142"/>
        <v>326.45858332753562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33.369057739184051</v>
      </c>
      <c r="AA135" s="21">
        <f>EXP(-LN(2)/25)*AA134+(1-EXP(-LN(2)/25))/(LN(2)/25)*Calculateur!V135*Calculateur!X135*VLOOKUP('Données projet'!$B$9,Paramètres!$A$1:$I$89,3,0)*0.475*44/12</f>
        <v>6.5802499265988779</v>
      </c>
      <c r="AB135" s="21">
        <f>EXP(-LN(2)/2)*AB134+(1-EXP(-LN(2)/2))/(LN(2)/2)*V135*Y135*VLOOKUP('Données projet'!$B$9,Paramètres!$A$1:$I$89,3,0)*0.475*44/12</f>
        <v>8.7255383293600598E-10</v>
      </c>
      <c r="AC135" s="22">
        <f t="shared" si="111"/>
        <v>39.949307666655478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1.7053025658242404E-13</v>
      </c>
      <c r="AJ135" s="13">
        <f>AI135*VLOOKUP('Données projet'!$B$10,Paramètres!$A$1:$I$89,3,0)*VLOOKUP('Données projet'!$B$10,Paramètres!$A$1:$I$89,5,0)</f>
        <v>7.9808160080574461E-14</v>
      </c>
      <c r="AK135" s="13">
        <f t="shared" si="143"/>
        <v>1.2308384591775343E-12</v>
      </c>
      <c r="AL135" s="20">
        <f t="shared" si="112"/>
        <v>2.282709528541206E-12</v>
      </c>
      <c r="AM135" s="59">
        <f t="shared" si="113"/>
        <v>284.23438527370143</v>
      </c>
      <c r="AN135" s="59">
        <f ca="1">AVERAGE(OFFSET($AM$3,0,0,'Données projet'!$E$10+1,1))-AVERAGE(OFFSET($H$3,0,0,'Données projet'!$E$10+1,1))</f>
        <v>374.38106339726073</v>
      </c>
      <c r="AO135" s="59">
        <f t="shared" si="144"/>
        <v>296.53283288925957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142.59950655151124</v>
      </c>
      <c r="AV135" s="21">
        <f>EXP(-LN(2)/25)*AV134+(1-EXP(-LN(2)/25))/(LN(2)/25)*Calculateur!AQ135*Calculateur!AS135*VLOOKUP('Données projet'!$B$10,Paramètres!$A$1:$I$89,3,0)*0.475*44/12</f>
        <v>43.684947005547222</v>
      </c>
      <c r="AW135" s="21">
        <f>EXP(-LN(2)/2)*AW134+(1-EXP(-LN(2)/2))/(LN(2)/2)*AQ135*AT135*VLOOKUP('Données projet'!$B$10,Paramètres!$A$1:$I$89,3,0)*0.475*44/12</f>
        <v>22.916378782421003</v>
      </c>
      <c r="AX135" s="21">
        <f t="shared" si="114"/>
        <v>209.20083233947946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9.0229999999999961</v>
      </c>
      <c r="BD135" s="12">
        <f>IF('Données projet'!$A$88&gt;35,BD134+BC135-BL134,IF(A135&lt;'Données projet'!$A$88,$BA$205^A135,IF(A135='Données projet'!$A$88,'Données projet'!$B$88,BD134+BC135-BL134)))</f>
        <v>466.23400000000083</v>
      </c>
      <c r="BE135" s="13">
        <f>BD135*VLOOKUP('Données projet'!$B$11,Paramètres!$A$1:$I$89,3,0)*VLOOKUP('Données projet'!$B$11,Paramètres!$A$1:$I$89,5,0)</f>
        <v>421.84852320000078</v>
      </c>
      <c r="BF135" s="13">
        <f t="shared" si="145"/>
        <v>96.192315164348642</v>
      </c>
      <c r="BG135" s="20">
        <f t="shared" si="115"/>
        <v>902.2544601512418</v>
      </c>
      <c r="BH135" s="59">
        <f t="shared" si="116"/>
        <v>1186.488845424941</v>
      </c>
      <c r="BI135" s="59">
        <f ca="1">AVERAGE(OFFSET($BH$3,0,0,'Données projet'!$E$11+1,1))-AVERAGE(OFFSET($H$3,0,0,'Données projet'!$E$11+1,1))</f>
        <v>681.47578137804555</v>
      </c>
      <c r="BJ135" s="59">
        <f t="shared" si="146"/>
        <v>300.88511065995885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32.955376915927189</v>
      </c>
      <c r="BQ135" s="21">
        <f>EXP(-LN(2)/25)*BQ134+(1-EXP(-LN(2)/25))/(LN(2)/25)*Calculateur!BL135*Calculateur!BN135*VLOOKUP('Données projet'!$B$11,Paramètres!$A$1:$I$89,3,0)*0.475*44/12</f>
        <v>19.619380782384866</v>
      </c>
      <c r="BR135" s="21">
        <f>EXP(-LN(2)/2)*BR134+(1-EXP(-LN(2)/2))/(LN(2)/2)*BL135*BO135*VLOOKUP('Données projet'!$B$11,Paramètres!$A$1:$I$89,3,0)*0.475*44/12</f>
        <v>0.31912377109528955</v>
      </c>
      <c r="BS135" s="22">
        <f t="shared" si="117"/>
        <v>52.893881469407347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8.5265128291212022E-14</v>
      </c>
      <c r="BZ135" s="13">
        <f>BY135*VLOOKUP('Données projet'!$B$12,Paramètres!$A$1:$I$89,3,0)*VLOOKUP('Données projet'!$B$12,Paramètres!$A$1:$I$89,5,0)</f>
        <v>8.9119112089974823E-14</v>
      </c>
      <c r="CA135" s="13">
        <f t="shared" si="147"/>
        <v>1.3568952080113142E-12</v>
      </c>
      <c r="CB135" s="20">
        <f t="shared" si="118"/>
        <v>2.5184749408430782E-12</v>
      </c>
      <c r="CC135" s="59">
        <f t="shared" si="119"/>
        <v>284.23438527370166</v>
      </c>
      <c r="CD135" s="59">
        <f ca="1">AVERAGE(OFFSET($CC$3,0,0,'Données projet'!$E$12+1,1))-AVERAGE(OFFSET($H$3,0,0,'Données projet'!$E$12+1,1))</f>
        <v>290.69667785754848</v>
      </c>
      <c r="CE135" s="59">
        <f t="shared" si="148"/>
        <v>256.28124185489082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9.4444140664599079</v>
      </c>
      <c r="CL135" s="21">
        <f>EXP(-LN(2)/25)*CL134+(1-EXP(-LN(2)/25))/(LN(2)/25)*Calculateur!CG135*Calculateur!CI135*VLOOKUP('Données projet'!$B$12,Paramètres!$A$1:$I$89,3,0)*0.475*44/12</f>
        <v>18.714760246733864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28.159174313193773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408.246209980743</v>
      </c>
      <c r="CZ135" s="59">
        <f t="shared" si="150"/>
        <v>394.10236303013903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20.381071232446288</v>
      </c>
      <c r="DG135" s="21">
        <f>EXP(-LN(2)/25)*DG134+(1-EXP(-LN(2)/25))/(LN(2)/25)*Calculateur!DB135*Calculateur!DD135*VLOOKUP('Données projet'!$B$13,Paramètres!$A$1:$I$89,3,0)*0.475*44/12</f>
        <v>13.328884789075293</v>
      </c>
      <c r="DH135" s="21">
        <f>EXP(-LN(2)/2)*DH134+(1-EXP(-LN(2)/2))/(LN(2)/2)*DB135*DE135*VLOOKUP('Données projet'!$B$13,Paramètres!$A$1:$I$89,3,0)*0.475*44/12</f>
        <v>1.021341362258518E-6</v>
      </c>
      <c r="DI135" s="22">
        <f t="shared" si="123"/>
        <v>33.709957042862939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5.6843418860808015E-13</v>
      </c>
      <c r="DP135" s="17">
        <f>DO135*VLOOKUP('Données projet'!$B$14,Paramètres!$A$1:$I$89,3,0)*VLOOKUP('Données projet'!$B$14,Paramètres!$A$1:$I$89,5,0)</f>
        <v>3.177547114319168E-13</v>
      </c>
      <c r="DQ135" s="13">
        <f t="shared" si="151"/>
        <v>4.1725404435445377E-12</v>
      </c>
      <c r="DR135" s="20">
        <f t="shared" si="124"/>
        <v>7.820597394917325E-12</v>
      </c>
      <c r="DS135" s="59">
        <f t="shared" si="125"/>
        <v>284.23438527370701</v>
      </c>
      <c r="DT135" s="59">
        <f ca="1">AVERAGE(OFFSET($DS$3,0,0,'Données projet'!$E$14+1,1))-AVERAGE(OFFSET($H$3,0,0,'Données projet'!$E$14+1,1))</f>
        <v>407.05634973057056</v>
      </c>
      <c r="DU135" s="59">
        <f t="shared" si="152"/>
        <v>375.32891954889965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67.590578131920537</v>
      </c>
      <c r="EB135" s="21">
        <f>EXP(-LN(2)/25)*EB134+(1-EXP(-LN(2)/25))/(LN(2)/25)*Calculateur!DW135*Calculateur!DY135*VLOOKUP('Données projet'!$B$14,Paramètres!$A$1:$I$89,3,0)*0.475*44/12</f>
        <v>13.75832475193309</v>
      </c>
      <c r="EC135" s="21">
        <f>EXP(-LN(2)/2)*EC134+(1-EXP(-LN(2)/2))/(LN(2)/2)*DW135*DZ135*VLOOKUP('Données projet'!$B$14,Paramètres!$A$1:$I$89,3,0)*0.475*44/12</f>
        <v>3.5159999655010136E-8</v>
      </c>
      <c r="ED135" s="22">
        <f t="shared" si="126"/>
        <v>81.348902919013625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1.1368683772161603E-13</v>
      </c>
      <c r="EK135" s="17">
        <f>EJ135*VLOOKUP('Données projet'!$B$15,Paramètres!$A$1:$I$89,3,0)*VLOOKUP('Données projet'!$B$15,Paramètres!$A$1:$I$89,5,0)</f>
        <v>5.0249582272954292E-14</v>
      </c>
      <c r="EL135" s="13">
        <f t="shared" si="153"/>
        <v>8.1784820119191593E-13</v>
      </c>
      <c r="EM135" s="20">
        <f t="shared" si="127"/>
        <v>1.5119369728679821E-12</v>
      </c>
      <c r="EN135" s="59">
        <f t="shared" si="128"/>
        <v>284.2343852737007</v>
      </c>
      <c r="EO135" s="59">
        <f ca="1">AVERAGE(OFFSET($EN$3,0,0,'Données projet'!$E$15+1,1))-AVERAGE(OFFSET($H$3,0,0,'Données projet'!$E$15+1,1))</f>
        <v>418.28022549686278</v>
      </c>
      <c r="EP135" s="59">
        <f t="shared" si="154"/>
        <v>354.55070454517158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73.783022111922548</v>
      </c>
      <c r="EW135" s="21">
        <f>EXP(-LN(2)/25)*EW134+(1-EXP(-LN(2)/25))/(LN(2)/25)*Calculateur!ER135*Calculateur!ET135*VLOOKUP('Données projet'!$B$15,Paramètres!$A$1:$I$89,3,0)*0.475*44/12</f>
        <v>17.004421819163355</v>
      </c>
      <c r="EX135" s="21">
        <f>EXP(-LN(2)/2)*EX134+(1-EXP(-LN(2)/2))/(LN(2)/2)*ER135*EU135*VLOOKUP('Données projet'!$B$15,Paramètres!$A$1:$I$89,3,0)*0.475*44/12</f>
        <v>1.1712892527628759E-6</v>
      </c>
      <c r="EY135" s="22">
        <f t="shared" si="129"/>
        <v>90.787445102375159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>
        <f>VLOOKUP(A135,'Données projet'!$A$217:$I$237,2,0)</f>
        <v>340.57</v>
      </c>
      <c r="FC135" s="12">
        <f>VLOOKUP(A135,'Données projet'!$A$217:$I$237,9,0)</f>
        <v>7.1129999999999995</v>
      </c>
      <c r="FD135" s="12">
        <f t="array" ref="FD135">INDEX(FC:FC,MIN(IF(ISNUMBER(FC135:FC331),ROW(FC135:FC331),"")))</f>
        <v>7.1129999999999995</v>
      </c>
      <c r="FE135" s="12">
        <f>IF('Données projet'!$A$218&gt;35,FE134+FD135-FM134,IF(A135&lt;'Données projet'!$A$218,$FB$205^A135,IF(A135='Données projet'!$A$218,'Données projet'!$B$218,FE134+FD135-FM134)))</f>
        <v>340.57000000000005</v>
      </c>
      <c r="FF135" s="17">
        <f>FE135*VLOOKUP('Données projet'!$B$16,Paramètres!$A$1:$I$89,3,0)*VLOOKUP('Données projet'!$B$16,Paramètres!$A$1:$I$89,5,0)</f>
        <v>387.84111600000006</v>
      </c>
      <c r="FG135" s="13">
        <f t="shared" si="155"/>
        <v>89.307227025248523</v>
      </c>
      <c r="FH135" s="20">
        <f t="shared" si="130"/>
        <v>831.03336410230793</v>
      </c>
      <c r="FI135" s="59">
        <f t="shared" si="131"/>
        <v>1115.267749376007</v>
      </c>
      <c r="FJ135" s="59">
        <f ca="1">AVERAGE(OFFSET($FI$3,0,0,'Données projet'!$E$16+1,1))-AVERAGE(OFFSET($H$3,0,0,'Données projet'!$E$16+1,1))</f>
        <v>640.05156427113661</v>
      </c>
      <c r="FK135" s="59">
        <f t="shared" si="156"/>
        <v>308.77220155372902</v>
      </c>
      <c r="FL135" s="15">
        <f>IF(ISNA(VLOOKUP(A135,'Données projet'!$A$217:$I$237,3,0)),0,VLOOKUP(A135,'Données projet'!$A$217:$I$237,3,0))</f>
        <v>9</v>
      </c>
      <c r="FM135" s="15">
        <f>IF(ISNA(VLOOKUP(A135,'Données projet'!$A$217:$I$237,4,0)),0,VLOOKUP(A135,'Données projet'!$A$217:$I$237,4,0))</f>
        <v>48.699999999999989</v>
      </c>
      <c r="FN135" s="16">
        <f>IF(ISNA(VLOOKUP(A135,'Données projet'!$A$217:$I$237,5,0)),0%,VLOOKUP(A135,'Données projet'!$A$217:$I$237,5,0)*VLOOKUP('Données projet'!$B$16,Paramètres!$A$1:$I$89,7,0))</f>
        <v>0.15049999999999999</v>
      </c>
      <c r="FO135" s="16">
        <f>IF(ISNA(VLOOKUP(A135,'Données projet'!$A$217:$I$237,6,0)),0%,VLOOKUP(A135,'Données projet'!$A$217:$I$237,6,0)*VLOOKUP('Données projet'!$B$16,Paramètres!$A$1:$I$89,7,0))</f>
        <v>8.6000000000000007E-2</v>
      </c>
      <c r="FP135" s="16">
        <f>IF(ISNA(VLOOKUP(A135,'Données projet'!$A$217:$I$237,7,0)),0%,VLOOKUP(A135,'Données projet'!$A$217:$I$237,7,0))</f>
        <v>0.1</v>
      </c>
      <c r="FQ135" s="21">
        <f>EXP(-LN(2)/35)*FQ134+(1-EXP(-LN(2)/35))/(LN(2)/35)*FM135*FN135*VLOOKUP('Données projet'!$B$16,Paramètres!$A$1:$I$89,3,0)*0.475*44/12</f>
        <v>32.755585529280239</v>
      </c>
      <c r="FR135" s="21">
        <f>EXP(-LN(2)/25)*FR134+(1-EXP(-LN(2)/25))/(LN(2)/25)*Calculateur!FM135*Calculateur!FO135*VLOOKUP('Données projet'!$B$16,Paramètres!$A$1:$I$89,3,0)*0.475*44/12</f>
        <v>26.998376656320339</v>
      </c>
      <c r="FS135" s="21">
        <f>EXP(-LN(2)/2)*FS134+(1-EXP(-LN(2)/2))/(LN(2)/2)*FM135*FP135*VLOOKUP('Données projet'!$B$16,Paramètres!$A$1:$I$89,3,0)*0.475*44/12</f>
        <v>5.3930959233577047</v>
      </c>
      <c r="FT135" s="22">
        <f t="shared" si="132"/>
        <v>65.147058108958277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284.39223168033539</v>
      </c>
      <c r="S136" s="59">
        <f ca="1">AVERAGE(OFFSET($R$3,0,0,'Données projet'!$E$9+1,1))-AVERAGE(OFFSET($H$3,0,0,'Données projet'!$E$9+1,1))</f>
        <v>318.50474972254085</v>
      </c>
      <c r="T136" s="59">
        <f t="shared" si="142"/>
        <v>326.45858332753562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32.714710870034168</v>
      </c>
      <c r="AA136" s="21">
        <f>EXP(-LN(2)/25)*AA135+(1-EXP(-LN(2)/25))/(LN(2)/25)*Calculateur!V136*Calculateur!X136*VLOOKUP('Données projet'!$B$9,Paramètres!$A$1:$I$89,3,0)*0.475*44/12</f>
        <v>6.4003126463157276</v>
      </c>
      <c r="AB136" s="21">
        <f>EXP(-LN(2)/2)*AB135+(1-EXP(-LN(2)/2))/(LN(2)/2)*V136*Y136*VLOOKUP('Données projet'!$B$9,Paramètres!$A$1:$I$89,3,0)*0.475*44/12</f>
        <v>6.1698873221936372E-10</v>
      </c>
      <c r="AC136" s="22">
        <f t="shared" si="111"/>
        <v>39.115023516966879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1.7053025658242404E-13</v>
      </c>
      <c r="AJ136" s="13">
        <f>AI136*VLOOKUP('Données projet'!$B$10,Paramètres!$A$1:$I$89,3,0)*VLOOKUP('Données projet'!$B$10,Paramètres!$A$1:$I$89,5,0)</f>
        <v>7.9808160080574461E-14</v>
      </c>
      <c r="AK136" s="13">
        <f t="shared" si="143"/>
        <v>1.2308384591775343E-12</v>
      </c>
      <c r="AL136" s="20">
        <f t="shared" si="112"/>
        <v>2.282709528541206E-12</v>
      </c>
      <c r="AM136" s="59">
        <f t="shared" si="113"/>
        <v>284.39223168033567</v>
      </c>
      <c r="AN136" s="59">
        <f ca="1">AVERAGE(OFFSET($AM$3,0,0,'Données projet'!$E$10+1,1))-AVERAGE(OFFSET($H$3,0,0,'Données projet'!$E$10+1,1))</f>
        <v>374.38106339726073</v>
      </c>
      <c r="AO136" s="59">
        <f t="shared" si="144"/>
        <v>296.53283288925957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139.80321720514684</v>
      </c>
      <c r="AV136" s="21">
        <f>EXP(-LN(2)/25)*AV135+(1-EXP(-LN(2)/25))/(LN(2)/25)*Calculateur!AQ136*Calculateur!AS136*VLOOKUP('Données projet'!$B$10,Paramètres!$A$1:$I$89,3,0)*0.475*44/12</f>
        <v>42.490379832389017</v>
      </c>
      <c r="AW136" s="21">
        <f>EXP(-LN(2)/2)*AW135+(1-EXP(-LN(2)/2))/(LN(2)/2)*AQ136*AT136*VLOOKUP('Données projet'!$B$10,Paramètres!$A$1:$I$89,3,0)*0.475*44/12</f>
        <v>16.204326837289408</v>
      </c>
      <c r="AX136" s="21">
        <f t="shared" si="114"/>
        <v>198.49792387482526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9.0229999999999961</v>
      </c>
      <c r="BD136" s="12">
        <f>IF('Données projet'!$A$88&gt;35,BD135+BC136-BL135,IF(A136&lt;'Données projet'!$A$88,$BA$205^A136,IF(A136='Données projet'!$A$88,'Données projet'!$B$88,BD135+BC136-BL135)))</f>
        <v>475.25700000000086</v>
      </c>
      <c r="BE136" s="13">
        <f>BD136*VLOOKUP('Données projet'!$B$11,Paramètres!$A$1:$I$89,3,0)*VLOOKUP('Données projet'!$B$11,Paramètres!$A$1:$I$89,5,0)</f>
        <v>430.01253360000078</v>
      </c>
      <c r="BF136" s="13">
        <f t="shared" si="145"/>
        <v>97.835389274652726</v>
      </c>
      <c r="BG136" s="20">
        <f t="shared" si="115"/>
        <v>919.33513234002146</v>
      </c>
      <c r="BH136" s="59">
        <f t="shared" si="116"/>
        <v>1203.7273640203548</v>
      </c>
      <c r="BI136" s="59">
        <f ca="1">AVERAGE(OFFSET($BH$3,0,0,'Données projet'!$E$11+1,1))-AVERAGE(OFFSET($H$3,0,0,'Données projet'!$E$11+1,1))</f>
        <v>681.47578137804555</v>
      </c>
      <c r="BJ136" s="59">
        <f t="shared" si="146"/>
        <v>300.88511065995885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32.309142075400985</v>
      </c>
      <c r="BQ136" s="21">
        <f>EXP(-LN(2)/25)*BQ135+(1-EXP(-LN(2)/25))/(LN(2)/25)*Calculateur!BL136*Calculateur!BN136*VLOOKUP('Données projet'!$B$11,Paramètres!$A$1:$I$89,3,0)*0.475*44/12</f>
        <v>19.082887783152156</v>
      </c>
      <c r="BR136" s="21">
        <f>EXP(-LN(2)/2)*BR135+(1-EXP(-LN(2)/2))/(LN(2)/2)*BL136*BO136*VLOOKUP('Données projet'!$B$11,Paramètres!$A$1:$I$89,3,0)*0.475*44/12</f>
        <v>0.22565458257930279</v>
      </c>
      <c r="BS136" s="22">
        <f t="shared" si="117"/>
        <v>51.617684441132447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8.5265128291212022E-14</v>
      </c>
      <c r="BZ136" s="13">
        <f>BY136*VLOOKUP('Données projet'!$B$12,Paramètres!$A$1:$I$89,3,0)*VLOOKUP('Données projet'!$B$12,Paramètres!$A$1:$I$89,5,0)</f>
        <v>8.9119112089974823E-14</v>
      </c>
      <c r="CA136" s="13">
        <f t="shared" si="147"/>
        <v>1.3568952080113142E-12</v>
      </c>
      <c r="CB136" s="20">
        <f t="shared" si="118"/>
        <v>2.5184749408430782E-12</v>
      </c>
      <c r="CC136" s="59">
        <f t="shared" si="119"/>
        <v>284.3922316803359</v>
      </c>
      <c r="CD136" s="59">
        <f ca="1">AVERAGE(OFFSET($CC$3,0,0,'Données projet'!$E$12+1,1))-AVERAGE(OFFSET($H$3,0,0,'Données projet'!$E$12+1,1))</f>
        <v>290.69667785754848</v>
      </c>
      <c r="CE136" s="59">
        <f t="shared" si="148"/>
        <v>256.28124185489082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9.2592148671404058</v>
      </c>
      <c r="CL136" s="21">
        <f>EXP(-LN(2)/25)*CL135+(1-EXP(-LN(2)/25))/(LN(2)/25)*Calculateur!CG136*Calculateur!CI136*VLOOKUP('Données projet'!$B$12,Paramètres!$A$1:$I$89,3,0)*0.475*44/12</f>
        <v>18.203004143620458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27.462219010760862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408.246209980743</v>
      </c>
      <c r="CZ136" s="59">
        <f t="shared" si="150"/>
        <v>394.10236303013903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19.981410856803986</v>
      </c>
      <c r="DG136" s="21">
        <f>EXP(-LN(2)/25)*DG135+(1-EXP(-LN(2)/25))/(LN(2)/25)*Calculateur!DB136*Calculateur!DD136*VLOOKUP('Données projet'!$B$13,Paramètres!$A$1:$I$89,3,0)*0.475*44/12</f>
        <v>12.964405733582442</v>
      </c>
      <c r="DH136" s="21">
        <f>EXP(-LN(2)/2)*DH135+(1-EXP(-LN(2)/2))/(LN(2)/2)*DB136*DE136*VLOOKUP('Données projet'!$B$13,Paramètres!$A$1:$I$89,3,0)*0.475*44/12</f>
        <v>7.2219740315930429E-7</v>
      </c>
      <c r="DI136" s="22">
        <f t="shared" si="123"/>
        <v>32.945817312583834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5.6843418860808015E-13</v>
      </c>
      <c r="DP136" s="17">
        <f>DO136*VLOOKUP('Données projet'!$B$14,Paramètres!$A$1:$I$89,3,0)*VLOOKUP('Données projet'!$B$14,Paramètres!$A$1:$I$89,5,0)</f>
        <v>3.177547114319168E-13</v>
      </c>
      <c r="DQ136" s="13">
        <f t="shared" si="151"/>
        <v>4.1725404435445377E-12</v>
      </c>
      <c r="DR136" s="20">
        <f t="shared" si="124"/>
        <v>7.820597394917325E-12</v>
      </c>
      <c r="DS136" s="59">
        <f t="shared" si="125"/>
        <v>284.39223168034124</v>
      </c>
      <c r="DT136" s="59">
        <f ca="1">AVERAGE(OFFSET($DS$3,0,0,'Données projet'!$E$14+1,1))-AVERAGE(OFFSET($H$3,0,0,'Données projet'!$E$14+1,1))</f>
        <v>407.05634973057056</v>
      </c>
      <c r="DU136" s="59">
        <f t="shared" si="152"/>
        <v>375.32891954889965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66.265168120935485</v>
      </c>
      <c r="EB136" s="21">
        <f>EXP(-LN(2)/25)*EB135+(1-EXP(-LN(2)/25))/(LN(2)/25)*Calculateur!DW136*Calculateur!DY136*VLOOKUP('Données projet'!$B$14,Paramètres!$A$1:$I$89,3,0)*0.475*44/12</f>
        <v>13.382102638072626</v>
      </c>
      <c r="EC136" s="21">
        <f>EXP(-LN(2)/2)*EC135+(1-EXP(-LN(2)/2))/(LN(2)/2)*DW136*DZ136*VLOOKUP('Données projet'!$B$14,Paramètres!$A$1:$I$89,3,0)*0.475*44/12</f>
        <v>2.4861874182574339E-8</v>
      </c>
      <c r="ED136" s="22">
        <f t="shared" si="126"/>
        <v>79.647270783869985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1.1368683772161603E-13</v>
      </c>
      <c r="EK136" s="17">
        <f>EJ136*VLOOKUP('Données projet'!$B$15,Paramètres!$A$1:$I$89,3,0)*VLOOKUP('Données projet'!$B$15,Paramètres!$A$1:$I$89,5,0)</f>
        <v>5.0249582272954292E-14</v>
      </c>
      <c r="EL136" s="13">
        <f t="shared" si="153"/>
        <v>8.1784820119191593E-13</v>
      </c>
      <c r="EM136" s="20">
        <f t="shared" si="127"/>
        <v>1.5119369728679821E-12</v>
      </c>
      <c r="EN136" s="59">
        <f t="shared" si="128"/>
        <v>284.39223168033493</v>
      </c>
      <c r="EO136" s="59">
        <f ca="1">AVERAGE(OFFSET($EN$3,0,0,'Données projet'!$E$15+1,1))-AVERAGE(OFFSET($H$3,0,0,'Données projet'!$E$15+1,1))</f>
        <v>418.28022549686278</v>
      </c>
      <c r="EP136" s="59">
        <f t="shared" si="154"/>
        <v>354.55070454517158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72.336182051507535</v>
      </c>
      <c r="EW136" s="21">
        <f>EXP(-LN(2)/25)*EW135+(1-EXP(-LN(2)/25))/(LN(2)/25)*Calculateur!ER136*Calculateur!ET136*VLOOKUP('Données projet'!$B$15,Paramètres!$A$1:$I$89,3,0)*0.475*44/12</f>
        <v>16.539435010294653</v>
      </c>
      <c r="EX136" s="21">
        <f>EXP(-LN(2)/2)*EX135+(1-EXP(-LN(2)/2))/(LN(2)/2)*ER136*EU136*VLOOKUP('Données projet'!$B$15,Paramètres!$A$1:$I$89,3,0)*0.475*44/12</f>
        <v>8.2822657335955364E-7</v>
      </c>
      <c r="EY136" s="22">
        <f t="shared" si="129"/>
        <v>88.875617890028764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7.3375000000000012</v>
      </c>
      <c r="FE136" s="12">
        <f>IF('Données projet'!$A$218&gt;35,FE135+FD136-FM135,IF(A136&lt;'Données projet'!$A$218,$FB$205^A136,IF(A136='Données projet'!$A$218,'Données projet'!$B$218,FE135+FD136-FM135)))</f>
        <v>299.20750000000004</v>
      </c>
      <c r="FF136" s="17">
        <f>FE136*VLOOKUP('Données projet'!$B$16,Paramètres!$A$1:$I$89,3,0)*VLOOKUP('Données projet'!$B$16,Paramètres!$A$1:$I$89,5,0)</f>
        <v>340.73750100000001</v>
      </c>
      <c r="FG136" s="13">
        <f t="shared" si="155"/>
        <v>79.6522995773622</v>
      </c>
      <c r="FH136" s="20">
        <f t="shared" si="130"/>
        <v>732.17890267223913</v>
      </c>
      <c r="FI136" s="59">
        <f t="shared" si="131"/>
        <v>1016.5711343525725</v>
      </c>
      <c r="FJ136" s="59">
        <f ca="1">AVERAGE(OFFSET($FI$3,0,0,'Données projet'!$E$16+1,1))-AVERAGE(OFFSET($H$3,0,0,'Données projet'!$E$16+1,1))</f>
        <v>640.05156427113661</v>
      </c>
      <c r="FK136" s="59">
        <f t="shared" si="156"/>
        <v>308.77220155372902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32.113268475985471</v>
      </c>
      <c r="FR136" s="21">
        <f>EXP(-LN(2)/25)*FR135+(1-EXP(-LN(2)/25))/(LN(2)/25)*Calculateur!FM136*Calculateur!FO136*VLOOKUP('Données projet'!$B$16,Paramètres!$A$1:$I$89,3,0)*0.475*44/12</f>
        <v>26.260104626870337</v>
      </c>
      <c r="FS136" s="21">
        <f>EXP(-LN(2)/2)*FS135+(1-EXP(-LN(2)/2))/(LN(2)/2)*FM136*FP136*VLOOKUP('Données projet'!$B$16,Paramètres!$A$1:$I$89,3,0)*0.475*44/12</f>
        <v>3.8134946989957581</v>
      </c>
      <c r="FT136" s="22">
        <f t="shared" si="132"/>
        <v>62.186867801851569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284.54733980470627</v>
      </c>
      <c r="S137" s="59">
        <f ca="1">AVERAGE(OFFSET($R$3,0,0,'Données projet'!$E$9+1,1))-AVERAGE(OFFSET($H$3,0,0,'Données projet'!$E$9+1,1))</f>
        <v>318.50474972254085</v>
      </c>
      <c r="T137" s="59">
        <f t="shared" si="142"/>
        <v>326.45858332753562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32.073195343876137</v>
      </c>
      <c r="AA137" s="21">
        <f>EXP(-LN(2)/25)*AA136+(1-EXP(-LN(2)/25))/(LN(2)/25)*Calculateur!V137*Calculateur!X137*VLOOKUP('Données projet'!$B$9,Paramètres!$A$1:$I$89,3,0)*0.475*44/12</f>
        <v>6.2252957604244097</v>
      </c>
      <c r="AB137" s="21">
        <f>EXP(-LN(2)/2)*AB136+(1-EXP(-LN(2)/2))/(LN(2)/2)*V137*Y137*VLOOKUP('Données projet'!$B$9,Paramètres!$A$1:$I$89,3,0)*0.475*44/12</f>
        <v>4.3627691646800299E-10</v>
      </c>
      <c r="AC137" s="22">
        <f t="shared" si="111"/>
        <v>38.298491104736826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1.7053025658242404E-13</v>
      </c>
      <c r="AJ137" s="13">
        <f>AI137*VLOOKUP('Données projet'!$B$10,Paramètres!$A$1:$I$89,3,0)*VLOOKUP('Données projet'!$B$10,Paramètres!$A$1:$I$89,5,0)</f>
        <v>7.9808160080574461E-14</v>
      </c>
      <c r="AK137" s="13">
        <f t="shared" si="143"/>
        <v>1.2308384591775343E-12</v>
      </c>
      <c r="AL137" s="20">
        <f t="shared" si="112"/>
        <v>2.282709528541206E-12</v>
      </c>
      <c r="AM137" s="59">
        <f t="shared" si="113"/>
        <v>284.54733980470655</v>
      </c>
      <c r="AN137" s="59">
        <f ca="1">AVERAGE(OFFSET($AM$3,0,0,'Données projet'!$E$10+1,1))-AVERAGE(OFFSET($H$3,0,0,'Données projet'!$E$10+1,1))</f>
        <v>374.38106339726073</v>
      </c>
      <c r="AO137" s="59">
        <f t="shared" si="144"/>
        <v>296.53283288925957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137.06176138729654</v>
      </c>
      <c r="AV137" s="21">
        <f>EXP(-LN(2)/25)*AV136+(1-EXP(-LN(2)/25))/(LN(2)/25)*Calculateur!AQ137*Calculateur!AS137*VLOOKUP('Données projet'!$B$10,Paramètres!$A$1:$I$89,3,0)*0.475*44/12</f>
        <v>41.328478161400376</v>
      </c>
      <c r="AW137" s="21">
        <f>EXP(-LN(2)/2)*AW136+(1-EXP(-LN(2)/2))/(LN(2)/2)*AQ137*AT137*VLOOKUP('Données projet'!$B$10,Paramètres!$A$1:$I$89,3,0)*0.475*44/12</f>
        <v>11.458189391210501</v>
      </c>
      <c r="AX137" s="21">
        <f t="shared" si="114"/>
        <v>189.84842893990742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9.0229999999999961</v>
      </c>
      <c r="BC137" s="12">
        <f t="array" ref="BC137">INDEX(BB:BB,MIN(IF(ISNUMBER(BB137:BB333),ROW(BB137:BB333),"")))</f>
        <v>9.0229999999999961</v>
      </c>
      <c r="BD137" s="12">
        <f>IF('Données projet'!$A$88&gt;35,BD136+BC137-BL136,IF(A137&lt;'Données projet'!$A$88,$BA$205^A137,IF(A137='Données projet'!$A$88,'Données projet'!$B$88,BD136+BC137-BL136)))</f>
        <v>484.28000000000088</v>
      </c>
      <c r="BE137" s="13">
        <f>BD137*VLOOKUP('Données projet'!$B$11,Paramètres!$A$1:$I$89,3,0)*VLOOKUP('Données projet'!$B$11,Paramètres!$A$1:$I$89,5,0)</f>
        <v>438.17654400000077</v>
      </c>
      <c r="BF137" s="13">
        <f t="shared" si="145"/>
        <v>99.474836110972063</v>
      </c>
      <c r="BG137" s="20">
        <f t="shared" si="115"/>
        <v>936.40948702661092</v>
      </c>
      <c r="BH137" s="59">
        <f t="shared" si="116"/>
        <v>1220.9568268313151</v>
      </c>
      <c r="BI137" s="59">
        <f ca="1">AVERAGE(OFFSET($BH$3,0,0,'Données projet'!$E$11+1,1))-AVERAGE(OFFSET($H$3,0,0,'Données projet'!$E$11+1,1))</f>
        <v>681.47578137804555</v>
      </c>
      <c r="BJ137" s="59">
        <f t="shared" si="146"/>
        <v>300.88511065995885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60.779999999999973</v>
      </c>
      <c r="BM137" s="16">
        <f>IF(ISNA(VLOOKUP(A137,'Données projet'!$A$87:$I$107,5,0)),0%,VLOOKUP(A137,'Données projet'!$A$87:$I$107,5,0)*VLOOKUP('Données projet'!$B$11,Paramètres!$A$1:$I$89,7,0))</f>
        <v>0.215</v>
      </c>
      <c r="BN137" s="16">
        <f>IF(ISNA(VLOOKUP(A137,'Données projet'!$A$87:$I$107,6,0)),0%,VLOOKUP(A137,'Données projet'!$A$87:$I$107,6,0)*VLOOKUP('Données projet'!$B$11,Paramètres!$A$1:$I$89,7,0))</f>
        <v>8.6000000000000007E-2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44.746279842031008</v>
      </c>
      <c r="BQ137" s="21">
        <f>EXP(-LN(2)/25)*BQ136+(1-EXP(-LN(2)/25))/(LN(2)/25)*Calculateur!BL137*Calculateur!BN137*VLOOKUP('Données projet'!$B$11,Paramètres!$A$1:$I$89,3,0)*0.475*44/12</f>
        <v>23.768759616615345</v>
      </c>
      <c r="BR137" s="21">
        <f>EXP(-LN(2)/2)*BR136+(1-EXP(-LN(2)/2))/(LN(2)/2)*BL137*BO137*VLOOKUP('Données projet'!$B$11,Paramètres!$A$1:$I$89,3,0)*0.475*44/12</f>
        <v>0.15956188554764478</v>
      </c>
      <c r="BS137" s="22">
        <f t="shared" si="117"/>
        <v>68.674601344194002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8.5265128291212022E-14</v>
      </c>
      <c r="BZ137" s="13">
        <f>BY137*VLOOKUP('Données projet'!$B$12,Paramètres!$A$1:$I$89,3,0)*VLOOKUP('Données projet'!$B$12,Paramètres!$A$1:$I$89,5,0)</f>
        <v>8.9119112089974823E-14</v>
      </c>
      <c r="CA137" s="13">
        <f t="shared" si="147"/>
        <v>1.3568952080113142E-12</v>
      </c>
      <c r="CB137" s="20">
        <f t="shared" si="118"/>
        <v>2.5184749408430782E-12</v>
      </c>
      <c r="CC137" s="59">
        <f t="shared" si="119"/>
        <v>284.54733980470678</v>
      </c>
      <c r="CD137" s="59">
        <f ca="1">AVERAGE(OFFSET($CC$3,0,0,'Données projet'!$E$12+1,1))-AVERAGE(OFFSET($H$3,0,0,'Données projet'!$E$12+1,1))</f>
        <v>290.69667785754848</v>
      </c>
      <c r="CE137" s="59">
        <f t="shared" si="148"/>
        <v>256.28124185489082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9.0776473111592004</v>
      </c>
      <c r="CL137" s="21">
        <f>EXP(-LN(2)/25)*CL136+(1-EXP(-LN(2)/25))/(LN(2)/25)*Calculateur!CG137*Calculateur!CI137*VLOOKUP('Données projet'!$B$12,Paramètres!$A$1:$I$89,3,0)*0.475*44/12</f>
        <v>17.705242038058771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26.782889349217971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408.246209980743</v>
      </c>
      <c r="CZ137" s="59">
        <f t="shared" si="150"/>
        <v>394.10236303013903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19.589587577359271</v>
      </c>
      <c r="DG137" s="21">
        <f>EXP(-LN(2)/25)*DG136+(1-EXP(-LN(2)/25))/(LN(2)/25)*Calculateur!DB137*Calculateur!DD137*VLOOKUP('Données projet'!$B$13,Paramètres!$A$1:$I$89,3,0)*0.475*44/12</f>
        <v>12.609893377029163</v>
      </c>
      <c r="DH137" s="21">
        <f>EXP(-LN(2)/2)*DH136+(1-EXP(-LN(2)/2))/(LN(2)/2)*DB137*DE137*VLOOKUP('Données projet'!$B$13,Paramètres!$A$1:$I$89,3,0)*0.475*44/12</f>
        <v>5.1067068112925902E-7</v>
      </c>
      <c r="DI137" s="22">
        <f t="shared" si="123"/>
        <v>32.199481465059115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5.6843418860808015E-13</v>
      </c>
      <c r="DP137" s="17">
        <f>DO137*VLOOKUP('Données projet'!$B$14,Paramètres!$A$1:$I$89,3,0)*VLOOKUP('Données projet'!$B$14,Paramètres!$A$1:$I$89,5,0)</f>
        <v>3.177547114319168E-13</v>
      </c>
      <c r="DQ137" s="13">
        <f t="shared" si="151"/>
        <v>4.1725404435445377E-12</v>
      </c>
      <c r="DR137" s="20">
        <f t="shared" si="124"/>
        <v>7.820597394917325E-12</v>
      </c>
      <c r="DS137" s="59">
        <f t="shared" si="125"/>
        <v>284.54733980471212</v>
      </c>
      <c r="DT137" s="59">
        <f ca="1">AVERAGE(OFFSET($DS$3,0,0,'Données projet'!$E$14+1,1))-AVERAGE(OFFSET($H$3,0,0,'Données projet'!$E$14+1,1))</f>
        <v>407.05634973057056</v>
      </c>
      <c r="DU137" s="59">
        <f t="shared" si="152"/>
        <v>375.32891954889965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64.965748591845568</v>
      </c>
      <c r="EB137" s="21">
        <f>EXP(-LN(2)/25)*EB136+(1-EXP(-LN(2)/25))/(LN(2)/25)*Calculateur!DW137*Calculateur!DY137*VLOOKUP('Données projet'!$B$14,Paramètres!$A$1:$I$89,3,0)*0.475*44/12</f>
        <v>13.016168337700337</v>
      </c>
      <c r="EC137" s="21">
        <f>EXP(-LN(2)/2)*EC136+(1-EXP(-LN(2)/2))/(LN(2)/2)*DW137*DZ137*VLOOKUP('Données projet'!$B$14,Paramètres!$A$1:$I$89,3,0)*0.475*44/12</f>
        <v>1.7579999827505068E-8</v>
      </c>
      <c r="ED137" s="22">
        <f t="shared" si="126"/>
        <v>77.98191694712591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1.1368683772161603E-13</v>
      </c>
      <c r="EK137" s="17">
        <f>EJ137*VLOOKUP('Données projet'!$B$15,Paramètres!$A$1:$I$89,3,0)*VLOOKUP('Données projet'!$B$15,Paramètres!$A$1:$I$89,5,0)</f>
        <v>5.0249582272954292E-14</v>
      </c>
      <c r="EL137" s="13">
        <f t="shared" si="153"/>
        <v>8.1784820119191593E-13</v>
      </c>
      <c r="EM137" s="20">
        <f t="shared" si="127"/>
        <v>1.5119369728679821E-12</v>
      </c>
      <c r="EN137" s="59">
        <f t="shared" si="128"/>
        <v>284.54733980470581</v>
      </c>
      <c r="EO137" s="59">
        <f ca="1">AVERAGE(OFFSET($EN$3,0,0,'Données projet'!$E$15+1,1))-AVERAGE(OFFSET($H$3,0,0,'Données projet'!$E$15+1,1))</f>
        <v>418.28022549686278</v>
      </c>
      <c r="EP137" s="59">
        <f t="shared" si="154"/>
        <v>354.55070454517158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70.91771364219197</v>
      </c>
      <c r="EW137" s="21">
        <f>EXP(-LN(2)/25)*EW136+(1-EXP(-LN(2)/25))/(LN(2)/25)*Calculateur!ER137*Calculateur!ET137*VLOOKUP('Données projet'!$B$15,Paramètres!$A$1:$I$89,3,0)*0.475*44/12</f>
        <v>16.087163290167059</v>
      </c>
      <c r="EX137" s="21">
        <f>EXP(-LN(2)/2)*EX136+(1-EXP(-LN(2)/2))/(LN(2)/2)*ER137*EU137*VLOOKUP('Données projet'!$B$15,Paramètres!$A$1:$I$89,3,0)*0.475*44/12</f>
        <v>5.8564462638143794E-7</v>
      </c>
      <c r="EY137" s="22">
        <f t="shared" si="129"/>
        <v>87.004877518003653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7.3375000000000012</v>
      </c>
      <c r="FE137" s="12">
        <f>IF('Données projet'!$A$218&gt;35,FE136+FD137-FM136,IF(A137&lt;'Données projet'!$A$218,$FB$205^A137,IF(A137='Données projet'!$A$218,'Données projet'!$B$218,FE136+FD137-FM136)))</f>
        <v>306.54500000000002</v>
      </c>
      <c r="FF137" s="17">
        <f>FE137*VLOOKUP('Données projet'!$B$16,Paramètres!$A$1:$I$89,3,0)*VLOOKUP('Données projet'!$B$16,Paramètres!$A$1:$I$89,5,0)</f>
        <v>349.09344600000003</v>
      </c>
      <c r="FG137" s="13">
        <f t="shared" si="155"/>
        <v>81.375814187494555</v>
      </c>
      <c r="FH137" s="20">
        <f t="shared" si="130"/>
        <v>749.73396149321979</v>
      </c>
      <c r="FI137" s="59">
        <f t="shared" si="131"/>
        <v>1034.2813012979241</v>
      </c>
      <c r="FJ137" s="59">
        <f ca="1">AVERAGE(OFFSET($FI$3,0,0,'Données projet'!$E$16+1,1))-AVERAGE(OFFSET($H$3,0,0,'Données projet'!$E$16+1,1))</f>
        <v>640.05156427113661</v>
      </c>
      <c r="FK137" s="59">
        <f t="shared" si="156"/>
        <v>308.77220155372902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31.483546868331096</v>
      </c>
      <c r="FR137" s="21">
        <f>EXP(-LN(2)/25)*FR136+(1-EXP(-LN(2)/25))/(LN(2)/25)*Calculateur!FM137*Calculateur!FO137*VLOOKUP('Données projet'!$B$16,Paramètres!$A$1:$I$89,3,0)*0.475*44/12</f>
        <v>25.542020684889685</v>
      </c>
      <c r="FS137" s="21">
        <f>EXP(-LN(2)/2)*FS136+(1-EXP(-LN(2)/2))/(LN(2)/2)*FM137*FP137*VLOOKUP('Données projet'!$B$16,Paramètres!$A$1:$I$89,3,0)*0.475*44/12</f>
        <v>2.6965479616788528</v>
      </c>
      <c r="FT137" s="22">
        <f t="shared" si="132"/>
        <v>59.722115514899635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284.69975714988914</v>
      </c>
      <c r="S138" s="59">
        <f ca="1">AVERAGE(OFFSET($R$3,0,0,'Données projet'!$E$9+1,1))-AVERAGE(OFFSET($H$3,0,0,'Données projet'!$E$9+1,1))</f>
        <v>318.50474972254085</v>
      </c>
      <c r="T138" s="59">
        <f t="shared" si="142"/>
        <v>326.45858332753562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31.444259545900227</v>
      </c>
      <c r="AA138" s="21">
        <f>EXP(-LN(2)/25)*AA137+(1-EXP(-LN(2)/25))/(LN(2)/25)*Calculateur!V138*Calculateur!X138*VLOOKUP('Données projet'!$B$9,Paramètres!$A$1:$I$89,3,0)*0.475*44/12</f>
        <v>6.0550647204815284</v>
      </c>
      <c r="AB138" s="21">
        <f>EXP(-LN(2)/2)*AB137+(1-EXP(-LN(2)/2))/(LN(2)/2)*V138*Y138*VLOOKUP('Données projet'!$B$9,Paramètres!$A$1:$I$89,3,0)*0.475*44/12</f>
        <v>3.0849436610968186E-10</v>
      </c>
      <c r="AC138" s="22">
        <f t="shared" si="111"/>
        <v>37.499324266690252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1.7053025658242404E-13</v>
      </c>
      <c r="AJ138" s="13">
        <f>AI138*VLOOKUP('Données projet'!$B$10,Paramètres!$A$1:$I$89,3,0)*VLOOKUP('Données projet'!$B$10,Paramètres!$A$1:$I$89,5,0)</f>
        <v>7.9808160080574461E-14</v>
      </c>
      <c r="AK138" s="13">
        <f t="shared" si="143"/>
        <v>1.2308384591775343E-12</v>
      </c>
      <c r="AL138" s="20">
        <f t="shared" si="112"/>
        <v>2.282709528541206E-12</v>
      </c>
      <c r="AM138" s="59">
        <f t="shared" si="113"/>
        <v>284.69975714988942</v>
      </c>
      <c r="AN138" s="59">
        <f ca="1">AVERAGE(OFFSET($AM$3,0,0,'Données projet'!$E$10+1,1))-AVERAGE(OFFSET($H$3,0,0,'Données projet'!$E$10+1,1))</f>
        <v>374.38106339726073</v>
      </c>
      <c r="AO138" s="59">
        <f t="shared" si="144"/>
        <v>296.53283288925957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134.37406384591134</v>
      </c>
      <c r="AV138" s="21">
        <f>EXP(-LN(2)/25)*AV137+(1-EXP(-LN(2)/25))/(LN(2)/25)*Calculateur!AQ138*Calculateur!AS138*VLOOKUP('Données projet'!$B$10,Paramètres!$A$1:$I$89,3,0)*0.475*44/12</f>
        <v>40.198348752706671</v>
      </c>
      <c r="AW138" s="21">
        <f>EXP(-LN(2)/2)*AW137+(1-EXP(-LN(2)/2))/(LN(2)/2)*AQ138*AT138*VLOOKUP('Données projet'!$B$10,Paramètres!$A$1:$I$89,3,0)*0.475*44/12</f>
        <v>8.1021634186447038</v>
      </c>
      <c r="AX138" s="21">
        <f t="shared" si="114"/>
        <v>182.67457601726269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9.1440000000000055</v>
      </c>
      <c r="BD138" s="12">
        <f>IF('Données projet'!$A$88&gt;35,BD137+BC138-BL137,IF(A138&lt;'Données projet'!$A$88,$BA$205^A138,IF(A138='Données projet'!$A$88,'Données projet'!$B$88,BD137+BC138-BL137)))</f>
        <v>432.64400000000091</v>
      </c>
      <c r="BE138" s="13">
        <f>BD138*VLOOKUP('Données projet'!$B$11,Paramètres!$A$1:$I$89,3,0)*VLOOKUP('Données projet'!$B$11,Paramètres!$A$1:$I$89,5,0)</f>
        <v>391.45629120000086</v>
      </c>
      <c r="BF138" s="13">
        <f t="shared" si="145"/>
        <v>90.042388870129827</v>
      </c>
      <c r="BG138" s="20">
        <f t="shared" si="115"/>
        <v>838.6102011221443</v>
      </c>
      <c r="BH138" s="59">
        <f t="shared" si="116"/>
        <v>1123.3099582720315</v>
      </c>
      <c r="BI138" s="59">
        <f ca="1">AVERAGE(OFFSET($BH$3,0,0,'Données projet'!$E$11+1,1))-AVERAGE(OFFSET($H$3,0,0,'Données projet'!$E$11+1,1))</f>
        <v>681.47578137804555</v>
      </c>
      <c r="BJ138" s="59">
        <f t="shared" si="146"/>
        <v>300.88511065995885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43.868832586864571</v>
      </c>
      <c r="BQ138" s="21">
        <f>EXP(-LN(2)/25)*BQ137+(1-EXP(-LN(2)/25))/(LN(2)/25)*Calculateur!BL138*Calculateur!BN138*VLOOKUP('Données projet'!$B$11,Paramètres!$A$1:$I$89,3,0)*0.475*44/12</f>
        <v>23.118801634954256</v>
      </c>
      <c r="BR138" s="21">
        <f>EXP(-LN(2)/2)*BR137+(1-EXP(-LN(2)/2))/(LN(2)/2)*BL138*BO138*VLOOKUP('Données projet'!$B$11,Paramètres!$A$1:$I$89,3,0)*0.475*44/12</f>
        <v>0.1128272912896514</v>
      </c>
      <c r="BS138" s="22">
        <f t="shared" si="117"/>
        <v>67.100461513108471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8.5265128291212022E-14</v>
      </c>
      <c r="BZ138" s="13">
        <f>BY138*VLOOKUP('Données projet'!$B$12,Paramètres!$A$1:$I$89,3,0)*VLOOKUP('Données projet'!$B$12,Paramètres!$A$1:$I$89,5,0)</f>
        <v>8.9119112089974823E-14</v>
      </c>
      <c r="CA138" s="13">
        <f t="shared" si="147"/>
        <v>1.3568952080113142E-12</v>
      </c>
      <c r="CB138" s="20">
        <f t="shared" si="118"/>
        <v>2.5184749408430782E-12</v>
      </c>
      <c r="CC138" s="59">
        <f t="shared" si="119"/>
        <v>284.69975714988965</v>
      </c>
      <c r="CD138" s="59">
        <f ca="1">AVERAGE(OFFSET($CC$3,0,0,'Données projet'!$E$12+1,1))-AVERAGE(OFFSET($H$3,0,0,'Données projet'!$E$12+1,1))</f>
        <v>290.69667785754848</v>
      </c>
      <c r="CE138" s="59">
        <f t="shared" si="148"/>
        <v>256.28124185489082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8.8996401842055128</v>
      </c>
      <c r="CL138" s="21">
        <f>EXP(-LN(2)/25)*CL137+(1-EXP(-LN(2)/25))/(LN(2)/25)*Calculateur!CG138*Calculateur!CI138*VLOOKUP('Données projet'!$B$12,Paramètres!$A$1:$I$89,3,0)*0.475*44/12</f>
        <v>17.221091263449839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26.120731447655352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408.246209980743</v>
      </c>
      <c r="CZ138" s="59">
        <f t="shared" si="150"/>
        <v>394.10236303013903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19.205447713435866</v>
      </c>
      <c r="DG138" s="21">
        <f>EXP(-LN(2)/25)*DG137+(1-EXP(-LN(2)/25))/(LN(2)/25)*Calculateur!DB138*Calculateur!DD138*VLOOKUP('Données projet'!$B$13,Paramètres!$A$1:$I$89,3,0)*0.475*44/12</f>
        <v>12.265075179508829</v>
      </c>
      <c r="DH138" s="21">
        <f>EXP(-LN(2)/2)*DH137+(1-EXP(-LN(2)/2))/(LN(2)/2)*DB138*DE138*VLOOKUP('Données projet'!$B$13,Paramètres!$A$1:$I$89,3,0)*0.475*44/12</f>
        <v>3.6109870157965214E-7</v>
      </c>
      <c r="DI138" s="22">
        <f t="shared" si="123"/>
        <v>31.470523254043396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5.6843418860808015E-13</v>
      </c>
      <c r="DP138" s="17">
        <f>DO138*VLOOKUP('Données projet'!$B$14,Paramètres!$A$1:$I$89,3,0)*VLOOKUP('Données projet'!$B$14,Paramètres!$A$1:$I$89,5,0)</f>
        <v>3.177547114319168E-13</v>
      </c>
      <c r="DQ138" s="13">
        <f t="shared" si="151"/>
        <v>4.1725404435445377E-12</v>
      </c>
      <c r="DR138" s="20">
        <f t="shared" si="124"/>
        <v>7.820597394917325E-12</v>
      </c>
      <c r="DS138" s="59">
        <f t="shared" si="125"/>
        <v>284.69975714989499</v>
      </c>
      <c r="DT138" s="59">
        <f ca="1">AVERAGE(OFFSET($DS$3,0,0,'Données projet'!$E$14+1,1))-AVERAGE(OFFSET($H$3,0,0,'Données projet'!$E$14+1,1))</f>
        <v>407.05634973057056</v>
      </c>
      <c r="DU138" s="59">
        <f t="shared" si="152"/>
        <v>375.32891954889965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63.691809887153454</v>
      </c>
      <c r="EB138" s="21">
        <f>EXP(-LN(2)/25)*EB137+(1-EXP(-LN(2)/25))/(LN(2)/25)*Calculateur!DW138*Calculateur!DY138*VLOOKUP('Données projet'!$B$14,Paramètres!$A$1:$I$89,3,0)*0.475*44/12</f>
        <v>12.660240530015377</v>
      </c>
      <c r="EC138" s="21">
        <f>EXP(-LN(2)/2)*EC137+(1-EXP(-LN(2)/2))/(LN(2)/2)*DW138*DZ138*VLOOKUP('Données projet'!$B$14,Paramètres!$A$1:$I$89,3,0)*0.475*44/12</f>
        <v>1.243093709128717E-8</v>
      </c>
      <c r="ED138" s="22">
        <f t="shared" si="126"/>
        <v>76.352050429599757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1.1368683772161603E-13</v>
      </c>
      <c r="EK138" s="17">
        <f>EJ138*VLOOKUP('Données projet'!$B$15,Paramètres!$A$1:$I$89,3,0)*VLOOKUP('Données projet'!$B$15,Paramètres!$A$1:$I$89,5,0)</f>
        <v>5.0249582272954292E-14</v>
      </c>
      <c r="EL138" s="13">
        <f t="shared" si="153"/>
        <v>8.1784820119191593E-13</v>
      </c>
      <c r="EM138" s="20">
        <f t="shared" si="127"/>
        <v>1.5119369728679821E-12</v>
      </c>
      <c r="EN138" s="59">
        <f t="shared" si="128"/>
        <v>284.69975714988868</v>
      </c>
      <c r="EO138" s="59">
        <f ca="1">AVERAGE(OFFSET($EN$3,0,0,'Données projet'!$E$15+1,1))-AVERAGE(OFFSET($H$3,0,0,'Données projet'!$E$15+1,1))</f>
        <v>418.28022549686278</v>
      </c>
      <c r="EP138" s="59">
        <f t="shared" si="154"/>
        <v>354.55070454517158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69.527060533202771</v>
      </c>
      <c r="EW138" s="21">
        <f>EXP(-LN(2)/25)*EW137+(1-EXP(-LN(2)/25))/(LN(2)/25)*Calculateur!ER138*Calculateur!ET138*VLOOKUP('Données projet'!$B$15,Paramètres!$A$1:$I$89,3,0)*0.475*44/12</f>
        <v>15.647258964010291</v>
      </c>
      <c r="EX138" s="21">
        <f>EXP(-LN(2)/2)*EX137+(1-EXP(-LN(2)/2))/(LN(2)/2)*ER138*EU138*VLOOKUP('Données projet'!$B$15,Paramètres!$A$1:$I$89,3,0)*0.475*44/12</f>
        <v>4.1411328667977682E-7</v>
      </c>
      <c r="EY138" s="22">
        <f t="shared" si="129"/>
        <v>85.17431991132635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7.3375000000000012</v>
      </c>
      <c r="FE138" s="12">
        <f>IF('Données projet'!$A$218&gt;35,FE137+FD138-FM137,IF(A138&lt;'Données projet'!$A$218,$FB$205^A138,IF(A138='Données projet'!$A$218,'Données projet'!$B$218,FE137+FD138-FM137)))</f>
        <v>313.88249999999999</v>
      </c>
      <c r="FF138" s="17">
        <f>FE138*VLOOKUP('Données projet'!$B$16,Paramètres!$A$1:$I$89,3,0)*VLOOKUP('Données projet'!$B$16,Paramètres!$A$1:$I$89,5,0)</f>
        <v>357.44939099999999</v>
      </c>
      <c r="FG138" s="13">
        <f t="shared" si="155"/>
        <v>83.094533000636375</v>
      </c>
      <c r="FH138" s="20">
        <f t="shared" si="130"/>
        <v>767.28066763444167</v>
      </c>
      <c r="FI138" s="59">
        <f t="shared" si="131"/>
        <v>1051.9804247843288</v>
      </c>
      <c r="FJ138" s="59">
        <f ca="1">AVERAGE(OFFSET($FI$3,0,0,'Données projet'!$E$16+1,1))-AVERAGE(OFFSET($H$3,0,0,'Données projet'!$E$16+1,1))</f>
        <v>640.05156427113661</v>
      </c>
      <c r="FK138" s="59">
        <f t="shared" si="156"/>
        <v>308.77220155372902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30.866173717310566</v>
      </c>
      <c r="FR138" s="21">
        <f>EXP(-LN(2)/25)*FR137+(1-EXP(-LN(2)/25))/(LN(2)/25)*Calculateur!FM138*Calculateur!FO138*VLOOKUP('Données projet'!$B$16,Paramètres!$A$1:$I$89,3,0)*0.475*44/12</f>
        <v>24.843572786064886</v>
      </c>
      <c r="FS138" s="21">
        <f>EXP(-LN(2)/2)*FS137+(1-EXP(-LN(2)/2))/(LN(2)/2)*FM138*FP138*VLOOKUP('Données projet'!$B$16,Paramètres!$A$1:$I$89,3,0)*0.475*44/12</f>
        <v>1.9067473494978795</v>
      </c>
      <c r="FT138" s="22">
        <f t="shared" si="132"/>
        <v>57.616493852873333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284.84953039488721</v>
      </c>
      <c r="S139" s="59">
        <f ca="1">AVERAGE(OFFSET($R$3,0,0,'Données projet'!$E$9+1,1))-AVERAGE(OFFSET($H$3,0,0,'Données projet'!$E$9+1,1))</f>
        <v>318.50474972254085</v>
      </c>
      <c r="T139" s="59">
        <f t="shared" si="142"/>
        <v>326.45858332753562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30.827656795309668</v>
      </c>
      <c r="AA139" s="21">
        <f>EXP(-LN(2)/25)*AA138+(1-EXP(-LN(2)/25))/(LN(2)/25)*Calculateur!V139*Calculateur!X139*VLOOKUP('Données projet'!$B$9,Paramètres!$A$1:$I$89,3,0)*0.475*44/12</f>
        <v>5.8894886572779468</v>
      </c>
      <c r="AB139" s="21">
        <f>EXP(-LN(2)/2)*AB138+(1-EXP(-LN(2)/2))/(LN(2)/2)*V139*Y139*VLOOKUP('Données projet'!$B$9,Paramètres!$A$1:$I$89,3,0)*0.475*44/12</f>
        <v>2.181384582340015E-10</v>
      </c>
      <c r="AC139" s="22">
        <f t="shared" si="111"/>
        <v>36.717145452805752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1.7053025658242404E-13</v>
      </c>
      <c r="AJ139" s="13">
        <f>AI139*VLOOKUP('Données projet'!$B$10,Paramètres!$A$1:$I$89,3,0)*VLOOKUP('Données projet'!$B$10,Paramètres!$A$1:$I$89,5,0)</f>
        <v>7.9808160080574461E-14</v>
      </c>
      <c r="AK139" s="13">
        <f t="shared" si="143"/>
        <v>1.2308384591775343E-12</v>
      </c>
      <c r="AL139" s="20">
        <f t="shared" si="112"/>
        <v>2.282709528541206E-12</v>
      </c>
      <c r="AM139" s="59">
        <f t="shared" si="113"/>
        <v>284.84953039488749</v>
      </c>
      <c r="AN139" s="59">
        <f ca="1">AVERAGE(OFFSET($AM$3,0,0,'Données projet'!$E$10+1,1))-AVERAGE(OFFSET($H$3,0,0,'Données projet'!$E$10+1,1))</f>
        <v>374.38106339726073</v>
      </c>
      <c r="AO139" s="59">
        <f t="shared" si="144"/>
        <v>296.53283288925957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131.73907041397908</v>
      </c>
      <c r="AV139" s="21">
        <f>EXP(-LN(2)/25)*AV138+(1-EXP(-LN(2)/25))/(LN(2)/25)*Calculateur!AQ139*Calculateur!AS139*VLOOKUP('Données projet'!$B$10,Paramètres!$A$1:$I$89,3,0)*0.475*44/12</f>
        <v>39.099122792124618</v>
      </c>
      <c r="AW139" s="21">
        <f>EXP(-LN(2)/2)*AW138+(1-EXP(-LN(2)/2))/(LN(2)/2)*AQ139*AT139*VLOOKUP('Données projet'!$B$10,Paramètres!$A$1:$I$89,3,0)*0.475*44/12</f>
        <v>5.7290946956052506</v>
      </c>
      <c r="AX139" s="21">
        <f t="shared" si="114"/>
        <v>176.56728790170897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9.1440000000000055</v>
      </c>
      <c r="BD139" s="12">
        <f>IF('Données projet'!$A$88&gt;35,BD138+BC139-BL138,IF(A139&lt;'Données projet'!$A$88,$BA$205^A139,IF(A139='Données projet'!$A$88,'Données projet'!$B$88,BD138+BC139-BL138)))</f>
        <v>441.78800000000092</v>
      </c>
      <c r="BE139" s="13">
        <f>BD139*VLOOKUP('Données projet'!$B$11,Paramètres!$A$1:$I$89,3,0)*VLOOKUP('Données projet'!$B$11,Paramètres!$A$1:$I$89,5,0)</f>
        <v>399.72978240000077</v>
      </c>
      <c r="BF139" s="13">
        <f t="shared" si="145"/>
        <v>91.721880595341759</v>
      </c>
      <c r="BG139" s="20">
        <f t="shared" si="115"/>
        <v>855.94497971688827</v>
      </c>
      <c r="BH139" s="59">
        <f t="shared" si="116"/>
        <v>1140.7945101117734</v>
      </c>
      <c r="BI139" s="59">
        <f ca="1">AVERAGE(OFFSET($BH$3,0,0,'Données projet'!$E$11+1,1))-AVERAGE(OFFSET($H$3,0,0,'Données projet'!$E$11+1,1))</f>
        <v>681.47578137804555</v>
      </c>
      <c r="BJ139" s="59">
        <f t="shared" si="146"/>
        <v>300.88511065995885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43.008591537181964</v>
      </c>
      <c r="BQ139" s="21">
        <f>EXP(-LN(2)/25)*BQ138+(1-EXP(-LN(2)/25))/(LN(2)/25)*Calculateur!BL139*Calculateur!BN139*VLOOKUP('Données projet'!$B$11,Paramètres!$A$1:$I$89,3,0)*0.475*44/12</f>
        <v>22.486616788481491</v>
      </c>
      <c r="BR139" s="21">
        <f>EXP(-LN(2)/2)*BR138+(1-EXP(-LN(2)/2))/(LN(2)/2)*BL139*BO139*VLOOKUP('Données projet'!$B$11,Paramètres!$A$1:$I$89,3,0)*0.475*44/12</f>
        <v>7.9780942773822389E-2</v>
      </c>
      <c r="BS139" s="22">
        <f t="shared" si="117"/>
        <v>65.574989268437278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8.5265128291212022E-14</v>
      </c>
      <c r="BZ139" s="13">
        <f>BY139*VLOOKUP('Données projet'!$B$12,Paramètres!$A$1:$I$89,3,0)*VLOOKUP('Données projet'!$B$12,Paramètres!$A$1:$I$89,5,0)</f>
        <v>8.9119112089974823E-14</v>
      </c>
      <c r="CA139" s="13">
        <f t="shared" si="147"/>
        <v>1.3568952080113142E-12</v>
      </c>
      <c r="CB139" s="20">
        <f t="shared" si="118"/>
        <v>2.5184749408430782E-12</v>
      </c>
      <c r="CC139" s="59">
        <f t="shared" si="119"/>
        <v>284.84953039488772</v>
      </c>
      <c r="CD139" s="59">
        <f ca="1">AVERAGE(OFFSET($CC$3,0,0,'Données projet'!$E$12+1,1))-AVERAGE(OFFSET($H$3,0,0,'Données projet'!$E$12+1,1))</f>
        <v>290.69667785754848</v>
      </c>
      <c r="CE139" s="59">
        <f t="shared" si="148"/>
        <v>256.28124185489082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8.7251236684377602</v>
      </c>
      <c r="CL139" s="21">
        <f>EXP(-LN(2)/25)*CL138+(1-EXP(-LN(2)/25))/(LN(2)/25)*Calculateur!CG139*Calculateur!CI139*VLOOKUP('Données projet'!$B$12,Paramètres!$A$1:$I$89,3,0)*0.475*44/12</f>
        <v>16.750179617232973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25.475303285670734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408.246209980743</v>
      </c>
      <c r="CZ139" s="59">
        <f t="shared" si="150"/>
        <v>394.10236303013903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18.828840597941817</v>
      </c>
      <c r="DG139" s="21">
        <f>EXP(-LN(2)/25)*DG138+(1-EXP(-LN(2)/25))/(LN(2)/25)*Calculateur!DB139*Calculateur!DD139*VLOOKUP('Données projet'!$B$13,Paramètres!$A$1:$I$89,3,0)*0.475*44/12</f>
        <v>11.929686053732889</v>
      </c>
      <c r="DH139" s="21">
        <f>EXP(-LN(2)/2)*DH138+(1-EXP(-LN(2)/2))/(LN(2)/2)*DB139*DE139*VLOOKUP('Données projet'!$B$13,Paramètres!$A$1:$I$89,3,0)*0.475*44/12</f>
        <v>2.5533534056462951E-7</v>
      </c>
      <c r="DI139" s="22">
        <f t="shared" si="123"/>
        <v>30.758526907010047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5.6843418860808015E-13</v>
      </c>
      <c r="DP139" s="17">
        <f>DO139*VLOOKUP('Données projet'!$B$14,Paramètres!$A$1:$I$89,3,0)*VLOOKUP('Données projet'!$B$14,Paramètres!$A$1:$I$89,5,0)</f>
        <v>3.177547114319168E-13</v>
      </c>
      <c r="DQ139" s="13">
        <f t="shared" si="151"/>
        <v>4.1725404435445377E-12</v>
      </c>
      <c r="DR139" s="20">
        <f t="shared" si="124"/>
        <v>7.820597394917325E-12</v>
      </c>
      <c r="DS139" s="59">
        <f t="shared" si="125"/>
        <v>284.84953039489307</v>
      </c>
      <c r="DT139" s="59">
        <f ca="1">AVERAGE(OFFSET($DS$3,0,0,'Données projet'!$E$14+1,1))-AVERAGE(OFFSET($H$3,0,0,'Données projet'!$E$14+1,1))</f>
        <v>407.05634973057056</v>
      </c>
      <c r="DU139" s="59">
        <f t="shared" si="152"/>
        <v>375.32891954889965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62.442852343434467</v>
      </c>
      <c r="EB139" s="21">
        <f>EXP(-LN(2)/25)*EB138+(1-EXP(-LN(2)/25))/(LN(2)/25)*Calculateur!DW139*Calculateur!DY139*VLOOKUP('Données projet'!$B$14,Paramètres!$A$1:$I$89,3,0)*0.475*44/12</f>
        <v>12.314045586948993</v>
      </c>
      <c r="EC139" s="21">
        <f>EXP(-LN(2)/2)*EC138+(1-EXP(-LN(2)/2))/(LN(2)/2)*DW139*DZ139*VLOOKUP('Données projet'!$B$14,Paramètres!$A$1:$I$89,3,0)*0.475*44/12</f>
        <v>8.7899999137525341E-9</v>
      </c>
      <c r="ED139" s="22">
        <f t="shared" si="126"/>
        <v>74.756897939173456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1.1368683772161603E-13</v>
      </c>
      <c r="EK139" s="17">
        <f>EJ139*VLOOKUP('Données projet'!$B$15,Paramètres!$A$1:$I$89,3,0)*VLOOKUP('Données projet'!$B$15,Paramètres!$A$1:$I$89,5,0)</f>
        <v>5.0249582272954292E-14</v>
      </c>
      <c r="EL139" s="13">
        <f t="shared" si="153"/>
        <v>8.1784820119191593E-13</v>
      </c>
      <c r="EM139" s="20">
        <f t="shared" si="127"/>
        <v>1.5119369728679821E-12</v>
      </c>
      <c r="EN139" s="59">
        <f t="shared" si="128"/>
        <v>284.84953039488676</v>
      </c>
      <c r="EO139" s="59">
        <f ca="1">AVERAGE(OFFSET($EN$3,0,0,'Données projet'!$E$15+1,1))-AVERAGE(OFFSET($H$3,0,0,'Données projet'!$E$15+1,1))</f>
        <v>418.28022549686278</v>
      </c>
      <c r="EP139" s="59">
        <f t="shared" si="154"/>
        <v>354.55070454517158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68.163677283466214</v>
      </c>
      <c r="EW139" s="21">
        <f>EXP(-LN(2)/25)*EW138+(1-EXP(-LN(2)/25))/(LN(2)/25)*Calculateur!ER139*Calculateur!ET139*VLOOKUP('Données projet'!$B$15,Paramètres!$A$1:$I$89,3,0)*0.475*44/12</f>
        <v>15.219383844785844</v>
      </c>
      <c r="EX139" s="21">
        <f>EXP(-LN(2)/2)*EX138+(1-EXP(-LN(2)/2))/(LN(2)/2)*ER139*EU139*VLOOKUP('Données projet'!$B$15,Paramètres!$A$1:$I$89,3,0)*0.475*44/12</f>
        <v>2.9282231319071897E-7</v>
      </c>
      <c r="EY139" s="22">
        <f t="shared" si="129"/>
        <v>83.383061421074359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7.3375000000000012</v>
      </c>
      <c r="FE139" s="12">
        <f>IF('Données projet'!$A$218&gt;35,FE138+FD139-FM138,IF(A139&lt;'Données projet'!$A$218,$FB$205^A139,IF(A139='Données projet'!$A$218,'Données projet'!$B$218,FE138+FD139-FM138)))</f>
        <v>321.21999999999997</v>
      </c>
      <c r="FF139" s="17">
        <f>FE139*VLOOKUP('Données projet'!$B$16,Paramètres!$A$1:$I$89,3,0)*VLOOKUP('Données projet'!$B$16,Paramètres!$A$1:$I$89,5,0)</f>
        <v>365.80533599999995</v>
      </c>
      <c r="FG139" s="13">
        <f t="shared" si="155"/>
        <v>84.808581028546115</v>
      </c>
      <c r="FH139" s="20">
        <f t="shared" si="130"/>
        <v>784.81923882471767</v>
      </c>
      <c r="FI139" s="59">
        <f t="shared" si="131"/>
        <v>1069.6687692196028</v>
      </c>
      <c r="FJ139" s="59">
        <f ca="1">AVERAGE(OFFSET($FI$3,0,0,'Données projet'!$E$16+1,1))-AVERAGE(OFFSET($H$3,0,0,'Données projet'!$E$16+1,1))</f>
        <v>640.05156427113661</v>
      </c>
      <c r="FK139" s="59">
        <f t="shared" si="156"/>
        <v>308.77220155372902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30.26090687722111</v>
      </c>
      <c r="FR139" s="21">
        <f>EXP(-LN(2)/25)*FR138+(1-EXP(-LN(2)/25))/(LN(2)/25)*Calculateur!FM139*Calculateur!FO139*VLOOKUP('Données projet'!$B$16,Paramètres!$A$1:$I$89,3,0)*0.475*44/12</f>
        <v>24.164223981763229</v>
      </c>
      <c r="FS139" s="21">
        <f>EXP(-LN(2)/2)*FS138+(1-EXP(-LN(2)/2))/(LN(2)/2)*FM139*FP139*VLOOKUP('Données projet'!$B$16,Paramètres!$A$1:$I$89,3,0)*0.475*44/12</f>
        <v>1.3482739808394266</v>
      </c>
      <c r="FT139" s="22">
        <f t="shared" si="132"/>
        <v>55.773404839823769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284.99670540892737</v>
      </c>
      <c r="S140" s="59">
        <f ca="1">AVERAGE(OFFSET($R$3,0,0,'Données projet'!$E$9+1,1))-AVERAGE(OFFSET($H$3,0,0,'Données projet'!$E$9+1,1))</f>
        <v>318.50474972254085</v>
      </c>
      <c r="T140" s="59">
        <f t="shared" si="142"/>
        <v>326.45858332753562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30.223145248567647</v>
      </c>
      <c r="AA140" s="21">
        <f>EXP(-LN(2)/25)*AA139+(1-EXP(-LN(2)/25))/(LN(2)/25)*Calculateur!V140*Calculateur!X140*VLOOKUP('Données projet'!$B$9,Paramètres!$A$1:$I$89,3,0)*0.475*44/12</f>
        <v>5.7284402802299335</v>
      </c>
      <c r="AB140" s="21">
        <f>EXP(-LN(2)/2)*AB139+(1-EXP(-LN(2)/2))/(LN(2)/2)*V140*Y140*VLOOKUP('Données projet'!$B$9,Paramètres!$A$1:$I$89,3,0)*0.475*44/12</f>
        <v>1.5424718305484093E-10</v>
      </c>
      <c r="AC140" s="22">
        <f t="shared" si="111"/>
        <v>35.951585528951824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1.7053025658242404E-13</v>
      </c>
      <c r="AJ140" s="13">
        <f>AI140*VLOOKUP('Données projet'!$B$10,Paramètres!$A$1:$I$89,3,0)*VLOOKUP('Données projet'!$B$10,Paramètres!$A$1:$I$89,5,0)</f>
        <v>7.9808160080574461E-14</v>
      </c>
      <c r="AK140" s="13">
        <f t="shared" si="143"/>
        <v>1.2308384591775343E-12</v>
      </c>
      <c r="AL140" s="20">
        <f t="shared" si="112"/>
        <v>2.282709528541206E-12</v>
      </c>
      <c r="AM140" s="59">
        <f t="shared" si="113"/>
        <v>284.99670540892765</v>
      </c>
      <c r="AN140" s="59">
        <f ca="1">AVERAGE(OFFSET($AM$3,0,0,'Données projet'!$E$10+1,1))-AVERAGE(OFFSET($H$3,0,0,'Données projet'!$E$10+1,1))</f>
        <v>374.38106339726073</v>
      </c>
      <c r="AO140" s="59">
        <f t="shared" si="144"/>
        <v>296.53283288925957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129.15574759605971</v>
      </c>
      <c r="AV140" s="21">
        <f>EXP(-LN(2)/25)*AV139+(1-EXP(-LN(2)/25))/(LN(2)/25)*Calculateur!AQ140*Calculateur!AS140*VLOOKUP('Données projet'!$B$10,Paramètres!$A$1:$I$89,3,0)*0.475*44/12</f>
        <v>38.029955223240464</v>
      </c>
      <c r="AW140" s="21">
        <f>EXP(-LN(2)/2)*AW139+(1-EXP(-LN(2)/2))/(LN(2)/2)*AQ140*AT140*VLOOKUP('Données projet'!$B$10,Paramètres!$A$1:$I$89,3,0)*0.475*44/12</f>
        <v>4.0510817093223519</v>
      </c>
      <c r="AX140" s="21">
        <f t="shared" si="114"/>
        <v>171.23678452862251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9.1440000000000055</v>
      </c>
      <c r="BD140" s="12">
        <f>IF('Données projet'!$A$88&gt;35,BD139+BC140-BL139,IF(A140&lt;'Données projet'!$A$88,$BA$205^A140,IF(A140='Données projet'!$A$88,'Données projet'!$B$88,BD139+BC140-BL139)))</f>
        <v>450.93200000000093</v>
      </c>
      <c r="BE140" s="13">
        <f>BD140*VLOOKUP('Données projet'!$B$11,Paramètres!$A$1:$I$89,3,0)*VLOOKUP('Données projet'!$B$11,Paramètres!$A$1:$I$89,5,0)</f>
        <v>408.00327360000085</v>
      </c>
      <c r="BF140" s="13">
        <f t="shared" si="145"/>
        <v>93.397330631669121</v>
      </c>
      <c r="BG140" s="20">
        <f t="shared" si="115"/>
        <v>873.27271903682515</v>
      </c>
      <c r="BH140" s="59">
        <f t="shared" si="116"/>
        <v>1158.2694244457505</v>
      </c>
      <c r="BI140" s="59">
        <f ca="1">AVERAGE(OFFSET($BH$3,0,0,'Données projet'!$E$11+1,1))-AVERAGE(OFFSET($H$3,0,0,'Données projet'!$E$11+1,1))</f>
        <v>681.47578137804555</v>
      </c>
      <c r="BJ140" s="59">
        <f t="shared" si="146"/>
        <v>300.88511065995885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42.165219289788404</v>
      </c>
      <c r="BQ140" s="21">
        <f>EXP(-LN(2)/25)*BQ139+(1-EXP(-LN(2)/25))/(LN(2)/25)*Calculateur!BL140*Calculateur!BN140*VLOOKUP('Données projet'!$B$11,Paramètres!$A$1:$I$89,3,0)*0.475*44/12</f>
        <v>21.871719069880683</v>
      </c>
      <c r="BR140" s="21">
        <f>EXP(-LN(2)/2)*BR139+(1-EXP(-LN(2)/2))/(LN(2)/2)*BL140*BO140*VLOOKUP('Données projet'!$B$11,Paramètres!$A$1:$I$89,3,0)*0.475*44/12</f>
        <v>5.6413645644825698E-2</v>
      </c>
      <c r="BS140" s="22">
        <f t="shared" si="117"/>
        <v>64.093352005313903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8.5265128291212022E-14</v>
      </c>
      <c r="BZ140" s="13">
        <f>BY140*VLOOKUP('Données projet'!$B$12,Paramètres!$A$1:$I$89,3,0)*VLOOKUP('Données projet'!$B$12,Paramètres!$A$1:$I$89,5,0)</f>
        <v>8.9119112089974823E-14</v>
      </c>
      <c r="CA140" s="13">
        <f t="shared" si="147"/>
        <v>1.3568952080113142E-12</v>
      </c>
      <c r="CB140" s="20">
        <f t="shared" si="118"/>
        <v>2.5184749408430782E-12</v>
      </c>
      <c r="CC140" s="59">
        <f t="shared" si="119"/>
        <v>284.99670540892788</v>
      </c>
      <c r="CD140" s="59">
        <f ca="1">AVERAGE(OFFSET($CC$3,0,0,'Données projet'!$E$12+1,1))-AVERAGE(OFFSET($H$3,0,0,'Données projet'!$E$12+1,1))</f>
        <v>290.69667785754848</v>
      </c>
      <c r="CE140" s="59">
        <f t="shared" si="148"/>
        <v>256.28124185489082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8.5540293150996494</v>
      </c>
      <c r="CL140" s="21">
        <f>EXP(-LN(2)/25)*CL139+(1-EXP(-LN(2)/25))/(LN(2)/25)*Calculateur!CG140*Calculateur!CI140*VLOOKUP('Données projet'!$B$12,Paramètres!$A$1:$I$89,3,0)*0.475*44/12</f>
        <v>16.292145074746074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24.846174389845721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408.246209980743</v>
      </c>
      <c r="CZ140" s="59">
        <f t="shared" si="150"/>
        <v>394.10236303013903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18.459618518274947</v>
      </c>
      <c r="DG140" s="21">
        <f>EXP(-LN(2)/25)*DG139+(1-EXP(-LN(2)/25))/(LN(2)/25)*Calculateur!DB140*Calculateur!DD140*VLOOKUP('Données projet'!$B$13,Paramètres!$A$1:$I$89,3,0)*0.475*44/12</f>
        <v>11.60346816123864</v>
      </c>
      <c r="DH140" s="21">
        <f>EXP(-LN(2)/2)*DH139+(1-EXP(-LN(2)/2))/(LN(2)/2)*DB140*DE140*VLOOKUP('Données projet'!$B$13,Paramètres!$A$1:$I$89,3,0)*0.475*44/12</f>
        <v>1.8054935078982607E-7</v>
      </c>
      <c r="DI140" s="22">
        <f t="shared" si="123"/>
        <v>30.063086860062938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5.6843418860808015E-13</v>
      </c>
      <c r="DP140" s="17">
        <f>DO140*VLOOKUP('Données projet'!$B$14,Paramètres!$A$1:$I$89,3,0)*VLOOKUP('Données projet'!$B$14,Paramètres!$A$1:$I$89,5,0)</f>
        <v>3.177547114319168E-13</v>
      </c>
      <c r="DQ140" s="13">
        <f t="shared" si="151"/>
        <v>4.1725404435445377E-12</v>
      </c>
      <c r="DR140" s="20">
        <f t="shared" si="124"/>
        <v>7.820597394917325E-12</v>
      </c>
      <c r="DS140" s="59">
        <f t="shared" si="125"/>
        <v>284.99670540893322</v>
      </c>
      <c r="DT140" s="59">
        <f ca="1">AVERAGE(OFFSET($DS$3,0,0,'Données projet'!$E$14+1,1))-AVERAGE(OFFSET($H$3,0,0,'Données projet'!$E$14+1,1))</f>
        <v>407.05634973057056</v>
      </c>
      <c r="DU140" s="59">
        <f t="shared" si="152"/>
        <v>375.32891954889965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61.21838609535893</v>
      </c>
      <c r="EB140" s="21">
        <f>EXP(-LN(2)/25)*EB139+(1-EXP(-LN(2)/25))/(LN(2)/25)*Calculateur!DW140*Calculateur!DY140*VLOOKUP('Données projet'!$B$14,Paramètres!$A$1:$I$89,3,0)*0.475*44/12</f>
        <v>11.977317362806359</v>
      </c>
      <c r="EC140" s="21">
        <f>EXP(-LN(2)/2)*EC139+(1-EXP(-LN(2)/2))/(LN(2)/2)*DW140*DZ140*VLOOKUP('Données projet'!$B$14,Paramètres!$A$1:$I$89,3,0)*0.475*44/12</f>
        <v>6.2154685456435849E-9</v>
      </c>
      <c r="ED140" s="22">
        <f t="shared" si="126"/>
        <v>73.195703464380756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1.1368683772161603E-13</v>
      </c>
      <c r="EK140" s="17">
        <f>EJ140*VLOOKUP('Données projet'!$B$15,Paramètres!$A$1:$I$89,3,0)*VLOOKUP('Données projet'!$B$15,Paramètres!$A$1:$I$89,5,0)</f>
        <v>5.0249582272954292E-14</v>
      </c>
      <c r="EL140" s="13">
        <f t="shared" si="153"/>
        <v>8.1784820119191593E-13</v>
      </c>
      <c r="EM140" s="20">
        <f t="shared" si="127"/>
        <v>1.5119369728679821E-12</v>
      </c>
      <c r="EN140" s="59">
        <f t="shared" si="128"/>
        <v>284.99670540892691</v>
      </c>
      <c r="EO140" s="59">
        <f ca="1">AVERAGE(OFFSET($EN$3,0,0,'Données projet'!$E$15+1,1))-AVERAGE(OFFSET($H$3,0,0,'Données projet'!$E$15+1,1))</f>
        <v>418.28022549686278</v>
      </c>
      <c r="EP140" s="59">
        <f t="shared" si="154"/>
        <v>354.55070454517158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66.827029147675319</v>
      </c>
      <c r="EW140" s="21">
        <f>EXP(-LN(2)/25)*EW139+(1-EXP(-LN(2)/25))/(LN(2)/25)*Calculateur!ER140*Calculateur!ET140*VLOOKUP('Données projet'!$B$15,Paramètres!$A$1:$I$89,3,0)*0.475*44/12</f>
        <v>14.803208993197563</v>
      </c>
      <c r="EX140" s="21">
        <f>EXP(-LN(2)/2)*EX139+(1-EXP(-LN(2)/2))/(LN(2)/2)*ER140*EU140*VLOOKUP('Données projet'!$B$15,Paramètres!$A$1:$I$89,3,0)*0.475*44/12</f>
        <v>2.0705664333988841E-7</v>
      </c>
      <c r="EY140" s="22">
        <f t="shared" si="129"/>
        <v>81.63023834792952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7.3375000000000012</v>
      </c>
      <c r="FE140" s="12">
        <f>IF('Données projet'!$A$218&gt;35,FE139+FD140-FM139,IF(A140&lt;'Données projet'!$A$218,$FB$205^A140,IF(A140='Données projet'!$A$218,'Données projet'!$B$218,FE139+FD140-FM139)))</f>
        <v>328.55749999999995</v>
      </c>
      <c r="FF140" s="17">
        <f>FE140*VLOOKUP('Données projet'!$B$16,Paramètres!$A$1:$I$89,3,0)*VLOOKUP('Données projet'!$B$16,Paramètres!$A$1:$I$89,5,0)</f>
        <v>374.16128099999997</v>
      </c>
      <c r="FG140" s="13">
        <f t="shared" si="155"/>
        <v>86.518077245851956</v>
      </c>
      <c r="FH140" s="20">
        <f t="shared" si="130"/>
        <v>802.34988227819213</v>
      </c>
      <c r="FI140" s="59">
        <f t="shared" si="131"/>
        <v>1087.3465876871176</v>
      </c>
      <c r="FJ140" s="59">
        <f ca="1">AVERAGE(OFFSET($FI$3,0,0,'Données projet'!$E$16+1,1))-AVERAGE(OFFSET($H$3,0,0,'Données projet'!$E$16+1,1))</f>
        <v>640.05156427113661</v>
      </c>
      <c r="FK140" s="59">
        <f t="shared" si="156"/>
        <v>308.77220155372902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29.667508950689488</v>
      </c>
      <c r="FR140" s="21">
        <f>EXP(-LN(2)/25)*FR139+(1-EXP(-LN(2)/25))/(LN(2)/25)*Calculateur!FM140*Calculateur!FO140*VLOOKUP('Données projet'!$B$16,Paramètres!$A$1:$I$89,3,0)*0.475*44/12</f>
        <v>23.503452006240604</v>
      </c>
      <c r="FS140" s="21">
        <f>EXP(-LN(2)/2)*FS139+(1-EXP(-LN(2)/2))/(LN(2)/2)*FM140*FP140*VLOOKUP('Données projet'!$B$16,Paramètres!$A$1:$I$89,3,0)*0.475*44/12</f>
        <v>0.95337367474893986</v>
      </c>
      <c r="FT140" s="22">
        <f t="shared" si="132"/>
        <v>54.124334631679027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285.14132726550793</v>
      </c>
      <c r="S141" s="59">
        <f ca="1">AVERAGE(OFFSET($R$3,0,0,'Données projet'!$E$9+1,1))-AVERAGE(OFFSET($H$3,0,0,'Données projet'!$E$9+1,1))</f>
        <v>318.50474972254085</v>
      </c>
      <c r="T141" s="59">
        <f t="shared" si="142"/>
        <v>326.45858332753562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29.630487804541602</v>
      </c>
      <c r="AA141" s="21">
        <f>EXP(-LN(2)/25)*AA140+(1-EXP(-LN(2)/25))/(LN(2)/25)*Calculateur!V141*Calculateur!X141*VLOOKUP('Données projet'!$B$9,Paramètres!$A$1:$I$89,3,0)*0.475*44/12</f>
        <v>5.5717957795214641</v>
      </c>
      <c r="AB141" s="21">
        <f>EXP(-LN(2)/2)*AB140+(1-EXP(-LN(2)/2))/(LN(2)/2)*V141*Y141*VLOOKUP('Données projet'!$B$9,Paramètres!$A$1:$I$89,3,0)*0.475*44/12</f>
        <v>1.0906922911700075E-10</v>
      </c>
      <c r="AC141" s="22">
        <f t="shared" si="111"/>
        <v>35.202283584172136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1.7053025658242404E-13</v>
      </c>
      <c r="AJ141" s="13">
        <f>AI141*VLOOKUP('Données projet'!$B$10,Paramètres!$A$1:$I$89,3,0)*VLOOKUP('Données projet'!$B$10,Paramètres!$A$1:$I$89,5,0)</f>
        <v>7.9808160080574461E-14</v>
      </c>
      <c r="AK141" s="13">
        <f t="shared" si="143"/>
        <v>1.2308384591775343E-12</v>
      </c>
      <c r="AL141" s="20">
        <f t="shared" si="112"/>
        <v>2.282709528541206E-12</v>
      </c>
      <c r="AM141" s="59">
        <f t="shared" si="113"/>
        <v>285.14132726550821</v>
      </c>
      <c r="AN141" s="59">
        <f ca="1">AVERAGE(OFFSET($AM$3,0,0,'Données projet'!$E$10+1,1))-AVERAGE(OFFSET($H$3,0,0,'Données projet'!$E$10+1,1))</f>
        <v>374.38106339726073</v>
      </c>
      <c r="AO141" s="59">
        <f t="shared" si="144"/>
        <v>296.53283288925957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126.62308216292841</v>
      </c>
      <c r="AV141" s="21">
        <f>EXP(-LN(2)/25)*AV140+(1-EXP(-LN(2)/25))/(LN(2)/25)*Calculateur!AQ141*Calculateur!AS141*VLOOKUP('Données projet'!$B$10,Paramètres!$A$1:$I$89,3,0)*0.475*44/12</f>
        <v>36.990024097752524</v>
      </c>
      <c r="AW141" s="21">
        <f>EXP(-LN(2)/2)*AW140+(1-EXP(-LN(2)/2))/(LN(2)/2)*AQ141*AT141*VLOOKUP('Données projet'!$B$10,Paramètres!$A$1:$I$89,3,0)*0.475*44/12</f>
        <v>2.8645473478026253</v>
      </c>
      <c r="AX141" s="21">
        <f t="shared" si="114"/>
        <v>166.47765360848354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9.1440000000000055</v>
      </c>
      <c r="BD141" s="12">
        <f>IF('Données projet'!$A$88&gt;35,BD140+BC141-BL140,IF(A141&lt;'Données projet'!$A$88,$BA$205^A141,IF(A141='Données projet'!$A$88,'Données projet'!$B$88,BD140+BC141-BL140)))</f>
        <v>460.07600000000093</v>
      </c>
      <c r="BE141" s="13">
        <f>BD141*VLOOKUP('Données projet'!$B$11,Paramètres!$A$1:$I$89,3,0)*VLOOKUP('Données projet'!$B$11,Paramètres!$A$1:$I$89,5,0)</f>
        <v>416.27676480000082</v>
      </c>
      <c r="BF141" s="13">
        <f t="shared" si="145"/>
        <v>95.068830381071379</v>
      </c>
      <c r="BG141" s="20">
        <f t="shared" si="115"/>
        <v>890.5935782737007</v>
      </c>
      <c r="BH141" s="59">
        <f t="shared" si="116"/>
        <v>1175.7349055392067</v>
      </c>
      <c r="BI141" s="59">
        <f ca="1">AVERAGE(OFFSET($BH$3,0,0,'Données projet'!$E$11+1,1))-AVERAGE(OFFSET($H$3,0,0,'Données projet'!$E$11+1,1))</f>
        <v>681.47578137804555</v>
      </c>
      <c r="BJ141" s="59">
        <f t="shared" si="146"/>
        <v>300.88511065995885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41.338385057759957</v>
      </c>
      <c r="BQ141" s="21">
        <f>EXP(-LN(2)/25)*BQ140+(1-EXP(-LN(2)/25))/(LN(2)/25)*Calculateur!BL141*Calculateur!BN141*VLOOKUP('Données projet'!$B$11,Paramètres!$A$1:$I$89,3,0)*0.475*44/12</f>
        <v>21.273635761731079</v>
      </c>
      <c r="BR141" s="21">
        <f>EXP(-LN(2)/2)*BR140+(1-EXP(-LN(2)/2))/(LN(2)/2)*BL141*BO141*VLOOKUP('Données projet'!$B$11,Paramètres!$A$1:$I$89,3,0)*0.475*44/12</f>
        <v>3.9890471386911194E-2</v>
      </c>
      <c r="BS141" s="22">
        <f t="shared" si="117"/>
        <v>62.651911290877948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8.5265128291212022E-14</v>
      </c>
      <c r="BZ141" s="13">
        <f>BY141*VLOOKUP('Données projet'!$B$12,Paramètres!$A$1:$I$89,3,0)*VLOOKUP('Données projet'!$B$12,Paramètres!$A$1:$I$89,5,0)</f>
        <v>8.9119112089974823E-14</v>
      </c>
      <c r="CA141" s="13">
        <f t="shared" si="147"/>
        <v>1.3568952080113142E-12</v>
      </c>
      <c r="CB141" s="20">
        <f t="shared" si="118"/>
        <v>2.5184749408430782E-12</v>
      </c>
      <c r="CC141" s="59">
        <f t="shared" si="119"/>
        <v>285.14132726550844</v>
      </c>
      <c r="CD141" s="59">
        <f ca="1">AVERAGE(OFFSET($CC$3,0,0,'Données projet'!$E$12+1,1))-AVERAGE(OFFSET($H$3,0,0,'Données projet'!$E$12+1,1))</f>
        <v>290.69667785754848</v>
      </c>
      <c r="CE141" s="59">
        <f t="shared" si="148"/>
        <v>256.28124185489082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8.3862900176732484</v>
      </c>
      <c r="CL141" s="21">
        <f>EXP(-LN(2)/25)*CL140+(1-EXP(-LN(2)/25))/(LN(2)/25)*Calculateur!CG141*Calculateur!CI141*VLOOKUP('Données projet'!$B$12,Paramètres!$A$1:$I$89,3,0)*0.475*44/12</f>
        <v>15.846635510910469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24.232925528583717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408.246209980743</v>
      </c>
      <c r="CZ141" s="59">
        <f t="shared" si="150"/>
        <v>394.10236303013903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18.097636658387113</v>
      </c>
      <c r="DG141" s="21">
        <f>EXP(-LN(2)/25)*DG140+(1-EXP(-LN(2)/25))/(LN(2)/25)*Calculateur!DB141*Calculateur!DD141*VLOOKUP('Données projet'!$B$13,Paramètres!$A$1:$I$89,3,0)*0.475*44/12</f>
        <v>11.286170714169698</v>
      </c>
      <c r="DH141" s="21">
        <f>EXP(-LN(2)/2)*DH140+(1-EXP(-LN(2)/2))/(LN(2)/2)*DB141*DE141*VLOOKUP('Données projet'!$B$13,Paramètres!$A$1:$I$89,3,0)*0.475*44/12</f>
        <v>1.2766767028231475E-7</v>
      </c>
      <c r="DI141" s="22">
        <f t="shared" si="123"/>
        <v>29.383807500224481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5.6843418860808015E-13</v>
      </c>
      <c r="DP141" s="17">
        <f>DO141*VLOOKUP('Données projet'!$B$14,Paramètres!$A$1:$I$89,3,0)*VLOOKUP('Données projet'!$B$14,Paramètres!$A$1:$I$89,5,0)</f>
        <v>3.177547114319168E-13</v>
      </c>
      <c r="DQ141" s="13">
        <f t="shared" si="151"/>
        <v>4.1725404435445377E-12</v>
      </c>
      <c r="DR141" s="20">
        <f t="shared" si="124"/>
        <v>7.820597394917325E-12</v>
      </c>
      <c r="DS141" s="59">
        <f t="shared" si="125"/>
        <v>285.14132726551378</v>
      </c>
      <c r="DT141" s="59">
        <f ca="1">AVERAGE(OFFSET($DS$3,0,0,'Données projet'!$E$14+1,1))-AVERAGE(OFFSET($H$3,0,0,'Données projet'!$E$14+1,1))</f>
        <v>407.05634973057056</v>
      </c>
      <c r="DU141" s="59">
        <f t="shared" si="152"/>
        <v>375.32891954889965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60.01793088355749</v>
      </c>
      <c r="EB141" s="21">
        <f>EXP(-LN(2)/25)*EB140+(1-EXP(-LN(2)/25))/(LN(2)/25)*Calculateur!DW141*Calculateur!DY141*VLOOKUP('Données projet'!$B$14,Paramètres!$A$1:$I$89,3,0)*0.475*44/12</f>
        <v>11.649796989660674</v>
      </c>
      <c r="EC141" s="21">
        <f>EXP(-LN(2)/2)*EC140+(1-EXP(-LN(2)/2))/(LN(2)/2)*DW141*DZ141*VLOOKUP('Données projet'!$B$14,Paramètres!$A$1:$I$89,3,0)*0.475*44/12</f>
        <v>4.394999956876267E-9</v>
      </c>
      <c r="ED141" s="22">
        <f t="shared" si="126"/>
        <v>71.667727877613174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1.1368683772161603E-13</v>
      </c>
      <c r="EK141" s="17">
        <f>EJ141*VLOOKUP('Données projet'!$B$15,Paramètres!$A$1:$I$89,3,0)*VLOOKUP('Données projet'!$B$15,Paramètres!$A$1:$I$89,5,0)</f>
        <v>5.0249582272954292E-14</v>
      </c>
      <c r="EL141" s="13">
        <f t="shared" si="153"/>
        <v>8.1784820119191593E-13</v>
      </c>
      <c r="EM141" s="20">
        <f t="shared" si="127"/>
        <v>1.5119369728679821E-12</v>
      </c>
      <c r="EN141" s="59">
        <f t="shared" si="128"/>
        <v>285.14132726550747</v>
      </c>
      <c r="EO141" s="59">
        <f ca="1">AVERAGE(OFFSET($EN$3,0,0,'Données projet'!$E$15+1,1))-AVERAGE(OFFSET($H$3,0,0,'Données projet'!$E$15+1,1))</f>
        <v>418.28022549686278</v>
      </c>
      <c r="EP141" s="59">
        <f t="shared" si="154"/>
        <v>354.55070454517158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65.516591866552417</v>
      </c>
      <c r="EW141" s="21">
        <f>EXP(-LN(2)/25)*EW140+(1-EXP(-LN(2)/25))/(LN(2)/25)*Calculateur!ER141*Calculateur!ET141*VLOOKUP('Données projet'!$B$15,Paramètres!$A$1:$I$89,3,0)*0.475*44/12</f>
        <v>14.398414464811648</v>
      </c>
      <c r="EX141" s="21">
        <f>EXP(-LN(2)/2)*EX140+(1-EXP(-LN(2)/2))/(LN(2)/2)*ER141*EU141*VLOOKUP('Données projet'!$B$15,Paramètres!$A$1:$I$89,3,0)*0.475*44/12</f>
        <v>1.4641115659535948E-7</v>
      </c>
      <c r="EY141" s="22">
        <f t="shared" si="129"/>
        <v>79.915006477775222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7.3375000000000012</v>
      </c>
      <c r="FE141" s="12">
        <f>IF('Données projet'!$A$218&gt;35,FE140+FD141-FM140,IF(A141&lt;'Données projet'!$A$218,$FB$205^A141,IF(A141='Données projet'!$A$218,'Données projet'!$B$218,FE140+FD141-FM140)))</f>
        <v>335.89499999999992</v>
      </c>
      <c r="FF141" s="17">
        <f>FE141*VLOOKUP('Données projet'!$B$16,Paramètres!$A$1:$I$89,3,0)*VLOOKUP('Données projet'!$B$16,Paramètres!$A$1:$I$89,5,0)</f>
        <v>382.51722599999994</v>
      </c>
      <c r="FG141" s="13">
        <f t="shared" si="155"/>
        <v>88.223135009812083</v>
      </c>
      <c r="FH141" s="20">
        <f t="shared" si="130"/>
        <v>819.87279542542262</v>
      </c>
      <c r="FI141" s="59">
        <f t="shared" si="131"/>
        <v>1105.0141226909286</v>
      </c>
      <c r="FJ141" s="59">
        <f ca="1">AVERAGE(OFFSET($FI$3,0,0,'Données projet'!$E$16+1,1))-AVERAGE(OFFSET($H$3,0,0,'Données projet'!$E$16+1,1))</f>
        <v>640.05156427113661</v>
      </c>
      <c r="FK141" s="59">
        <f t="shared" si="156"/>
        <v>308.77220155372902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29.085747195560156</v>
      </c>
      <c r="FR141" s="21">
        <f>EXP(-LN(2)/25)*FR140+(1-EXP(-LN(2)/25))/(LN(2)/25)*Calculateur!FM141*Calculateur!FO141*VLOOKUP('Données projet'!$B$16,Paramètres!$A$1:$I$89,3,0)*0.475*44/12</f>
        <v>22.86074887513713</v>
      </c>
      <c r="FS141" s="21">
        <f>EXP(-LN(2)/2)*FS140+(1-EXP(-LN(2)/2))/(LN(2)/2)*FM141*FP141*VLOOKUP('Données projet'!$B$16,Paramètres!$A$1:$I$89,3,0)*0.475*44/12</f>
        <v>0.67413699041971342</v>
      </c>
      <c r="FT141" s="22">
        <f t="shared" si="132"/>
        <v>52.620633061116997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285.28344025620288</v>
      </c>
      <c r="S142" s="59">
        <f ca="1">AVERAGE(OFFSET($R$3,0,0,'Données projet'!$E$9+1,1))-AVERAGE(OFFSET($H$3,0,0,'Données projet'!$E$9+1,1))</f>
        <v>318.50474972254085</v>
      </c>
      <c r="T142" s="59">
        <f t="shared" si="142"/>
        <v>326.45858332753562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29.049452011507558</v>
      </c>
      <c r="AA142" s="21">
        <f>EXP(-LN(2)/25)*AA141+(1-EXP(-LN(2)/25))/(LN(2)/25)*Calculateur!V142*Calculateur!X142*VLOOKUP('Données projet'!$B$9,Paramètres!$A$1:$I$89,3,0)*0.475*44/12</f>
        <v>5.4194347309224442</v>
      </c>
      <c r="AB142" s="21">
        <f>EXP(-LN(2)/2)*AB141+(1-EXP(-LN(2)/2))/(LN(2)/2)*V142*Y142*VLOOKUP('Données projet'!$B$9,Paramètres!$A$1:$I$89,3,0)*0.475*44/12</f>
        <v>7.7123591527420465E-11</v>
      </c>
      <c r="AC142" s="22">
        <f t="shared" si="111"/>
        <v>34.468886742507124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1.7053025658242404E-13</v>
      </c>
      <c r="AJ142" s="13">
        <f>AI142*VLOOKUP('Données projet'!$B$10,Paramètres!$A$1:$I$89,3,0)*VLOOKUP('Données projet'!$B$10,Paramètres!$A$1:$I$89,5,0)</f>
        <v>7.9808160080574461E-14</v>
      </c>
      <c r="AK142" s="13">
        <f t="shared" si="143"/>
        <v>1.2308384591775343E-12</v>
      </c>
      <c r="AL142" s="20">
        <f t="shared" si="112"/>
        <v>2.282709528541206E-12</v>
      </c>
      <c r="AM142" s="59">
        <f t="shared" si="113"/>
        <v>285.28344025620316</v>
      </c>
      <c r="AN142" s="59">
        <f ca="1">AVERAGE(OFFSET($AM$3,0,0,'Données projet'!$E$10+1,1))-AVERAGE(OFFSET($H$3,0,0,'Données projet'!$E$10+1,1))</f>
        <v>374.38106339726073</v>
      </c>
      <c r="AO142" s="59">
        <f t="shared" si="144"/>
        <v>296.53283288925957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124.14008075416743</v>
      </c>
      <c r="AV142" s="21">
        <f>EXP(-LN(2)/25)*AV141+(1-EXP(-LN(2)/25))/(LN(2)/25)*Calculateur!AQ142*Calculateur!AS142*VLOOKUP('Données projet'!$B$10,Paramètres!$A$1:$I$89,3,0)*0.475*44/12</f>
        <v>35.978529943578657</v>
      </c>
      <c r="AW142" s="21">
        <f>EXP(-LN(2)/2)*AW141+(1-EXP(-LN(2)/2))/(LN(2)/2)*AQ142*AT142*VLOOKUP('Données projet'!$B$10,Paramètres!$A$1:$I$89,3,0)*0.475*44/12</f>
        <v>2.0255408546611759</v>
      </c>
      <c r="AX142" s="21">
        <f t="shared" si="114"/>
        <v>162.14415155240727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9.1440000000000055</v>
      </c>
      <c r="BD142" s="12">
        <f>IF('Données projet'!$A$88&gt;35,BD141+BC142-BL141,IF(A142&lt;'Données projet'!$A$88,$BA$205^A142,IF(A142='Données projet'!$A$88,'Données projet'!$B$88,BD141+BC142-BL141)))</f>
        <v>469.22000000000094</v>
      </c>
      <c r="BE142" s="13">
        <f>BD142*VLOOKUP('Données projet'!$B$11,Paramètres!$A$1:$I$89,3,0)*VLOOKUP('Données projet'!$B$11,Paramètres!$A$1:$I$89,5,0)</f>
        <v>424.55025600000084</v>
      </c>
      <c r="BF142" s="13">
        <f t="shared" si="145"/>
        <v>96.736467404516418</v>
      </c>
      <c r="BG142" s="20">
        <f t="shared" si="115"/>
        <v>907.90770992953412</v>
      </c>
      <c r="BH142" s="59">
        <f t="shared" si="116"/>
        <v>1193.1911501857351</v>
      </c>
      <c r="BI142" s="59">
        <f ca="1">AVERAGE(OFFSET($BH$3,0,0,'Données projet'!$E$11+1,1))-AVERAGE(OFFSET($H$3,0,0,'Données projet'!$E$11+1,1))</f>
        <v>681.47578137804555</v>
      </c>
      <c r="BJ142" s="59">
        <f t="shared" si="146"/>
        <v>300.88511065995885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40.527764540702499</v>
      </c>
      <c r="BQ142" s="21">
        <f>EXP(-LN(2)/25)*BQ141+(1-EXP(-LN(2)/25))/(LN(2)/25)*Calculateur!BL142*Calculateur!BN142*VLOOKUP('Données projet'!$B$11,Paramètres!$A$1:$I$89,3,0)*0.475*44/12</f>
        <v>20.691907073094658</v>
      </c>
      <c r="BR142" s="21">
        <f>EXP(-LN(2)/2)*BR141+(1-EXP(-LN(2)/2))/(LN(2)/2)*BL142*BO142*VLOOKUP('Données projet'!$B$11,Paramètres!$A$1:$I$89,3,0)*0.475*44/12</f>
        <v>2.8206822822412849E-2</v>
      </c>
      <c r="BS142" s="22">
        <f t="shared" si="117"/>
        <v>61.247878436619573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8.5265128291212022E-14</v>
      </c>
      <c r="BZ142" s="13">
        <f>BY142*VLOOKUP('Données projet'!$B$12,Paramètres!$A$1:$I$89,3,0)*VLOOKUP('Données projet'!$B$12,Paramètres!$A$1:$I$89,5,0)</f>
        <v>8.9119112089974823E-14</v>
      </c>
      <c r="CA142" s="13">
        <f t="shared" si="147"/>
        <v>1.3568952080113142E-12</v>
      </c>
      <c r="CB142" s="20">
        <f t="shared" si="118"/>
        <v>2.5184749408430782E-12</v>
      </c>
      <c r="CC142" s="59">
        <f t="shared" si="119"/>
        <v>285.28344025620339</v>
      </c>
      <c r="CD142" s="59">
        <f ca="1">AVERAGE(OFFSET($CC$3,0,0,'Données projet'!$E$12+1,1))-AVERAGE(OFFSET($H$3,0,0,'Données projet'!$E$12+1,1))</f>
        <v>290.69667785754848</v>
      </c>
      <c r="CE142" s="59">
        <f t="shared" si="148"/>
        <v>256.28124185489082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8.2218399855585087</v>
      </c>
      <c r="CL142" s="21">
        <f>EXP(-LN(2)/25)*CL141+(1-EXP(-LN(2)/25))/(LN(2)/25)*Calculateur!CG142*Calculateur!CI142*VLOOKUP('Données projet'!$B$12,Paramètres!$A$1:$I$89,3,0)*0.475*44/12</f>
        <v>15.413308429526278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23.635148415084785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408.246209980743</v>
      </c>
      <c r="CZ142" s="59">
        <f t="shared" si="150"/>
        <v>394.10236303013903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17.742753041984546</v>
      </c>
      <c r="DG142" s="21">
        <f>EXP(-LN(2)/25)*DG141+(1-EXP(-LN(2)/25))/(LN(2)/25)*Calculateur!DB142*Calculateur!DD142*VLOOKUP('Données projet'!$B$13,Paramètres!$A$1:$I$89,3,0)*0.475*44/12</f>
        <v>10.977549782476805</v>
      </c>
      <c r="DH142" s="21">
        <f>EXP(-LN(2)/2)*DH141+(1-EXP(-LN(2)/2))/(LN(2)/2)*DB142*DE142*VLOOKUP('Données projet'!$B$13,Paramètres!$A$1:$I$89,3,0)*0.475*44/12</f>
        <v>9.0274675394913036E-8</v>
      </c>
      <c r="DI142" s="22">
        <f t="shared" si="123"/>
        <v>28.720302914736024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5.6843418860808015E-13</v>
      </c>
      <c r="DP142" s="17">
        <f>DO142*VLOOKUP('Données projet'!$B$14,Paramètres!$A$1:$I$89,3,0)*VLOOKUP('Données projet'!$B$14,Paramètres!$A$1:$I$89,5,0)</f>
        <v>3.177547114319168E-13</v>
      </c>
      <c r="DQ142" s="13">
        <f t="shared" si="151"/>
        <v>4.1725404435445377E-12</v>
      </c>
      <c r="DR142" s="20">
        <f t="shared" si="124"/>
        <v>7.820597394917325E-12</v>
      </c>
      <c r="DS142" s="59">
        <f t="shared" si="125"/>
        <v>285.28344025620873</v>
      </c>
      <c r="DT142" s="59">
        <f ca="1">AVERAGE(OFFSET($DS$3,0,0,'Données projet'!$E$14+1,1))-AVERAGE(OFFSET($H$3,0,0,'Données projet'!$E$14+1,1))</f>
        <v>407.05634973057056</v>
      </c>
      <c r="DU142" s="59">
        <f t="shared" si="152"/>
        <v>375.32891954889965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58.841015866254097</v>
      </c>
      <c r="EB142" s="21">
        <f>EXP(-LN(2)/25)*EB141+(1-EXP(-LN(2)/25))/(LN(2)/25)*Calculateur!DW142*Calculateur!DY142*VLOOKUP('Données projet'!$B$14,Paramètres!$A$1:$I$89,3,0)*0.475*44/12</f>
        <v>11.331232678342205</v>
      </c>
      <c r="EC142" s="21">
        <f>EXP(-LN(2)/2)*EC141+(1-EXP(-LN(2)/2))/(LN(2)/2)*DW142*DZ142*VLOOKUP('Données projet'!$B$14,Paramètres!$A$1:$I$89,3,0)*0.475*44/12</f>
        <v>3.1077342728217924E-9</v>
      </c>
      <c r="ED142" s="22">
        <f t="shared" si="126"/>
        <v>70.172248547704029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1.1368683772161603E-13</v>
      </c>
      <c r="EK142" s="17">
        <f>EJ142*VLOOKUP('Données projet'!$B$15,Paramètres!$A$1:$I$89,3,0)*VLOOKUP('Données projet'!$B$15,Paramètres!$A$1:$I$89,5,0)</f>
        <v>5.0249582272954292E-14</v>
      </c>
      <c r="EL142" s="13">
        <f t="shared" si="153"/>
        <v>8.1784820119191593E-13</v>
      </c>
      <c r="EM142" s="20">
        <f t="shared" si="127"/>
        <v>1.5119369728679821E-12</v>
      </c>
      <c r="EN142" s="59">
        <f t="shared" si="128"/>
        <v>285.28344025620243</v>
      </c>
      <c r="EO142" s="59">
        <f ca="1">AVERAGE(OFFSET($EN$3,0,0,'Données projet'!$E$15+1,1))-AVERAGE(OFFSET($H$3,0,0,'Données projet'!$E$15+1,1))</f>
        <v>418.28022549686278</v>
      </c>
      <c r="EP142" s="59">
        <f t="shared" si="154"/>
        <v>354.55070454517158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64.231851461224522</v>
      </c>
      <c r="EW142" s="21">
        <f>EXP(-LN(2)/25)*EW141+(1-EXP(-LN(2)/25))/(LN(2)/25)*Calculateur!ER142*Calculateur!ET142*VLOOKUP('Données projet'!$B$15,Paramètres!$A$1:$I$89,3,0)*0.475*44/12</f>
        <v>14.004689064091664</v>
      </c>
      <c r="EX142" s="21">
        <f>EXP(-LN(2)/2)*EX141+(1-EXP(-LN(2)/2))/(LN(2)/2)*ER142*EU142*VLOOKUP('Données projet'!$B$15,Paramètres!$A$1:$I$89,3,0)*0.475*44/12</f>
        <v>1.035283216699442E-7</v>
      </c>
      <c r="EY142" s="22">
        <f t="shared" si="129"/>
        <v>78.236540628844509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7.3375000000000012</v>
      </c>
      <c r="FE142" s="12">
        <f>IF('Données projet'!$A$218&gt;35,FE141+FD142-FM141,IF(A142&lt;'Données projet'!$A$218,$FB$205^A142,IF(A142='Données projet'!$A$218,'Données projet'!$B$218,FE141+FD142-FM141)))</f>
        <v>343.2324999999999</v>
      </c>
      <c r="FF142" s="17">
        <f>FE142*VLOOKUP('Données projet'!$B$16,Paramètres!$A$1:$I$89,3,0)*VLOOKUP('Données projet'!$B$16,Paramètres!$A$1:$I$89,5,0)</f>
        <v>390.8731709999999</v>
      </c>
      <c r="FG142" s="13">
        <f t="shared" si="155"/>
        <v>89.923862442362179</v>
      </c>
      <c r="FH142" s="20">
        <f t="shared" si="130"/>
        <v>837.38816657878067</v>
      </c>
      <c r="FI142" s="59">
        <f t="shared" si="131"/>
        <v>1122.6716068349815</v>
      </c>
      <c r="FJ142" s="59">
        <f ca="1">AVERAGE(OFFSET($FI$3,0,0,'Données projet'!$E$16+1,1))-AVERAGE(OFFSET($H$3,0,0,'Données projet'!$E$16+1,1))</f>
        <v>640.05156427113661</v>
      </c>
      <c r="FK142" s="59">
        <f t="shared" si="156"/>
        <v>308.77220155372902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28.515393433609276</v>
      </c>
      <c r="FR142" s="21">
        <f>EXP(-LN(2)/25)*FR141+(1-EXP(-LN(2)/25))/(LN(2)/25)*Calculateur!FM142*Calculateur!FO142*VLOOKUP('Données projet'!$B$16,Paramètres!$A$1:$I$89,3,0)*0.475*44/12</f>
        <v>22.23562049495197</v>
      </c>
      <c r="FS142" s="21">
        <f>EXP(-LN(2)/2)*FS141+(1-EXP(-LN(2)/2))/(LN(2)/2)*FM142*FP142*VLOOKUP('Données projet'!$B$16,Paramètres!$A$1:$I$89,3,0)*0.475*44/12</f>
        <v>0.47668683737447004</v>
      </c>
      <c r="FT142" s="22">
        <f t="shared" si="132"/>
        <v>51.227700765935722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285.42308790422635</v>
      </c>
      <c r="S143" s="59">
        <f ca="1">AVERAGE(OFFSET($R$3,0,0,'Données projet'!$E$9+1,1))-AVERAGE(OFFSET($H$3,0,0,'Données projet'!$E$9+1,1))</f>
        <v>318.50474972254085</v>
      </c>
      <c r="T143" s="59">
        <f t="shared" si="142"/>
        <v>326.45858332753562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28.479809975978075</v>
      </c>
      <c r="AA143" s="21">
        <f>EXP(-LN(2)/25)*AA142+(1-EXP(-LN(2)/25))/(LN(2)/25)*Calculateur!V143*Calculateur!X143*VLOOKUP('Données projet'!$B$9,Paramètres!$A$1:$I$89,3,0)*0.475*44/12</f>
        <v>5.2712400032096838</v>
      </c>
      <c r="AB143" s="21">
        <f>EXP(-LN(2)/2)*AB142+(1-EXP(-LN(2)/2))/(LN(2)/2)*V143*Y143*VLOOKUP('Données projet'!$B$9,Paramètres!$A$1:$I$89,3,0)*0.475*44/12</f>
        <v>5.4534614558500374E-11</v>
      </c>
      <c r="AC143" s="22">
        <f t="shared" si="111"/>
        <v>33.751049979242289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1.7053025658242404E-13</v>
      </c>
      <c r="AJ143" s="13">
        <f>AI143*VLOOKUP('Données projet'!$B$10,Paramètres!$A$1:$I$89,3,0)*VLOOKUP('Données projet'!$B$10,Paramètres!$A$1:$I$89,5,0)</f>
        <v>7.9808160080574461E-14</v>
      </c>
      <c r="AK143" s="13">
        <f t="shared" si="143"/>
        <v>1.2308384591775343E-12</v>
      </c>
      <c r="AL143" s="20">
        <f t="shared" si="112"/>
        <v>2.282709528541206E-12</v>
      </c>
      <c r="AM143" s="59">
        <f t="shared" si="113"/>
        <v>285.42308790422663</v>
      </c>
      <c r="AN143" s="59">
        <f ca="1">AVERAGE(OFFSET($AM$3,0,0,'Données projet'!$E$10+1,1))-AVERAGE(OFFSET($H$3,0,0,'Données projet'!$E$10+1,1))</f>
        <v>374.38106339726073</v>
      </c>
      <c r="AO143" s="59">
        <f t="shared" si="144"/>
        <v>296.53283288925957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121.70576948855094</v>
      </c>
      <c r="AV143" s="21">
        <f>EXP(-LN(2)/25)*AV142+(1-EXP(-LN(2)/25))/(LN(2)/25)*Calculateur!AQ143*Calculateur!AS143*VLOOKUP('Données projet'!$B$10,Paramètres!$A$1:$I$89,3,0)*0.475*44/12</f>
        <v>34.99469515024284</v>
      </c>
      <c r="AW143" s="21">
        <f>EXP(-LN(2)/2)*AW142+(1-EXP(-LN(2)/2))/(LN(2)/2)*AQ143*AT143*VLOOKUP('Données projet'!$B$10,Paramètres!$A$1:$I$89,3,0)*0.475*44/12</f>
        <v>1.4322736739013127</v>
      </c>
      <c r="AX143" s="21">
        <f t="shared" si="114"/>
        <v>158.1327383126951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9.1440000000000055</v>
      </c>
      <c r="BD143" s="12">
        <f>IF('Données projet'!$A$88&gt;35,BD142+BC143-BL142,IF(A143&lt;'Données projet'!$A$88,$BA$205^A143,IF(A143='Données projet'!$A$88,'Données projet'!$B$88,BD142+BC143-BL142)))</f>
        <v>478.36400000000094</v>
      </c>
      <c r="BE143" s="13">
        <f>BD143*VLOOKUP('Données projet'!$B$11,Paramètres!$A$1:$I$89,3,0)*VLOOKUP('Données projet'!$B$11,Paramètres!$A$1:$I$89,5,0)</f>
        <v>432.82374720000081</v>
      </c>
      <c r="BF143" s="13">
        <f t="shared" si="145"/>
        <v>98.400325655042849</v>
      </c>
      <c r="BG143" s="20">
        <f t="shared" si="115"/>
        <v>925.21526022253431</v>
      </c>
      <c r="BH143" s="59">
        <f t="shared" si="116"/>
        <v>1210.6383481267587</v>
      </c>
      <c r="BI143" s="59">
        <f ca="1">AVERAGE(OFFSET($BH$3,0,0,'Données projet'!$E$11+1,1))-AVERAGE(OFFSET($H$3,0,0,'Données projet'!$E$11+1,1))</f>
        <v>681.47578137804555</v>
      </c>
      <c r="BJ143" s="59">
        <f t="shared" si="146"/>
        <v>300.88511065995885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39.733039797554845</v>
      </c>
      <c r="BQ143" s="21">
        <f>EXP(-LN(2)/25)*BQ142+(1-EXP(-LN(2)/25))/(LN(2)/25)*Calculateur!BL143*Calculateur!BN143*VLOOKUP('Données projet'!$B$11,Paramètres!$A$1:$I$89,3,0)*0.475*44/12</f>
        <v>20.126085786040782</v>
      </c>
      <c r="BR143" s="21">
        <f>EXP(-LN(2)/2)*BR142+(1-EXP(-LN(2)/2))/(LN(2)/2)*BL143*BO143*VLOOKUP('Données projet'!$B$11,Paramètres!$A$1:$I$89,3,0)*0.475*44/12</f>
        <v>1.9945235693455597E-2</v>
      </c>
      <c r="BS143" s="22">
        <f t="shared" si="117"/>
        <v>59.879070819289083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8.5265128291212022E-14</v>
      </c>
      <c r="BZ143" s="13">
        <f>BY143*VLOOKUP('Données projet'!$B$12,Paramètres!$A$1:$I$89,3,0)*VLOOKUP('Données projet'!$B$12,Paramètres!$A$1:$I$89,5,0)</f>
        <v>8.9119112089974823E-14</v>
      </c>
      <c r="CA143" s="13">
        <f t="shared" si="147"/>
        <v>1.3568952080113142E-12</v>
      </c>
      <c r="CB143" s="20">
        <f t="shared" si="118"/>
        <v>2.5184749408430782E-12</v>
      </c>
      <c r="CC143" s="59">
        <f t="shared" si="119"/>
        <v>285.42308790422686</v>
      </c>
      <c r="CD143" s="59">
        <f ca="1">AVERAGE(OFFSET($CC$3,0,0,'Données projet'!$E$12+1,1))-AVERAGE(OFFSET($H$3,0,0,'Données projet'!$E$12+1,1))</f>
        <v>290.69667785754848</v>
      </c>
      <c r="CE143" s="59">
        <f t="shared" si="148"/>
        <v>256.28124185489082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8.0606147182689245</v>
      </c>
      <c r="CL143" s="21">
        <f>EXP(-LN(2)/25)*CL142+(1-EXP(-LN(2)/25))/(LN(2)/25)*Calculateur!CG143*Calculateur!CI143*VLOOKUP('Données projet'!$B$12,Paramètres!$A$1:$I$89,3,0)*0.475*44/12</f>
        <v>14.991830699970219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23.052445418239145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408.246209980743</v>
      </c>
      <c r="CZ143" s="59">
        <f t="shared" si="150"/>
        <v>394.10236303013903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17.394828476842001</v>
      </c>
      <c r="DG143" s="21">
        <f>EXP(-LN(2)/25)*DG142+(1-EXP(-LN(2)/25))/(LN(2)/25)*Calculateur!DB143*Calculateur!DD143*VLOOKUP('Données projet'!$B$13,Paramètres!$A$1:$I$89,3,0)*0.475*44/12</f>
        <v>10.677368106390723</v>
      </c>
      <c r="DH143" s="21">
        <f>EXP(-LN(2)/2)*DH142+(1-EXP(-LN(2)/2))/(LN(2)/2)*DB143*DE143*VLOOKUP('Données projet'!$B$13,Paramètres!$A$1:$I$89,3,0)*0.475*44/12</f>
        <v>6.3833835141157377E-8</v>
      </c>
      <c r="DI143" s="22">
        <f t="shared" si="123"/>
        <v>28.072196647066558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5.6843418860808015E-13</v>
      </c>
      <c r="DP143" s="17">
        <f>DO143*VLOOKUP('Données projet'!$B$14,Paramètres!$A$1:$I$89,3,0)*VLOOKUP('Données projet'!$B$14,Paramètres!$A$1:$I$89,5,0)</f>
        <v>3.177547114319168E-13</v>
      </c>
      <c r="DQ143" s="13">
        <f t="shared" si="151"/>
        <v>4.1725404435445377E-12</v>
      </c>
      <c r="DR143" s="20">
        <f t="shared" si="124"/>
        <v>7.820597394917325E-12</v>
      </c>
      <c r="DS143" s="59">
        <f t="shared" si="125"/>
        <v>285.4230879042322</v>
      </c>
      <c r="DT143" s="59">
        <f ca="1">AVERAGE(OFFSET($DS$3,0,0,'Données projet'!$E$14+1,1))-AVERAGE(OFFSET($H$3,0,0,'Données projet'!$E$14+1,1))</f>
        <v>407.05634973057056</v>
      </c>
      <c r="DU143" s="59">
        <f t="shared" si="152"/>
        <v>375.32891954889965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57.687179434592743</v>
      </c>
      <c r="EB143" s="21">
        <f>EXP(-LN(2)/25)*EB142+(1-EXP(-LN(2)/25))/(LN(2)/25)*Calculateur!DW143*Calculateur!DY143*VLOOKUP('Données projet'!$B$14,Paramètres!$A$1:$I$89,3,0)*0.475*44/12</f>
        <v>11.021379524869308</v>
      </c>
      <c r="EC143" s="21">
        <f>EXP(-LN(2)/2)*EC142+(1-EXP(-LN(2)/2))/(LN(2)/2)*DW143*DZ143*VLOOKUP('Données projet'!$B$14,Paramètres!$A$1:$I$89,3,0)*0.475*44/12</f>
        <v>2.1974999784381335E-9</v>
      </c>
      <c r="ED143" s="22">
        <f t="shared" si="126"/>
        <v>68.708558961659548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1.1368683772161603E-13</v>
      </c>
      <c r="EK143" s="17">
        <f>EJ143*VLOOKUP('Données projet'!$B$15,Paramètres!$A$1:$I$89,3,0)*VLOOKUP('Données projet'!$B$15,Paramètres!$A$1:$I$89,5,0)</f>
        <v>5.0249582272954292E-14</v>
      </c>
      <c r="EL143" s="13">
        <f t="shared" si="153"/>
        <v>8.1784820119191593E-13</v>
      </c>
      <c r="EM143" s="20">
        <f t="shared" si="127"/>
        <v>1.5119369728679821E-12</v>
      </c>
      <c r="EN143" s="59">
        <f t="shared" si="128"/>
        <v>285.42308790422589</v>
      </c>
      <c r="EO143" s="59">
        <f ca="1">AVERAGE(OFFSET($EN$3,0,0,'Données projet'!$E$15+1,1))-AVERAGE(OFFSET($H$3,0,0,'Données projet'!$E$15+1,1))</f>
        <v>418.28022549686278</v>
      </c>
      <c r="EP143" s="59">
        <f t="shared" si="154"/>
        <v>354.55070454517158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62.972304031630841</v>
      </c>
      <c r="EW143" s="21">
        <f>EXP(-LN(2)/25)*EW142+(1-EXP(-LN(2)/25))/(LN(2)/25)*Calculateur!ER143*Calculateur!ET143*VLOOKUP('Données projet'!$B$15,Paramètres!$A$1:$I$89,3,0)*0.475*44/12</f>
        <v>13.621730105159488</v>
      </c>
      <c r="EX143" s="21">
        <f>EXP(-LN(2)/2)*EX142+(1-EXP(-LN(2)/2))/(LN(2)/2)*ER143*EU143*VLOOKUP('Données projet'!$B$15,Paramètres!$A$1:$I$89,3,0)*0.475*44/12</f>
        <v>7.3205578297679742E-8</v>
      </c>
      <c r="EY143" s="22">
        <f t="shared" si="129"/>
        <v>76.594034209995911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7.3375000000000012</v>
      </c>
      <c r="FE143" s="12">
        <f>IF('Données projet'!$A$218&gt;35,FE142+FD143-FM142,IF(A143&lt;'Données projet'!$A$218,$FB$205^A143,IF(A143='Données projet'!$A$218,'Données projet'!$B$218,FE142+FD143-FM142)))</f>
        <v>350.56999999999988</v>
      </c>
      <c r="FF143" s="17">
        <f>FE143*VLOOKUP('Données projet'!$B$16,Paramètres!$A$1:$I$89,3,0)*VLOOKUP('Données projet'!$B$16,Paramètres!$A$1:$I$89,5,0)</f>
        <v>399.22911599999986</v>
      </c>
      <c r="FG143" s="13">
        <f t="shared" si="155"/>
        <v>91.620362778572016</v>
      </c>
      <c r="FH143" s="20">
        <f t="shared" si="130"/>
        <v>854.89617553934602</v>
      </c>
      <c r="FI143" s="59">
        <f t="shared" si="131"/>
        <v>1140.3192634435704</v>
      </c>
      <c r="FJ143" s="59">
        <f ca="1">AVERAGE(OFFSET($FI$3,0,0,'Données projet'!$E$16+1,1))-AVERAGE(OFFSET($H$3,0,0,'Données projet'!$E$16+1,1))</f>
        <v>640.05156427113661</v>
      </c>
      <c r="FK143" s="59">
        <f t="shared" si="156"/>
        <v>308.77220155372902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27.95622396104881</v>
      </c>
      <c r="FR143" s="21">
        <f>EXP(-LN(2)/25)*FR142+(1-EXP(-LN(2)/25))/(LN(2)/25)*Calculateur!FM143*Calculateur!FO143*VLOOKUP('Données projet'!$B$16,Paramètres!$A$1:$I$89,3,0)*0.475*44/12</f>
        <v>21.627586283197047</v>
      </c>
      <c r="FS143" s="21">
        <f>EXP(-LN(2)/2)*FS142+(1-EXP(-LN(2)/2))/(LN(2)/2)*FM143*FP143*VLOOKUP('Données projet'!$B$16,Paramètres!$A$1:$I$89,3,0)*0.475*44/12</f>
        <v>0.33706849520985677</v>
      </c>
      <c r="FT143" s="22">
        <f t="shared" si="132"/>
        <v>49.920878739455709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285.56031297776201</v>
      </c>
      <c r="S144" s="59">
        <f ca="1">AVERAGE(OFFSET($R$3,0,0,'Données projet'!$E$9+1,1))-AVERAGE(OFFSET($H$3,0,0,'Données projet'!$E$9+1,1))</f>
        <v>318.50474972254085</v>
      </c>
      <c r="T144" s="59">
        <f t="shared" si="142"/>
        <v>326.45858332753562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27.921338273317989</v>
      </c>
      <c r="AA144" s="21">
        <f>EXP(-LN(2)/25)*AA143+(1-EXP(-LN(2)/25))/(LN(2)/25)*Calculateur!V144*Calculateur!X144*VLOOKUP('Données projet'!$B$9,Paramètres!$A$1:$I$89,3,0)*0.475*44/12</f>
        <v>5.1270976681194504</v>
      </c>
      <c r="AB144" s="21">
        <f>EXP(-LN(2)/2)*AB143+(1-EXP(-LN(2)/2))/(LN(2)/2)*V144*Y144*VLOOKUP('Données projet'!$B$9,Paramètres!$A$1:$I$89,3,0)*0.475*44/12</f>
        <v>3.8561795763710233E-11</v>
      </c>
      <c r="AC144" s="22">
        <f t="shared" si="111"/>
        <v>33.048435941476001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1.7053025658242404E-13</v>
      </c>
      <c r="AJ144" s="13">
        <f>AI144*VLOOKUP('Données projet'!$B$10,Paramètres!$A$1:$I$89,3,0)*VLOOKUP('Données projet'!$B$10,Paramètres!$A$1:$I$89,5,0)</f>
        <v>7.9808160080574461E-14</v>
      </c>
      <c r="AK144" s="13">
        <f t="shared" si="143"/>
        <v>1.2308384591775343E-12</v>
      </c>
      <c r="AL144" s="20">
        <f t="shared" si="112"/>
        <v>2.282709528541206E-12</v>
      </c>
      <c r="AM144" s="59">
        <f t="shared" si="113"/>
        <v>285.56031297776229</v>
      </c>
      <c r="AN144" s="59">
        <f ca="1">AVERAGE(OFFSET($AM$3,0,0,'Données projet'!$E$10+1,1))-AVERAGE(OFFSET($H$3,0,0,'Données projet'!$E$10+1,1))</f>
        <v>374.38106339726073</v>
      </c>
      <c r="AO144" s="59">
        <f t="shared" si="144"/>
        <v>296.53283288925957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119.31919358206993</v>
      </c>
      <c r="AV144" s="21">
        <f>EXP(-LN(2)/25)*AV143+(1-EXP(-LN(2)/25))/(LN(2)/25)*Calculateur!AQ144*Calculateur!AS144*VLOOKUP('Données projet'!$B$10,Paramètres!$A$1:$I$89,3,0)*0.475*44/12</f>
        <v>34.037763371068415</v>
      </c>
      <c r="AW144" s="21">
        <f>EXP(-LN(2)/2)*AW143+(1-EXP(-LN(2)/2))/(LN(2)/2)*AQ144*AT144*VLOOKUP('Données projet'!$B$10,Paramètres!$A$1:$I$89,3,0)*0.475*44/12</f>
        <v>1.012770427330588</v>
      </c>
      <c r="AX144" s="21">
        <f t="shared" si="114"/>
        <v>154.36972738046893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9.1440000000000055</v>
      </c>
      <c r="BD144" s="12">
        <f>IF('Données projet'!$A$88&gt;35,BD143+BC144-BL143,IF(A144&lt;'Données projet'!$A$88,$BA$205^A144,IF(A144='Données projet'!$A$88,'Données projet'!$B$88,BD143+BC144-BL143)))</f>
        <v>487.50800000000095</v>
      </c>
      <c r="BE144" s="13">
        <f>BD144*VLOOKUP('Données projet'!$B$11,Paramètres!$A$1:$I$89,3,0)*VLOOKUP('Données projet'!$B$11,Paramètres!$A$1:$I$89,5,0)</f>
        <v>441.09723840000083</v>
      </c>
      <c r="BF144" s="13">
        <f t="shared" si="145"/>
        <v>100.06048569250036</v>
      </c>
      <c r="BG144" s="20">
        <f t="shared" si="115"/>
        <v>942.51636946110614</v>
      </c>
      <c r="BH144" s="59">
        <f t="shared" si="116"/>
        <v>1228.0766824388661</v>
      </c>
      <c r="BI144" s="59">
        <f ca="1">AVERAGE(OFFSET($BH$3,0,0,'Données projet'!$E$11+1,1))-AVERAGE(OFFSET($H$3,0,0,'Données projet'!$E$11+1,1))</f>
        <v>681.47578137804555</v>
      </c>
      <c r="BJ144" s="59">
        <f t="shared" si="146"/>
        <v>300.88511065995885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38.953899121886089</v>
      </c>
      <c r="BQ144" s="21">
        <f>EXP(-LN(2)/25)*BQ143+(1-EXP(-LN(2)/25))/(LN(2)/25)*Calculateur!BL144*Calculateur!BN144*VLOOKUP('Données projet'!$B$11,Paramètres!$A$1:$I$89,3,0)*0.475*44/12</f>
        <v>19.575736911836646</v>
      </c>
      <c r="BR144" s="21">
        <f>EXP(-LN(2)/2)*BR143+(1-EXP(-LN(2)/2))/(LN(2)/2)*BL144*BO144*VLOOKUP('Données projet'!$B$11,Paramètres!$A$1:$I$89,3,0)*0.475*44/12</f>
        <v>1.4103411411206425E-2</v>
      </c>
      <c r="BS144" s="22">
        <f t="shared" si="117"/>
        <v>58.543739445133944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8.5265128291212022E-14</v>
      </c>
      <c r="BZ144" s="13">
        <f>BY144*VLOOKUP('Données projet'!$B$12,Paramètres!$A$1:$I$89,3,0)*VLOOKUP('Données projet'!$B$12,Paramètres!$A$1:$I$89,5,0)</f>
        <v>8.9119112089974823E-14</v>
      </c>
      <c r="CA144" s="13">
        <f t="shared" si="147"/>
        <v>1.3568952080113142E-12</v>
      </c>
      <c r="CB144" s="20">
        <f t="shared" si="118"/>
        <v>2.5184749408430782E-12</v>
      </c>
      <c r="CC144" s="59">
        <f t="shared" si="119"/>
        <v>285.56031297776252</v>
      </c>
      <c r="CD144" s="59">
        <f ca="1">AVERAGE(OFFSET($CC$3,0,0,'Données projet'!$E$12+1,1))-AVERAGE(OFFSET($H$3,0,0,'Données projet'!$E$12+1,1))</f>
        <v>290.69667785754848</v>
      </c>
      <c r="CE144" s="59">
        <f t="shared" si="148"/>
        <v>256.28124185489082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7.9025509801331859</v>
      </c>
      <c r="CL144" s="21">
        <f>EXP(-LN(2)/25)*CL143+(1-EXP(-LN(2)/25))/(LN(2)/25)*Calculateur!CG144*Calculateur!CI144*VLOOKUP('Données projet'!$B$12,Paramètres!$A$1:$I$89,3,0)*0.475*44/12</f>
        <v>14.581878301093422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22.484429281226607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408.246209980743</v>
      </c>
      <c r="CZ144" s="59">
        <f t="shared" si="150"/>
        <v>394.10236303013903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17.053726500208871</v>
      </c>
      <c r="DG144" s="21">
        <f>EXP(-LN(2)/25)*DG143+(1-EXP(-LN(2)/25))/(LN(2)/25)*Calculateur!DB144*Calculateur!DD144*VLOOKUP('Données projet'!$B$13,Paramètres!$A$1:$I$89,3,0)*0.475*44/12</f>
        <v>10.385394914023085</v>
      </c>
      <c r="DH144" s="21">
        <f>EXP(-LN(2)/2)*DH143+(1-EXP(-LN(2)/2))/(LN(2)/2)*DB144*DE144*VLOOKUP('Données projet'!$B$13,Paramètres!$A$1:$I$89,3,0)*0.475*44/12</f>
        <v>4.5137337697456518E-8</v>
      </c>
      <c r="DI144" s="22">
        <f t="shared" si="123"/>
        <v>27.439121459369293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5.6843418860808015E-13</v>
      </c>
      <c r="DP144" s="17">
        <f>DO144*VLOOKUP('Données projet'!$B$14,Paramètres!$A$1:$I$89,3,0)*VLOOKUP('Données projet'!$B$14,Paramètres!$A$1:$I$89,5,0)</f>
        <v>3.177547114319168E-13</v>
      </c>
      <c r="DQ144" s="13">
        <f t="shared" si="151"/>
        <v>4.1725404435445377E-12</v>
      </c>
      <c r="DR144" s="20">
        <f t="shared" si="124"/>
        <v>7.820597394917325E-12</v>
      </c>
      <c r="DS144" s="59">
        <f t="shared" si="125"/>
        <v>285.56031297776786</v>
      </c>
      <c r="DT144" s="59">
        <f ca="1">AVERAGE(OFFSET($DS$3,0,0,'Données projet'!$E$14+1,1))-AVERAGE(OFFSET($H$3,0,0,'Données projet'!$E$14+1,1))</f>
        <v>407.05634973057056</v>
      </c>
      <c r="DU144" s="59">
        <f t="shared" si="152"/>
        <v>375.32891954889965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56.555969031585533</v>
      </c>
      <c r="EB144" s="21">
        <f>EXP(-LN(2)/25)*EB143+(1-EXP(-LN(2)/25))/(LN(2)/25)*Calculateur!DW144*Calculateur!DY144*VLOOKUP('Données projet'!$B$14,Paramètres!$A$1:$I$89,3,0)*0.475*44/12</f>
        <v>10.719999322172598</v>
      </c>
      <c r="EC144" s="21">
        <f>EXP(-LN(2)/2)*EC143+(1-EXP(-LN(2)/2))/(LN(2)/2)*DW144*DZ144*VLOOKUP('Données projet'!$B$14,Paramètres!$A$1:$I$89,3,0)*0.475*44/12</f>
        <v>1.5538671364108962E-9</v>
      </c>
      <c r="ED144" s="22">
        <f t="shared" si="126"/>
        <v>67.275968355312003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1.1368683772161603E-13</v>
      </c>
      <c r="EK144" s="17">
        <f>EJ144*VLOOKUP('Données projet'!$B$15,Paramètres!$A$1:$I$89,3,0)*VLOOKUP('Données projet'!$B$15,Paramètres!$A$1:$I$89,5,0)</f>
        <v>5.0249582272954292E-14</v>
      </c>
      <c r="EL144" s="13">
        <f t="shared" si="153"/>
        <v>8.1784820119191593E-13</v>
      </c>
      <c r="EM144" s="20">
        <f t="shared" si="127"/>
        <v>1.5119369728679821E-12</v>
      </c>
      <c r="EN144" s="59">
        <f t="shared" si="128"/>
        <v>285.56031297776155</v>
      </c>
      <c r="EO144" s="59">
        <f ca="1">AVERAGE(OFFSET($EN$3,0,0,'Données projet'!$E$15+1,1))-AVERAGE(OFFSET($H$3,0,0,'Données projet'!$E$15+1,1))</f>
        <v>418.28022549686278</v>
      </c>
      <c r="EP144" s="59">
        <f t="shared" si="154"/>
        <v>354.55070454517158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61.737455558883418</v>
      </c>
      <c r="EW144" s="21">
        <f>EXP(-LN(2)/25)*EW143+(1-EXP(-LN(2)/25))/(LN(2)/25)*Calculateur!ER144*Calculateur!ET144*VLOOKUP('Données projet'!$B$15,Paramètres!$A$1:$I$89,3,0)*0.475*44/12</f>
        <v>13.249243179098249</v>
      </c>
      <c r="EX144" s="21">
        <f>EXP(-LN(2)/2)*EX143+(1-EXP(-LN(2)/2))/(LN(2)/2)*ER144*EU144*VLOOKUP('Données projet'!$B$15,Paramètres!$A$1:$I$89,3,0)*0.475*44/12</f>
        <v>5.1764160834972102E-8</v>
      </c>
      <c r="EY144" s="22">
        <f t="shared" si="129"/>
        <v>74.98669878974583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7.3375000000000012</v>
      </c>
      <c r="FE144" s="12">
        <f>IF('Données projet'!$A$218&gt;35,FE143+FD144-FM143,IF(A144&lt;'Données projet'!$A$218,$FB$205^A144,IF(A144='Données projet'!$A$218,'Données projet'!$B$218,FE143+FD144-FM143)))</f>
        <v>357.90749999999986</v>
      </c>
      <c r="FF144" s="17">
        <f>FE144*VLOOKUP('Données projet'!$B$16,Paramètres!$A$1:$I$89,3,0)*VLOOKUP('Données projet'!$B$16,Paramètres!$A$1:$I$89,5,0)</f>
        <v>407.58506099999983</v>
      </c>
      <c r="FG144" s="13">
        <f t="shared" si="155"/>
        <v>93.312734685105752</v>
      </c>
      <c r="FH144" s="20">
        <f t="shared" si="130"/>
        <v>872.39699415155883</v>
      </c>
      <c r="FI144" s="59">
        <f t="shared" si="131"/>
        <v>1157.9573071293189</v>
      </c>
      <c r="FJ144" s="59">
        <f ca="1">AVERAGE(OFFSET($FI$3,0,0,'Données projet'!$E$16+1,1))-AVERAGE(OFFSET($H$3,0,0,'Données projet'!$E$16+1,1))</f>
        <v>640.05156427113661</v>
      </c>
      <c r="FK144" s="59">
        <f t="shared" si="156"/>
        <v>308.77220155372902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27.408019460785553</v>
      </c>
      <c r="FR144" s="21">
        <f>EXP(-LN(2)/25)*FR143+(1-EXP(-LN(2)/25))/(LN(2)/25)*Calculateur!FM144*Calculateur!FO144*VLOOKUP('Données projet'!$B$16,Paramètres!$A$1:$I$89,3,0)*0.475*44/12</f>
        <v>21.036178798937691</v>
      </c>
      <c r="FS144" s="21">
        <f>EXP(-LN(2)/2)*FS143+(1-EXP(-LN(2)/2))/(LN(2)/2)*FM144*FP144*VLOOKUP('Données projet'!$B$16,Paramètres!$A$1:$I$89,3,0)*0.475*44/12</f>
        <v>0.23834341868723505</v>
      </c>
      <c r="FT144" s="22">
        <f t="shared" si="132"/>
        <v>48.68254167841048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285.69515750306107</v>
      </c>
      <c r="S145" s="59">
        <f ca="1">AVERAGE(OFFSET($R$3,0,0,'Données projet'!$E$9+1,1))-AVERAGE(OFFSET($H$3,0,0,'Données projet'!$E$9+1,1))</f>
        <v>318.50474972254085</v>
      </c>
      <c r="T145" s="59">
        <f t="shared" si="142"/>
        <v>326.45858332753562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27.373817860112965</v>
      </c>
      <c r="AA145" s="21">
        <f>EXP(-LN(2)/25)*AA144+(1-EXP(-LN(2)/25))/(LN(2)/25)*Calculateur!V145*Calculateur!X145*VLOOKUP('Données projet'!$B$9,Paramètres!$A$1:$I$89,3,0)*0.475*44/12</f>
        <v>4.9868969127623757</v>
      </c>
      <c r="AB145" s="21">
        <f>EXP(-LN(2)/2)*AB144+(1-EXP(-LN(2)/2))/(LN(2)/2)*V145*Y145*VLOOKUP('Données projet'!$B$9,Paramètres!$A$1:$I$89,3,0)*0.475*44/12</f>
        <v>2.7267307279250187E-11</v>
      </c>
      <c r="AC145" s="22">
        <f t="shared" si="111"/>
        <v>32.360714772902611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1.7053025658242404E-13</v>
      </c>
      <c r="AJ145" s="13">
        <f>AI145*VLOOKUP('Données projet'!$B$10,Paramètres!$A$1:$I$89,3,0)*VLOOKUP('Données projet'!$B$10,Paramètres!$A$1:$I$89,5,0)</f>
        <v>7.9808160080574461E-14</v>
      </c>
      <c r="AK145" s="13">
        <f t="shared" si="143"/>
        <v>1.2308384591775343E-12</v>
      </c>
      <c r="AL145" s="20">
        <f t="shared" si="112"/>
        <v>2.282709528541206E-12</v>
      </c>
      <c r="AM145" s="59">
        <f t="shared" si="113"/>
        <v>285.69515750306135</v>
      </c>
      <c r="AN145" s="59">
        <f ca="1">AVERAGE(OFFSET($AM$3,0,0,'Données projet'!$E$10+1,1))-AVERAGE(OFFSET($H$3,0,0,'Données projet'!$E$10+1,1))</f>
        <v>374.38106339726073</v>
      </c>
      <c r="AO145" s="59">
        <f t="shared" si="144"/>
        <v>296.53283288925957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116.97941697344744</v>
      </c>
      <c r="AV145" s="21">
        <f>EXP(-LN(2)/25)*AV144+(1-EXP(-LN(2)/25))/(LN(2)/25)*Calculateur!AQ145*Calculateur!AS145*VLOOKUP('Données projet'!$B$10,Paramètres!$A$1:$I$89,3,0)*0.475*44/12</f>
        <v>33.106998941718366</v>
      </c>
      <c r="AW145" s="21">
        <f>EXP(-LN(2)/2)*AW144+(1-EXP(-LN(2)/2))/(LN(2)/2)*AQ145*AT145*VLOOKUP('Données projet'!$B$10,Paramètres!$A$1:$I$89,3,0)*0.475*44/12</f>
        <v>0.71613683695065633</v>
      </c>
      <c r="AX145" s="21">
        <f t="shared" si="114"/>
        <v>150.80255275211647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9.1440000000000055</v>
      </c>
      <c r="BD145" s="12">
        <f>IF('Données projet'!$A$88&gt;35,BD144+BC145-BL144,IF(A145&lt;'Données projet'!$A$88,$BA$205^A145,IF(A145='Données projet'!$A$88,'Données projet'!$B$88,BD144+BC145-BL144)))</f>
        <v>496.65200000000095</v>
      </c>
      <c r="BE145" s="13">
        <f>BD145*VLOOKUP('Données projet'!$B$11,Paramètres!$A$1:$I$89,3,0)*VLOOKUP('Données projet'!$B$11,Paramètres!$A$1:$I$89,5,0)</f>
        <v>449.37072960000086</v>
      </c>
      <c r="BF145" s="13">
        <f t="shared" si="145"/>
        <v>101.71702488172154</v>
      </c>
      <c r="BG145" s="20">
        <f t="shared" si="115"/>
        <v>959.81117238899981</v>
      </c>
      <c r="BH145" s="59">
        <f t="shared" si="116"/>
        <v>1245.5063298920588</v>
      </c>
      <c r="BI145" s="59">
        <f ca="1">AVERAGE(OFFSET($BH$3,0,0,'Données projet'!$E$11+1,1))-AVERAGE(OFFSET($H$3,0,0,'Données projet'!$E$11+1,1))</f>
        <v>681.47578137804555</v>
      </c>
      <c r="BJ145" s="59">
        <f t="shared" si="146"/>
        <v>300.88511065995885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38.19003691963831</v>
      </c>
      <c r="BQ145" s="21">
        <f>EXP(-LN(2)/25)*BQ144+(1-EXP(-LN(2)/25))/(LN(2)/25)*Calculateur!BL145*Calculateur!BN145*VLOOKUP('Données projet'!$B$11,Paramètres!$A$1:$I$89,3,0)*0.475*44/12</f>
        <v>19.040437356539211</v>
      </c>
      <c r="BR145" s="21">
        <f>EXP(-LN(2)/2)*BR144+(1-EXP(-LN(2)/2))/(LN(2)/2)*BL145*BO145*VLOOKUP('Données projet'!$B$11,Paramètres!$A$1:$I$89,3,0)*0.475*44/12</f>
        <v>9.9726178467277986E-3</v>
      </c>
      <c r="BS145" s="22">
        <f t="shared" si="117"/>
        <v>57.240446894024245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8.5265128291212022E-14</v>
      </c>
      <c r="BZ145" s="13">
        <f>BY145*VLOOKUP('Données projet'!$B$12,Paramètres!$A$1:$I$89,3,0)*VLOOKUP('Données projet'!$B$12,Paramètres!$A$1:$I$89,5,0)</f>
        <v>8.9119112089974823E-14</v>
      </c>
      <c r="CA145" s="13">
        <f t="shared" si="147"/>
        <v>1.3568952080113142E-12</v>
      </c>
      <c r="CB145" s="20">
        <f t="shared" si="118"/>
        <v>2.5184749408430782E-12</v>
      </c>
      <c r="CC145" s="59">
        <f t="shared" si="119"/>
        <v>285.69515750306158</v>
      </c>
      <c r="CD145" s="59">
        <f ca="1">AVERAGE(OFFSET($CC$3,0,0,'Données projet'!$E$12+1,1))-AVERAGE(OFFSET($H$3,0,0,'Données projet'!$E$12+1,1))</f>
        <v>290.69667785754848</v>
      </c>
      <c r="CE145" s="59">
        <f t="shared" si="148"/>
        <v>256.28124185489082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7.7475867754929286</v>
      </c>
      <c r="CL145" s="21">
        <f>EXP(-LN(2)/25)*CL144+(1-EXP(-LN(2)/25))/(LN(2)/25)*Calculateur!CG145*Calculateur!CI145*VLOOKUP('Données projet'!$B$12,Paramètres!$A$1:$I$89,3,0)*0.475*44/12</f>
        <v>14.18313607212237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21.9307228476153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408.246209980743</v>
      </c>
      <c r="CZ145" s="59">
        <f t="shared" si="150"/>
        <v>394.10236303013903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16.719313325285853</v>
      </c>
      <c r="DG145" s="21">
        <f>EXP(-LN(2)/25)*DG144+(1-EXP(-LN(2)/25))/(LN(2)/25)*Calculateur!DB145*Calculateur!DD145*VLOOKUP('Données projet'!$B$13,Paramètres!$A$1:$I$89,3,0)*0.475*44/12</f>
        <v>10.10140574395494</v>
      </c>
      <c r="DH145" s="21">
        <f>EXP(-LN(2)/2)*DH144+(1-EXP(-LN(2)/2))/(LN(2)/2)*DB145*DE145*VLOOKUP('Données projet'!$B$13,Paramètres!$A$1:$I$89,3,0)*0.475*44/12</f>
        <v>3.1916917570578688E-8</v>
      </c>
      <c r="DI145" s="22">
        <f t="shared" si="123"/>
        <v>26.820719101157714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5.6843418860808015E-13</v>
      </c>
      <c r="DP145" s="17">
        <f>DO145*VLOOKUP('Données projet'!$B$14,Paramètres!$A$1:$I$89,3,0)*VLOOKUP('Données projet'!$B$14,Paramètres!$A$1:$I$89,5,0)</f>
        <v>3.177547114319168E-13</v>
      </c>
      <c r="DQ145" s="13">
        <f t="shared" si="151"/>
        <v>4.1725404435445377E-12</v>
      </c>
      <c r="DR145" s="20">
        <f t="shared" si="124"/>
        <v>7.820597394917325E-12</v>
      </c>
      <c r="DS145" s="59">
        <f t="shared" si="125"/>
        <v>285.69515750306692</v>
      </c>
      <c r="DT145" s="59">
        <f ca="1">AVERAGE(OFFSET($DS$3,0,0,'Données projet'!$E$14+1,1))-AVERAGE(OFFSET($H$3,0,0,'Données projet'!$E$14+1,1))</f>
        <v>407.05634973057056</v>
      </c>
      <c r="DU145" s="59">
        <f t="shared" si="152"/>
        <v>375.32891954889965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55.446940974611081</v>
      </c>
      <c r="EB145" s="21">
        <f>EXP(-LN(2)/25)*EB144+(1-EXP(-LN(2)/25))/(LN(2)/25)*Calculateur!DW145*Calculateur!DY145*VLOOKUP('Données projet'!$B$14,Paramètres!$A$1:$I$89,3,0)*0.475*44/12</f>
        <v>10.426860376967525</v>
      </c>
      <c r="EC145" s="21">
        <f>EXP(-LN(2)/2)*EC144+(1-EXP(-LN(2)/2))/(LN(2)/2)*DW145*DZ145*VLOOKUP('Données projet'!$B$14,Paramètres!$A$1:$I$89,3,0)*0.475*44/12</f>
        <v>1.0987499892190668E-9</v>
      </c>
      <c r="ED145" s="22">
        <f t="shared" si="126"/>
        <v>65.873801352677361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1.1368683772161603E-13</v>
      </c>
      <c r="EK145" s="17">
        <f>EJ145*VLOOKUP('Données projet'!$B$15,Paramètres!$A$1:$I$89,3,0)*VLOOKUP('Données projet'!$B$15,Paramètres!$A$1:$I$89,5,0)</f>
        <v>5.0249582272954292E-14</v>
      </c>
      <c r="EL145" s="13">
        <f t="shared" si="153"/>
        <v>8.1784820119191593E-13</v>
      </c>
      <c r="EM145" s="20">
        <f t="shared" si="127"/>
        <v>1.5119369728679821E-12</v>
      </c>
      <c r="EN145" s="59">
        <f t="shared" si="128"/>
        <v>285.69515750306061</v>
      </c>
      <c r="EO145" s="59">
        <f ca="1">AVERAGE(OFFSET($EN$3,0,0,'Données projet'!$E$15+1,1))-AVERAGE(OFFSET($H$3,0,0,'Données projet'!$E$15+1,1))</f>
        <v>418.28022549686278</v>
      </c>
      <c r="EP145" s="59">
        <f t="shared" si="154"/>
        <v>354.55070454517158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60.526821711503374</v>
      </c>
      <c r="EW145" s="21">
        <f>EXP(-LN(2)/25)*EW144+(1-EXP(-LN(2)/25))/(LN(2)/25)*Calculateur!ER145*Calculateur!ET145*VLOOKUP('Données projet'!$B$15,Paramètres!$A$1:$I$89,3,0)*0.475*44/12</f>
        <v>12.886941927618389</v>
      </c>
      <c r="EX145" s="21">
        <f>EXP(-LN(2)/2)*EX144+(1-EXP(-LN(2)/2))/(LN(2)/2)*ER145*EU145*VLOOKUP('Données projet'!$B$15,Paramètres!$A$1:$I$89,3,0)*0.475*44/12</f>
        <v>3.6602789148839871E-8</v>
      </c>
      <c r="EY145" s="22">
        <f t="shared" si="129"/>
        <v>73.413763675724553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7.3375000000000012</v>
      </c>
      <c r="FE145" s="12">
        <f>IF('Données projet'!$A$218&gt;35,FE144+FD145-FM144,IF(A145&lt;'Données projet'!$A$218,$FB$205^A145,IF(A145='Données projet'!$A$218,'Données projet'!$B$218,FE144+FD145-FM144)))</f>
        <v>365.24499999999983</v>
      </c>
      <c r="FF145" s="17">
        <f>FE145*VLOOKUP('Données projet'!$B$16,Paramètres!$A$1:$I$89,3,0)*VLOOKUP('Données projet'!$B$16,Paramètres!$A$1:$I$89,5,0)</f>
        <v>415.94100599999985</v>
      </c>
      <c r="FG145" s="13">
        <f t="shared" si="155"/>
        <v>95.001072551829481</v>
      </c>
      <c r="FH145" s="20">
        <f t="shared" si="130"/>
        <v>889.89078681110277</v>
      </c>
      <c r="FI145" s="59">
        <f t="shared" si="131"/>
        <v>1175.5859443141619</v>
      </c>
      <c r="FJ145" s="59">
        <f ca="1">AVERAGE(OFFSET($FI$3,0,0,'Données projet'!$E$16+1,1))-AVERAGE(OFFSET($H$3,0,0,'Données projet'!$E$16+1,1))</f>
        <v>640.05156427113661</v>
      </c>
      <c r="FK145" s="59">
        <f t="shared" si="156"/>
        <v>308.77220155372902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26.870564916400728</v>
      </c>
      <c r="FR145" s="21">
        <f>EXP(-LN(2)/25)*FR144+(1-EXP(-LN(2)/25))/(LN(2)/25)*Calculateur!FM145*Calculateur!FO145*VLOOKUP('Données projet'!$B$16,Paramètres!$A$1:$I$89,3,0)*0.475*44/12</f>
        <v>20.460943383436174</v>
      </c>
      <c r="FS145" s="21">
        <f>EXP(-LN(2)/2)*FS144+(1-EXP(-LN(2)/2))/(LN(2)/2)*FM145*FP145*VLOOKUP('Données projet'!$B$16,Paramètres!$A$1:$I$89,3,0)*0.475*44/12</f>
        <v>0.16853424760492841</v>
      </c>
      <c r="FT145" s="22">
        <f t="shared" si="132"/>
        <v>47.500042547441829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285.82766277731344</v>
      </c>
      <c r="S146" s="59">
        <f ca="1">AVERAGE(OFFSET($R$3,0,0,'Données projet'!$E$9+1,1))-AVERAGE(OFFSET($H$3,0,0,'Données projet'!$E$9+1,1))</f>
        <v>318.50474972254085</v>
      </c>
      <c r="T146" s="59">
        <f t="shared" si="142"/>
        <v>326.45858332753562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26.837033988256415</v>
      </c>
      <c r="AA146" s="21">
        <f>EXP(-LN(2)/25)*AA145+(1-EXP(-LN(2)/25))/(LN(2)/25)*Calculateur!V146*Calculateur!X146*VLOOKUP('Données projet'!$B$9,Paramètres!$A$1:$I$89,3,0)*0.475*44/12</f>
        <v>4.8505299544333775</v>
      </c>
      <c r="AB146" s="21">
        <f>EXP(-LN(2)/2)*AB145+(1-EXP(-LN(2)/2))/(LN(2)/2)*V146*Y146*VLOOKUP('Données projet'!$B$9,Paramètres!$A$1:$I$89,3,0)*0.475*44/12</f>
        <v>1.9280897881855116E-11</v>
      </c>
      <c r="AC146" s="22">
        <f t="shared" si="111"/>
        <v>31.687563942709073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1.7053025658242404E-13</v>
      </c>
      <c r="AJ146" s="13">
        <f>AI146*VLOOKUP('Données projet'!$B$10,Paramètres!$A$1:$I$89,3,0)*VLOOKUP('Données projet'!$B$10,Paramètres!$A$1:$I$89,5,0)</f>
        <v>7.9808160080574461E-14</v>
      </c>
      <c r="AK146" s="13">
        <f t="shared" si="143"/>
        <v>1.2308384591775343E-12</v>
      </c>
      <c r="AL146" s="20">
        <f t="shared" si="112"/>
        <v>2.282709528541206E-12</v>
      </c>
      <c r="AM146" s="59">
        <f t="shared" si="113"/>
        <v>285.82766277731372</v>
      </c>
      <c r="AN146" s="59">
        <f ca="1">AVERAGE(OFFSET($AM$3,0,0,'Données projet'!$E$10+1,1))-AVERAGE(OFFSET($H$3,0,0,'Données projet'!$E$10+1,1))</f>
        <v>374.38106339726073</v>
      </c>
      <c r="AO146" s="59">
        <f t="shared" si="144"/>
        <v>296.53283288925957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114.68552195699722</v>
      </c>
      <c r="AV146" s="21">
        <f>EXP(-LN(2)/25)*AV145+(1-EXP(-LN(2)/25))/(LN(2)/25)*Calculateur!AQ146*Calculateur!AS146*VLOOKUP('Données projet'!$B$10,Paramètres!$A$1:$I$89,3,0)*0.475*44/12</f>
        <v>32.201686314635673</v>
      </c>
      <c r="AW146" s="21">
        <f>EXP(-LN(2)/2)*AW145+(1-EXP(-LN(2)/2))/(LN(2)/2)*AQ146*AT146*VLOOKUP('Données projet'!$B$10,Paramètres!$A$1:$I$89,3,0)*0.475*44/12</f>
        <v>0.50638521366529399</v>
      </c>
      <c r="AX146" s="21">
        <f t="shared" si="114"/>
        <v>147.39359348529817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9.1440000000000055</v>
      </c>
      <c r="BD146" s="12">
        <f>IF('Données projet'!$A$88&gt;35,BD145+BC146-BL145,IF(A146&lt;'Données projet'!$A$88,$BA$205^A146,IF(A146='Données projet'!$A$88,'Données projet'!$B$88,BD145+BC146-BL145)))</f>
        <v>505.79600000000096</v>
      </c>
      <c r="BE146" s="13">
        <f>BD146*VLOOKUP('Données projet'!$B$11,Paramètres!$A$1:$I$89,3,0)*VLOOKUP('Données projet'!$B$11,Paramètres!$A$1:$I$89,5,0)</f>
        <v>457.64422080000088</v>
      </c>
      <c r="BF146" s="13">
        <f t="shared" si="145"/>
        <v>103.37001757568726</v>
      </c>
      <c r="BG146" s="20">
        <f t="shared" si="115"/>
        <v>977.0997985043233</v>
      </c>
      <c r="BH146" s="59">
        <f t="shared" si="116"/>
        <v>1262.9274612816348</v>
      </c>
      <c r="BI146" s="59">
        <f ca="1">AVERAGE(OFFSET($BH$3,0,0,'Données projet'!$E$11+1,1))-AVERAGE(OFFSET($H$3,0,0,'Données projet'!$E$11+1,1))</f>
        <v>681.47578137804555</v>
      </c>
      <c r="BJ146" s="59">
        <f t="shared" si="146"/>
        <v>300.88511065995885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37.441153589266669</v>
      </c>
      <c r="BQ146" s="21">
        <f>EXP(-LN(2)/25)*BQ145+(1-EXP(-LN(2)/25))/(LN(2)/25)*Calculateur!BL146*Calculateur!BN146*VLOOKUP('Données projet'!$B$11,Paramètres!$A$1:$I$89,3,0)*0.475*44/12</f>
        <v>18.519775595731563</v>
      </c>
      <c r="BR146" s="21">
        <f>EXP(-LN(2)/2)*BR145+(1-EXP(-LN(2)/2))/(LN(2)/2)*BL146*BO146*VLOOKUP('Données projet'!$B$11,Paramètres!$A$1:$I$89,3,0)*0.475*44/12</f>
        <v>7.0517057056032123E-3</v>
      </c>
      <c r="BS146" s="22">
        <f t="shared" si="117"/>
        <v>55.967980890703842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8.5265128291212022E-14</v>
      </c>
      <c r="BZ146" s="13">
        <f>BY146*VLOOKUP('Données projet'!$B$12,Paramètres!$A$1:$I$89,3,0)*VLOOKUP('Données projet'!$B$12,Paramètres!$A$1:$I$89,5,0)</f>
        <v>8.9119112089974823E-14</v>
      </c>
      <c r="CA146" s="13">
        <f t="shared" si="147"/>
        <v>1.3568952080113142E-12</v>
      </c>
      <c r="CB146" s="20">
        <f t="shared" si="118"/>
        <v>2.5184749408430782E-12</v>
      </c>
      <c r="CC146" s="59">
        <f t="shared" si="119"/>
        <v>285.82766277731395</v>
      </c>
      <c r="CD146" s="59">
        <f ca="1">AVERAGE(OFFSET($CC$3,0,0,'Données projet'!$E$12+1,1))-AVERAGE(OFFSET($H$3,0,0,'Données projet'!$E$12+1,1))</f>
        <v>290.69667785754848</v>
      </c>
      <c r="CE146" s="59">
        <f t="shared" si="148"/>
        <v>256.28124185489082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7.5956613243868345</v>
      </c>
      <c r="CL146" s="21">
        <f>EXP(-LN(2)/25)*CL145+(1-EXP(-LN(2)/25))/(LN(2)/25)*Calculateur!CG146*Calculateur!CI146*VLOOKUP('Données projet'!$B$12,Paramètres!$A$1:$I$89,3,0)*0.475*44/12</f>
        <v>13.795297470371473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21.390958794758308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408.246209980743</v>
      </c>
      <c r="CZ146" s="59">
        <f t="shared" si="150"/>
        <v>394.10236303013903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16.391457788751179</v>
      </c>
      <c r="DG146" s="21">
        <f>EXP(-LN(2)/25)*DG145+(1-EXP(-LN(2)/25))/(LN(2)/25)*Calculateur!DB146*Calculateur!DD146*VLOOKUP('Données projet'!$B$13,Paramètres!$A$1:$I$89,3,0)*0.475*44/12</f>
        <v>9.8251822726766509</v>
      </c>
      <c r="DH146" s="21">
        <f>EXP(-LN(2)/2)*DH145+(1-EXP(-LN(2)/2))/(LN(2)/2)*DB146*DE146*VLOOKUP('Données projet'!$B$13,Paramètres!$A$1:$I$89,3,0)*0.475*44/12</f>
        <v>2.2568668848728259E-8</v>
      </c>
      <c r="DI146" s="22">
        <f t="shared" si="123"/>
        <v>26.216640083996502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5.6843418860808015E-13</v>
      </c>
      <c r="DP146" s="17">
        <f>DO146*VLOOKUP('Données projet'!$B$14,Paramètres!$A$1:$I$89,3,0)*VLOOKUP('Données projet'!$B$14,Paramètres!$A$1:$I$89,5,0)</f>
        <v>3.177547114319168E-13</v>
      </c>
      <c r="DQ146" s="13">
        <f t="shared" si="151"/>
        <v>4.1725404435445377E-12</v>
      </c>
      <c r="DR146" s="20">
        <f t="shared" si="124"/>
        <v>7.820597394917325E-12</v>
      </c>
      <c r="DS146" s="59">
        <f t="shared" si="125"/>
        <v>285.82766277731929</v>
      </c>
      <c r="DT146" s="59">
        <f ca="1">AVERAGE(OFFSET($DS$3,0,0,'Données projet'!$E$14+1,1))-AVERAGE(OFFSET($H$3,0,0,'Données projet'!$E$14+1,1))</f>
        <v>407.05634973057056</v>
      </c>
      <c r="DU146" s="59">
        <f t="shared" si="152"/>
        <v>375.32891954889965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54.359660281393573</v>
      </c>
      <c r="EB146" s="21">
        <f>EXP(-LN(2)/25)*EB145+(1-EXP(-LN(2)/25))/(LN(2)/25)*Calculateur!DW146*Calculateur!DY146*VLOOKUP('Données projet'!$B$14,Paramètres!$A$1:$I$89,3,0)*0.475*44/12</f>
        <v>10.141737331634593</v>
      </c>
      <c r="EC146" s="21">
        <f>EXP(-LN(2)/2)*EC145+(1-EXP(-LN(2)/2))/(LN(2)/2)*DW146*DZ146*VLOOKUP('Données projet'!$B$14,Paramètres!$A$1:$I$89,3,0)*0.475*44/12</f>
        <v>7.7693356820544811E-10</v>
      </c>
      <c r="ED146" s="22">
        <f t="shared" si="126"/>
        <v>64.501397613805096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1.1368683772161603E-13</v>
      </c>
      <c r="EK146" s="17">
        <f>EJ146*VLOOKUP('Données projet'!$B$15,Paramètres!$A$1:$I$89,3,0)*VLOOKUP('Données projet'!$B$15,Paramètres!$A$1:$I$89,5,0)</f>
        <v>5.0249582272954292E-14</v>
      </c>
      <c r="EL146" s="13">
        <f t="shared" si="153"/>
        <v>8.1784820119191593E-13</v>
      </c>
      <c r="EM146" s="20">
        <f t="shared" si="127"/>
        <v>1.5119369728679821E-12</v>
      </c>
      <c r="EN146" s="59">
        <f t="shared" si="128"/>
        <v>285.82766277731298</v>
      </c>
      <c r="EO146" s="59">
        <f ca="1">AVERAGE(OFFSET($EN$3,0,0,'Données projet'!$E$15+1,1))-AVERAGE(OFFSET($H$3,0,0,'Données projet'!$E$15+1,1))</f>
        <v>418.28022549686278</v>
      </c>
      <c r="EP146" s="59">
        <f t="shared" si="154"/>
        <v>354.55070454517158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59.339927655456712</v>
      </c>
      <c r="EW146" s="21">
        <f>EXP(-LN(2)/25)*EW145+(1-EXP(-LN(2)/25))/(LN(2)/25)*Calculateur!ER146*Calculateur!ET146*VLOOKUP('Données projet'!$B$15,Paramètres!$A$1:$I$89,3,0)*0.475*44/12</f>
        <v>12.534547822912842</v>
      </c>
      <c r="EX146" s="21">
        <f>EXP(-LN(2)/2)*EX145+(1-EXP(-LN(2)/2))/(LN(2)/2)*ER146*EU146*VLOOKUP('Données projet'!$B$15,Paramètres!$A$1:$I$89,3,0)*0.475*44/12</f>
        <v>2.5882080417486051E-8</v>
      </c>
      <c r="EY146" s="22">
        <f t="shared" si="129"/>
        <v>71.874475504251635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7.3375000000000012</v>
      </c>
      <c r="FE146" s="12">
        <f>IF('Données projet'!$A$218&gt;35,FE145+FD146-FM145,IF(A146&lt;'Données projet'!$A$218,$FB$205^A146,IF(A146='Données projet'!$A$218,'Données projet'!$B$218,FE145+FD146-FM145)))</f>
        <v>372.58249999999981</v>
      </c>
      <c r="FF146" s="17">
        <f>FE146*VLOOKUP('Données projet'!$B$16,Paramètres!$A$1:$I$89,3,0)*VLOOKUP('Données projet'!$B$16,Paramètres!$A$1:$I$89,5,0)</f>
        <v>424.29695099999975</v>
      </c>
      <c r="FG146" s="13">
        <f t="shared" si="155"/>
        <v>96.685466759324626</v>
      </c>
      <c r="FH146" s="20">
        <f t="shared" si="130"/>
        <v>907.37771093082313</v>
      </c>
      <c r="FI146" s="59">
        <f t="shared" si="131"/>
        <v>1193.2053737081346</v>
      </c>
      <c r="FJ146" s="59">
        <f ca="1">AVERAGE(OFFSET($FI$3,0,0,'Données projet'!$E$16+1,1))-AVERAGE(OFFSET($H$3,0,0,'Données projet'!$E$16+1,1))</f>
        <v>640.05156427113661</v>
      </c>
      <c r="FK146" s="59">
        <f t="shared" si="156"/>
        <v>308.77220155372902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26.343649527816385</v>
      </c>
      <c r="FR146" s="21">
        <f>EXP(-LN(2)/25)*FR145+(1-EXP(-LN(2)/25))/(LN(2)/25)*Calculateur!FM146*Calculateur!FO146*VLOOKUP('Données projet'!$B$16,Paramètres!$A$1:$I$89,3,0)*0.475*44/12</f>
        <v>19.901437810621864</v>
      </c>
      <c r="FS146" s="21">
        <f>EXP(-LN(2)/2)*FS145+(1-EXP(-LN(2)/2))/(LN(2)/2)*FM146*FP146*VLOOKUP('Données projet'!$B$16,Paramètres!$A$1:$I$89,3,0)*0.475*44/12</f>
        <v>0.11917170934361754</v>
      </c>
      <c r="FT146" s="22">
        <f t="shared" si="132"/>
        <v>46.364259047781871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285.95786938129487</v>
      </c>
      <c r="S147" s="59">
        <f ca="1">AVERAGE(OFFSET($R$3,0,0,'Données projet'!$E$9+1,1))-AVERAGE(OFFSET($H$3,0,0,'Données projet'!$E$9+1,1))</f>
        <v>318.50474972254085</v>
      </c>
      <c r="T147" s="59">
        <f t="shared" si="142"/>
        <v>326.45858332753562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26.310776120721137</v>
      </c>
      <c r="AA147" s="21">
        <f>EXP(-LN(2)/25)*AA146+(1-EXP(-LN(2)/25))/(LN(2)/25)*Calculateur!V147*Calculateur!X147*VLOOKUP('Données projet'!$B$9,Paramètres!$A$1:$I$89,3,0)*0.475*44/12</f>
        <v>4.7178919577511129</v>
      </c>
      <c r="AB147" s="21">
        <f>EXP(-LN(2)/2)*AB146+(1-EXP(-LN(2)/2))/(LN(2)/2)*V147*Y147*VLOOKUP('Données projet'!$B$9,Paramètres!$A$1:$I$89,3,0)*0.475*44/12</f>
        <v>1.3633653639625093E-11</v>
      </c>
      <c r="AC147" s="22">
        <f t="shared" si="111"/>
        <v>31.028668078485886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1.7053025658242404E-13</v>
      </c>
      <c r="AJ147" s="13">
        <f>AI147*VLOOKUP('Données projet'!$B$10,Paramètres!$A$1:$I$89,3,0)*VLOOKUP('Données projet'!$B$10,Paramètres!$A$1:$I$89,5,0)</f>
        <v>7.9808160080574461E-14</v>
      </c>
      <c r="AK147" s="13">
        <f t="shared" si="143"/>
        <v>1.2308384591775343E-12</v>
      </c>
      <c r="AL147" s="20">
        <f t="shared" si="112"/>
        <v>2.282709528541206E-12</v>
      </c>
      <c r="AM147" s="59">
        <f t="shared" si="113"/>
        <v>285.95786938129515</v>
      </c>
      <c r="AN147" s="59">
        <f ca="1">AVERAGE(OFFSET($AM$3,0,0,'Données projet'!$E$10+1,1))-AVERAGE(OFFSET($H$3,0,0,'Données projet'!$E$10+1,1))</f>
        <v>374.38106339726073</v>
      </c>
      <c r="AO147" s="59">
        <f t="shared" si="144"/>
        <v>296.53283288925957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112.43660882268179</v>
      </c>
      <c r="AV147" s="21">
        <f>EXP(-LN(2)/25)*AV146+(1-EXP(-LN(2)/25))/(LN(2)/25)*Calculateur!AQ147*Calculateur!AS147*VLOOKUP('Données projet'!$B$10,Paramètres!$A$1:$I$89,3,0)*0.475*44/12</f>
        <v>31.321129508948875</v>
      </c>
      <c r="AW147" s="21">
        <f>EXP(-LN(2)/2)*AW146+(1-EXP(-LN(2)/2))/(LN(2)/2)*AQ147*AT147*VLOOKUP('Données projet'!$B$10,Paramètres!$A$1:$I$89,3,0)*0.475*44/12</f>
        <v>0.35806841847532817</v>
      </c>
      <c r="AX147" s="21">
        <f t="shared" si="114"/>
        <v>144.115806750106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9.1440000000000055</v>
      </c>
      <c r="BC147" s="12">
        <f t="array" ref="BC147">INDEX(BB:BB,MIN(IF(ISNUMBER(BB147:BB343),ROW(BB147:BB343),"")))</f>
        <v>9.1440000000000055</v>
      </c>
      <c r="BD147" s="12">
        <f>IF('Données projet'!$A$88&gt;35,BD146+BC147-BL146,IF(A147&lt;'Données projet'!$A$88,$BA$205^A147,IF(A147='Données projet'!$A$88,'Données projet'!$B$88,BD146+BC147-BL146)))</f>
        <v>514.94000000000096</v>
      </c>
      <c r="BE147" s="13">
        <f>BD147*VLOOKUP('Données projet'!$B$11,Paramètres!$A$1:$I$89,3,0)*VLOOKUP('Données projet'!$B$11,Paramètres!$A$1:$I$89,5,0)</f>
        <v>465.91771200000085</v>
      </c>
      <c r="BF147" s="13">
        <f t="shared" si="145"/>
        <v>105.01953528507198</v>
      </c>
      <c r="BG147" s="20">
        <f t="shared" si="115"/>
        <v>994.38237235483496</v>
      </c>
      <c r="BH147" s="59">
        <f t="shared" si="116"/>
        <v>1280.3402417361278</v>
      </c>
      <c r="BI147" s="59">
        <f ca="1">AVERAGE(OFFSET($BH$3,0,0,'Données projet'!$E$11+1,1))-AVERAGE(OFFSET($H$3,0,0,'Données projet'!$E$11+1,1))</f>
        <v>681.47578137804555</v>
      </c>
      <c r="BJ147" s="59">
        <f t="shared" si="146"/>
        <v>300.88511065995885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61.800000000000068</v>
      </c>
      <c r="BM147" s="16">
        <f>IF(ISNA(VLOOKUP(A147,'Données projet'!$A$87:$I$107,5,0)),0%,VLOOKUP(A147,'Données projet'!$A$87:$I$107,5,0)*VLOOKUP('Données projet'!$B$11,Paramètres!$A$1:$I$89,7,0))</f>
        <v>0.215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49.997006091476479</v>
      </c>
      <c r="BQ147" s="21">
        <f>EXP(-LN(2)/25)*BQ146+(1-EXP(-LN(2)/25))/(LN(2)/25)*Calculateur!BL147*Calculateur!BN147*VLOOKUP('Données projet'!$B$11,Paramètres!$A$1:$I$89,3,0)*0.475*44/12</f>
        <v>23.30844043566745</v>
      </c>
      <c r="BR147" s="21">
        <f>EXP(-LN(2)/2)*BR146+(1-EXP(-LN(2)/2))/(LN(2)/2)*BL147*BO147*VLOOKUP('Données projet'!$B$11,Paramètres!$A$1:$I$89,3,0)*0.475*44/12</f>
        <v>4.9863089233638993E-3</v>
      </c>
      <c r="BS147" s="22">
        <f t="shared" si="117"/>
        <v>73.310432836067292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8.5265128291212022E-14</v>
      </c>
      <c r="BZ147" s="13">
        <f>BY147*VLOOKUP('Données projet'!$B$12,Paramètres!$A$1:$I$89,3,0)*VLOOKUP('Données projet'!$B$12,Paramètres!$A$1:$I$89,5,0)</f>
        <v>8.9119112089974823E-14</v>
      </c>
      <c r="CA147" s="13">
        <f t="shared" si="147"/>
        <v>1.3568952080113142E-12</v>
      </c>
      <c r="CB147" s="20">
        <f t="shared" si="118"/>
        <v>2.5184749408430782E-12</v>
      </c>
      <c r="CC147" s="59">
        <f t="shared" si="119"/>
        <v>285.95786938129538</v>
      </c>
      <c r="CD147" s="59">
        <f ca="1">AVERAGE(OFFSET($CC$3,0,0,'Données projet'!$E$12+1,1))-AVERAGE(OFFSET($H$3,0,0,'Données projet'!$E$12+1,1))</f>
        <v>290.69667785754848</v>
      </c>
      <c r="CE147" s="59">
        <f t="shared" si="148"/>
        <v>256.28124185489082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7.4467150387115559</v>
      </c>
      <c r="CL147" s="21">
        <f>EXP(-LN(2)/25)*CL146+(1-EXP(-LN(2)/25))/(LN(2)/25)*Calculateur!CG147*Calculateur!CI147*VLOOKUP('Données projet'!$B$12,Paramètres!$A$1:$I$89,3,0)*0.475*44/12</f>
        <v>13.418064335581001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20.864779374292556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408.246209980743</v>
      </c>
      <c r="CZ147" s="59">
        <f t="shared" si="150"/>
        <v>394.10236303013903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16.070031299315819</v>
      </c>
      <c r="DG147" s="21">
        <f>EXP(-LN(2)/25)*DG146+(1-EXP(-LN(2)/25))/(LN(2)/25)*Calculateur!DB147*Calculateur!DD147*VLOOKUP('Données projet'!$B$13,Paramètres!$A$1:$I$89,3,0)*0.475*44/12</f>
        <v>9.556512146746428</v>
      </c>
      <c r="DH147" s="21">
        <f>EXP(-LN(2)/2)*DH146+(1-EXP(-LN(2)/2))/(LN(2)/2)*DB147*DE147*VLOOKUP('Données projet'!$B$13,Paramètres!$A$1:$I$89,3,0)*0.475*44/12</f>
        <v>1.5958458785289344E-8</v>
      </c>
      <c r="DI147" s="22">
        <f t="shared" si="123"/>
        <v>25.626543462020706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5.6843418860808015E-13</v>
      </c>
      <c r="DP147" s="17">
        <f>DO147*VLOOKUP('Données projet'!$B$14,Paramètres!$A$1:$I$89,3,0)*VLOOKUP('Données projet'!$B$14,Paramètres!$A$1:$I$89,5,0)</f>
        <v>3.177547114319168E-13</v>
      </c>
      <c r="DQ147" s="13">
        <f t="shared" si="151"/>
        <v>4.1725404435445377E-12</v>
      </c>
      <c r="DR147" s="20">
        <f t="shared" si="124"/>
        <v>7.820597394917325E-12</v>
      </c>
      <c r="DS147" s="59">
        <f t="shared" si="125"/>
        <v>285.95786938130072</v>
      </c>
      <c r="DT147" s="59">
        <f ca="1">AVERAGE(OFFSET($DS$3,0,0,'Données projet'!$E$14+1,1))-AVERAGE(OFFSET($H$3,0,0,'Données projet'!$E$14+1,1))</f>
        <v>407.05634973057056</v>
      </c>
      <c r="DU147" s="59">
        <f t="shared" si="152"/>
        <v>375.32891954889965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53.293700499394319</v>
      </c>
      <c r="EB147" s="21">
        <f>EXP(-LN(2)/25)*EB146+(1-EXP(-LN(2)/25))/(LN(2)/25)*Calculateur!DW147*Calculateur!DY147*VLOOKUP('Données projet'!$B$14,Paramètres!$A$1:$I$89,3,0)*0.475*44/12</f>
        <v>9.8644109909702582</v>
      </c>
      <c r="EC147" s="21">
        <f>EXP(-LN(2)/2)*EC146+(1-EXP(-LN(2)/2))/(LN(2)/2)*DW147*DZ147*VLOOKUP('Données projet'!$B$14,Paramètres!$A$1:$I$89,3,0)*0.475*44/12</f>
        <v>5.4937499460953338E-10</v>
      </c>
      <c r="ED147" s="22">
        <f t="shared" si="126"/>
        <v>63.158111490913953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1.1368683772161603E-13</v>
      </c>
      <c r="EK147" s="17">
        <f>EJ147*VLOOKUP('Données projet'!$B$15,Paramètres!$A$1:$I$89,3,0)*VLOOKUP('Données projet'!$B$15,Paramètres!$A$1:$I$89,5,0)</f>
        <v>5.0249582272954292E-14</v>
      </c>
      <c r="EL147" s="13">
        <f t="shared" si="153"/>
        <v>8.1784820119191593E-13</v>
      </c>
      <c r="EM147" s="20">
        <f t="shared" si="127"/>
        <v>1.5119369728679821E-12</v>
      </c>
      <c r="EN147" s="59">
        <f t="shared" si="128"/>
        <v>285.95786938129442</v>
      </c>
      <c r="EO147" s="59">
        <f ca="1">AVERAGE(OFFSET($EN$3,0,0,'Données projet'!$E$15+1,1))-AVERAGE(OFFSET($H$3,0,0,'Données projet'!$E$15+1,1))</f>
        <v>418.28022549686278</v>
      </c>
      <c r="EP147" s="59">
        <f t="shared" si="154"/>
        <v>354.55070454517158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58.176307867915234</v>
      </c>
      <c r="EW147" s="21">
        <f>EXP(-LN(2)/25)*EW146+(1-EXP(-LN(2)/25))/(LN(2)/25)*Calculateur!ER147*Calculateur!ET147*VLOOKUP('Données projet'!$B$15,Paramètres!$A$1:$I$89,3,0)*0.475*44/12</f>
        <v>12.191789953532068</v>
      </c>
      <c r="EX147" s="21">
        <f>EXP(-LN(2)/2)*EX146+(1-EXP(-LN(2)/2))/(LN(2)/2)*ER147*EU147*VLOOKUP('Données projet'!$B$15,Paramètres!$A$1:$I$89,3,0)*0.475*44/12</f>
        <v>1.8301394574419935E-8</v>
      </c>
      <c r="EY147" s="22">
        <f t="shared" si="129"/>
        <v>70.3680978397487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>
        <f>VLOOKUP(A147,'Données projet'!$A$217:$I$237,2,0)</f>
        <v>379.92</v>
      </c>
      <c r="FC147" s="12">
        <f>VLOOKUP(A147,'Données projet'!$A$217:$I$237,9,0)</f>
        <v>7.3375000000000012</v>
      </c>
      <c r="FD147" s="12">
        <f t="array" ref="FD147">INDEX(FC:FC,MIN(IF(ISNUMBER(FC147:FC343),ROW(FC147:FC343),"")))</f>
        <v>7.3375000000000012</v>
      </c>
      <c r="FE147" s="12">
        <f>IF('Données projet'!$A$218&gt;35,FE146+FD147-FM146,IF(A147&lt;'Données projet'!$A$218,$FB$205^A147,IF(A147='Données projet'!$A$218,'Données projet'!$B$218,FE146+FD147-FM146)))</f>
        <v>379.91999999999979</v>
      </c>
      <c r="FF147" s="17">
        <f>FE147*VLOOKUP('Données projet'!$B$16,Paramètres!$A$1:$I$89,3,0)*VLOOKUP('Données projet'!$B$16,Paramètres!$A$1:$I$89,5,0)</f>
        <v>432.65289599999977</v>
      </c>
      <c r="FG147" s="13">
        <f t="shared" si="155"/>
        <v>98.366003924731828</v>
      </c>
      <c r="FH147" s="20">
        <f t="shared" si="130"/>
        <v>924.85791736890758</v>
      </c>
      <c r="FI147" s="59">
        <f t="shared" si="131"/>
        <v>1210.8157867502005</v>
      </c>
      <c r="FJ147" s="59">
        <f ca="1">AVERAGE(OFFSET($FI$3,0,0,'Données projet'!$E$16+1,1))-AVERAGE(OFFSET($H$3,0,0,'Données projet'!$E$16+1,1))</f>
        <v>640.05156427113661</v>
      </c>
      <c r="FK147" s="59">
        <f t="shared" si="156"/>
        <v>308.77220155372902</v>
      </c>
      <c r="FL147" s="15">
        <f>IF(ISNA(VLOOKUP(A147,'Données projet'!$A$217:$I$237,3,0)),0,VLOOKUP(A147,'Données projet'!$A$217:$I$237,3,0))</f>
        <v>10</v>
      </c>
      <c r="FM147" s="15">
        <f>IF(ISNA(VLOOKUP(A147,'Données projet'!$A$217:$I$237,4,0)),0,VLOOKUP(A147,'Données projet'!$A$217:$I$237,4,0))</f>
        <v>60.949999999999989</v>
      </c>
      <c r="FN147" s="16">
        <f>IF(ISNA(VLOOKUP(A147,'Données projet'!$A$217:$I$237,5,0)),0%,VLOOKUP(A147,'Données projet'!$A$217:$I$237,5,0)*VLOOKUP('Données projet'!$B$16,Paramètres!$A$1:$I$89,7,0))</f>
        <v>0.15049999999999999</v>
      </c>
      <c r="FO147" s="16">
        <f>IF(ISNA(VLOOKUP(A147,'Données projet'!$A$217:$I$237,6,0)),0%,VLOOKUP(A147,'Données projet'!$A$217:$I$237,6,0)*VLOOKUP('Données projet'!$B$16,Paramètres!$A$1:$I$89,7,0))</f>
        <v>8.6000000000000007E-2</v>
      </c>
      <c r="FP147" s="16">
        <f>IF(ISNA(VLOOKUP(A147,'Données projet'!$A$217:$I$237,7,0)),0%,VLOOKUP(A147,'Données projet'!$A$217:$I$237,7,0))</f>
        <v>0.1</v>
      </c>
      <c r="FQ147" s="21">
        <f>EXP(-LN(2)/35)*FQ146+(1-EXP(-LN(2)/35))/(LN(2)/35)*FM147*FN147*VLOOKUP('Données projet'!$B$16,Paramètres!$A$1:$I$89,3,0)*0.475*44/12</f>
        <v>37.375013542383627</v>
      </c>
      <c r="FR147" s="21">
        <f>EXP(-LN(2)/25)*FR146+(1-EXP(-LN(2)/25))/(LN(2)/25)*Calculateur!FM147*Calculateur!FO147*VLOOKUP('Données projet'!$B$16,Paramètres!$A$1:$I$89,3,0)*0.475*44/12</f>
        <v>25.930076659494059</v>
      </c>
      <c r="FS147" s="21">
        <f>EXP(-LN(2)/2)*FS146+(1-EXP(-LN(2)/2))/(LN(2)/2)*FM147*FP147*VLOOKUP('Données projet'!$B$16,Paramètres!$A$1:$I$89,3,0)*0.475*44/12</f>
        <v>6.6332742287016577</v>
      </c>
      <c r="FT147" s="22">
        <f t="shared" si="132"/>
        <v>69.938364430579341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286.08581719179557</v>
      </c>
      <c r="S148" s="59">
        <f ca="1">AVERAGE(OFFSET($R$3,0,0,'Données projet'!$E$9+1,1))-AVERAGE(OFFSET($H$3,0,0,'Données projet'!$E$9+1,1))</f>
        <v>318.50474972254085</v>
      </c>
      <c r="T148" s="59">
        <f t="shared" si="142"/>
        <v>326.45858332753562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25.79483784898262</v>
      </c>
      <c r="AA148" s="21">
        <f>EXP(-LN(2)/25)*AA147+(1-EXP(-LN(2)/25))/(LN(2)/25)*Calculateur!V148*Calculateur!X148*VLOOKUP('Données projet'!$B$9,Paramètres!$A$1:$I$89,3,0)*0.475*44/12</f>
        <v>4.5888809540632538</v>
      </c>
      <c r="AB148" s="21">
        <f>EXP(-LN(2)/2)*AB147+(1-EXP(-LN(2)/2))/(LN(2)/2)*V148*Y148*VLOOKUP('Données projet'!$B$9,Paramètres!$A$1:$I$89,3,0)*0.475*44/12</f>
        <v>9.6404489409275581E-12</v>
      </c>
      <c r="AC148" s="22">
        <f t="shared" si="111"/>
        <v>30.383718803055515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1.7053025658242404E-13</v>
      </c>
      <c r="AJ148" s="13">
        <f>AI148*VLOOKUP('Données projet'!$B$10,Paramètres!$A$1:$I$89,3,0)*VLOOKUP('Données projet'!$B$10,Paramètres!$A$1:$I$89,5,0)</f>
        <v>7.9808160080574461E-14</v>
      </c>
      <c r="AK148" s="13">
        <f t="shared" si="143"/>
        <v>1.2308384591775343E-12</v>
      </c>
      <c r="AL148" s="20">
        <f t="shared" si="112"/>
        <v>2.282709528541206E-12</v>
      </c>
      <c r="AM148" s="59">
        <f t="shared" si="113"/>
        <v>286.08581719179585</v>
      </c>
      <c r="AN148" s="59">
        <f ca="1">AVERAGE(OFFSET($AM$3,0,0,'Données projet'!$E$10+1,1))-AVERAGE(OFFSET($H$3,0,0,'Données projet'!$E$10+1,1))</f>
        <v>374.38106339726073</v>
      </c>
      <c r="AO148" s="59">
        <f t="shared" si="144"/>
        <v>296.53283288925957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110.23179550322871</v>
      </c>
      <c r="AV148" s="21">
        <f>EXP(-LN(2)/25)*AV147+(1-EXP(-LN(2)/25))/(LN(2)/25)*Calculateur!AQ148*Calculateur!AS148*VLOOKUP('Données projet'!$B$10,Paramètres!$A$1:$I$89,3,0)*0.475*44/12</f>
        <v>30.464651575420053</v>
      </c>
      <c r="AW148" s="21">
        <f>EXP(-LN(2)/2)*AW147+(1-EXP(-LN(2)/2))/(LN(2)/2)*AQ148*AT148*VLOOKUP('Données projet'!$B$10,Paramètres!$A$1:$I$89,3,0)*0.475*44/12</f>
        <v>0.25319260683264699</v>
      </c>
      <c r="AX148" s="21">
        <f t="shared" si="114"/>
        <v>140.9496396854814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9.3350000000000026</v>
      </c>
      <c r="BD148" s="12">
        <f>IF('Données projet'!$A$88&gt;35,BD147+BC148-BL147,IF(A148&lt;'Données projet'!$A$88,$BA$205^A148,IF(A148='Données projet'!$A$88,'Données projet'!$B$88,BD147+BC148-BL147)))</f>
        <v>462.47500000000093</v>
      </c>
      <c r="BE148" s="13">
        <f>BD148*VLOOKUP('Données projet'!$B$11,Paramètres!$A$1:$I$89,3,0)*VLOOKUP('Données projet'!$B$11,Paramètres!$A$1:$I$89,5,0)</f>
        <v>418.44738000000081</v>
      </c>
      <c r="BF148" s="13">
        <f t="shared" si="145"/>
        <v>95.506718301246906</v>
      </c>
      <c r="BG148" s="20">
        <f t="shared" si="115"/>
        <v>895.13672120800663</v>
      </c>
      <c r="BH148" s="59">
        <f t="shared" si="116"/>
        <v>1181.2225383998002</v>
      </c>
      <c r="BI148" s="59">
        <f ca="1">AVERAGE(OFFSET($BH$3,0,0,'Données projet'!$E$11+1,1))-AVERAGE(OFFSET($H$3,0,0,'Données projet'!$E$11+1,1))</f>
        <v>681.47578137804555</v>
      </c>
      <c r="BJ148" s="59">
        <f t="shared" si="146"/>
        <v>300.88511065995885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49.016595297185191</v>
      </c>
      <c r="BQ148" s="21">
        <f>EXP(-LN(2)/25)*BQ147+(1-EXP(-LN(2)/25))/(LN(2)/25)*Calculateur!BL148*Calculateur!BN148*VLOOKUP('Données projet'!$B$11,Paramètres!$A$1:$I$89,3,0)*0.475*44/12</f>
        <v>22.671069906216513</v>
      </c>
      <c r="BR148" s="21">
        <f>EXP(-LN(2)/2)*BR147+(1-EXP(-LN(2)/2))/(LN(2)/2)*BL148*BO148*VLOOKUP('Données projet'!$B$11,Paramètres!$A$1:$I$89,3,0)*0.475*44/12</f>
        <v>3.5258528528016061E-3</v>
      </c>
      <c r="BS148" s="22">
        <f t="shared" si="117"/>
        <v>71.69119105625451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8.5265128291212022E-14</v>
      </c>
      <c r="BZ148" s="13">
        <f>BY148*VLOOKUP('Données projet'!$B$12,Paramètres!$A$1:$I$89,3,0)*VLOOKUP('Données projet'!$B$12,Paramètres!$A$1:$I$89,5,0)</f>
        <v>8.9119112089974823E-14</v>
      </c>
      <c r="CA148" s="13">
        <f t="shared" si="147"/>
        <v>1.3568952080113142E-12</v>
      </c>
      <c r="CB148" s="20">
        <f t="shared" si="118"/>
        <v>2.5184749408430782E-12</v>
      </c>
      <c r="CC148" s="59">
        <f t="shared" si="119"/>
        <v>286.08581719179608</v>
      </c>
      <c r="CD148" s="59">
        <f ca="1">AVERAGE(OFFSET($CC$3,0,0,'Données projet'!$E$12+1,1))-AVERAGE(OFFSET($H$3,0,0,'Données projet'!$E$12+1,1))</f>
        <v>290.69667785754848</v>
      </c>
      <c r="CE148" s="59">
        <f t="shared" si="148"/>
        <v>256.28124185489082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7.3006894988501063</v>
      </c>
      <c r="CL148" s="21">
        <f>EXP(-LN(2)/25)*CL147+(1-EXP(-LN(2)/25))/(LN(2)/25)*Calculateur!CG148*Calculateur!CI148*VLOOKUP('Données projet'!$B$12,Paramètres!$A$1:$I$89,3,0)*0.475*44/12</f>
        <v>13.051146660699201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20.351836159549308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408.246209980743</v>
      </c>
      <c r="CZ148" s="59">
        <f t="shared" si="150"/>
        <v>394.10236303013903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15.754907787287486</v>
      </c>
      <c r="DG148" s="21">
        <f>EXP(-LN(2)/25)*DG147+(1-EXP(-LN(2)/25))/(LN(2)/25)*Calculateur!DB148*Calculateur!DD148*VLOOKUP('Données projet'!$B$13,Paramètres!$A$1:$I$89,3,0)*0.475*44/12</f>
        <v>9.2951888195385148</v>
      </c>
      <c r="DH148" s="21">
        <f>EXP(-LN(2)/2)*DH147+(1-EXP(-LN(2)/2))/(LN(2)/2)*DB148*DE148*VLOOKUP('Données projet'!$B$13,Paramètres!$A$1:$I$89,3,0)*0.475*44/12</f>
        <v>1.128433442436413E-8</v>
      </c>
      <c r="DI148" s="22">
        <f t="shared" si="123"/>
        <v>25.050096618110338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5.6843418860808015E-13</v>
      </c>
      <c r="DP148" s="17">
        <f>DO148*VLOOKUP('Données projet'!$B$14,Paramètres!$A$1:$I$89,3,0)*VLOOKUP('Données projet'!$B$14,Paramètres!$A$1:$I$89,5,0)</f>
        <v>3.177547114319168E-13</v>
      </c>
      <c r="DQ148" s="13">
        <f t="shared" si="151"/>
        <v>4.1725404435445377E-12</v>
      </c>
      <c r="DR148" s="20">
        <f t="shared" si="124"/>
        <v>7.820597394917325E-12</v>
      </c>
      <c r="DS148" s="59">
        <f t="shared" si="125"/>
        <v>286.08581719180142</v>
      </c>
      <c r="DT148" s="59">
        <f ca="1">AVERAGE(OFFSET($DS$3,0,0,'Données projet'!$E$14+1,1))-AVERAGE(OFFSET($H$3,0,0,'Données projet'!$E$14+1,1))</f>
        <v>407.05634973057056</v>
      </c>
      <c r="DU148" s="59">
        <f t="shared" si="152"/>
        <v>375.32891954889965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52.248643538548805</v>
      </c>
      <c r="EB148" s="21">
        <f>EXP(-LN(2)/25)*EB147+(1-EXP(-LN(2)/25))/(LN(2)/25)*Calculateur!DW148*Calculateur!DY148*VLOOKUP('Données projet'!$B$14,Paramètres!$A$1:$I$89,3,0)*0.475*44/12</f>
        <v>9.5946681536753484</v>
      </c>
      <c r="EC148" s="21">
        <f>EXP(-LN(2)/2)*EC147+(1-EXP(-LN(2)/2))/(LN(2)/2)*DW148*DZ148*VLOOKUP('Données projet'!$B$14,Paramètres!$A$1:$I$89,3,0)*0.475*44/12</f>
        <v>3.8846678410272405E-10</v>
      </c>
      <c r="ED148" s="22">
        <f t="shared" si="126"/>
        <v>61.843311692612623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1.1368683772161603E-13</v>
      </c>
      <c r="EK148" s="17">
        <f>EJ148*VLOOKUP('Données projet'!$B$15,Paramètres!$A$1:$I$89,3,0)*VLOOKUP('Données projet'!$B$15,Paramètres!$A$1:$I$89,5,0)</f>
        <v>5.0249582272954292E-14</v>
      </c>
      <c r="EL148" s="13">
        <f t="shared" si="153"/>
        <v>8.1784820119191593E-13</v>
      </c>
      <c r="EM148" s="20">
        <f t="shared" si="127"/>
        <v>1.5119369728679821E-12</v>
      </c>
      <c r="EN148" s="59">
        <f t="shared" si="128"/>
        <v>286.08581719179512</v>
      </c>
      <c r="EO148" s="59">
        <f ca="1">AVERAGE(OFFSET($EN$3,0,0,'Données projet'!$E$15+1,1))-AVERAGE(OFFSET($H$3,0,0,'Données projet'!$E$15+1,1))</f>
        <v>418.28022549686278</v>
      </c>
      <c r="EP148" s="59">
        <f t="shared" si="154"/>
        <v>354.55070454517158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57.03550595466946</v>
      </c>
      <c r="EW148" s="21">
        <f>EXP(-LN(2)/25)*EW147+(1-EXP(-LN(2)/25))/(LN(2)/25)*Calculateur!ER148*Calculateur!ET148*VLOOKUP('Données projet'!$B$15,Paramètres!$A$1:$I$89,3,0)*0.475*44/12</f>
        <v>11.858404816114364</v>
      </c>
      <c r="EX148" s="21">
        <f>EXP(-LN(2)/2)*EX147+(1-EXP(-LN(2)/2))/(LN(2)/2)*ER148*EU148*VLOOKUP('Données projet'!$B$15,Paramètres!$A$1:$I$89,3,0)*0.475*44/12</f>
        <v>1.2941040208743026E-8</v>
      </c>
      <c r="EY148" s="22">
        <f t="shared" si="129"/>
        <v>68.893910783724863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7.5191666666666634</v>
      </c>
      <c r="FE148" s="12">
        <f>IF('Données projet'!$A$218&gt;35,FE147+FD148-FM147,IF(A148&lt;'Données projet'!$A$218,$FB$205^A148,IF(A148='Données projet'!$A$218,'Données projet'!$B$218,FE147+FD148-FM147)))</f>
        <v>326.48916666666645</v>
      </c>
      <c r="FF148" s="17">
        <f>FE148*VLOOKUP('Données projet'!$B$16,Paramètres!$A$1:$I$89,3,0)*VLOOKUP('Données projet'!$B$16,Paramètres!$A$1:$I$89,5,0)</f>
        <v>371.80586299999976</v>
      </c>
      <c r="FG148" s="13">
        <f t="shared" si="155"/>
        <v>86.036649435918704</v>
      </c>
      <c r="FH148" s="20">
        <f t="shared" si="130"/>
        <v>797.409042492558</v>
      </c>
      <c r="FI148" s="59">
        <f t="shared" si="131"/>
        <v>1083.4948596843515</v>
      </c>
      <c r="FJ148" s="59">
        <f ca="1">AVERAGE(OFFSET($FI$3,0,0,'Données projet'!$E$16+1,1))-AVERAGE(OFFSET($H$3,0,0,'Données projet'!$E$16+1,1))</f>
        <v>640.05156427113661</v>
      </c>
      <c r="FK148" s="59">
        <f t="shared" si="156"/>
        <v>308.77220155372902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36.642112323324774</v>
      </c>
      <c r="FR148" s="21">
        <f>EXP(-LN(2)/25)*FR147+(1-EXP(-LN(2)/25))/(LN(2)/25)*Calculateur!FM148*Calculateur!FO148*VLOOKUP('Données projet'!$B$16,Paramètres!$A$1:$I$89,3,0)*0.475*44/12</f>
        <v>25.221017349636725</v>
      </c>
      <c r="FS148" s="21">
        <f>EXP(-LN(2)/2)*FS147+(1-EXP(-LN(2)/2))/(LN(2)/2)*FM148*FP148*VLOOKUP('Données projet'!$B$16,Paramètres!$A$1:$I$89,3,0)*0.475*44/12</f>
        <v>4.6904331885849082</v>
      </c>
      <c r="FT148" s="22">
        <f t="shared" si="132"/>
        <v>66.553562861546411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286.21154539383264</v>
      </c>
      <c r="S149" s="59">
        <f ca="1">AVERAGE(OFFSET($R$3,0,0,'Données projet'!$E$9+1,1))-AVERAGE(OFFSET($H$3,0,0,'Données projet'!$E$9+1,1))</f>
        <v>318.50474972254085</v>
      </c>
      <c r="T149" s="59">
        <f t="shared" si="142"/>
        <v>326.45858332753562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25.289016812061625</v>
      </c>
      <c r="AA149" s="21">
        <f>EXP(-LN(2)/25)*AA148+(1-EXP(-LN(2)/25))/(LN(2)/25)*Calculateur!V149*Calculateur!X149*VLOOKUP('Données projet'!$B$9,Paramètres!$A$1:$I$89,3,0)*0.475*44/12</f>
        <v>4.4633977630556325</v>
      </c>
      <c r="AB149" s="21">
        <f>EXP(-LN(2)/2)*AB148+(1-EXP(-LN(2)/2))/(LN(2)/2)*V149*Y149*VLOOKUP('Données projet'!$B$9,Paramètres!$A$1:$I$89,3,0)*0.475*44/12</f>
        <v>6.8168268198125467E-12</v>
      </c>
      <c r="AC149" s="22">
        <f t="shared" si="111"/>
        <v>29.752414575124075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1.7053025658242404E-13</v>
      </c>
      <c r="AJ149" s="13">
        <f>AI149*VLOOKUP('Données projet'!$B$10,Paramètres!$A$1:$I$89,3,0)*VLOOKUP('Données projet'!$B$10,Paramètres!$A$1:$I$89,5,0)</f>
        <v>7.9808160080574461E-14</v>
      </c>
      <c r="AK149" s="13">
        <f t="shared" si="143"/>
        <v>1.2308384591775343E-12</v>
      </c>
      <c r="AL149" s="20">
        <f t="shared" si="112"/>
        <v>2.282709528541206E-12</v>
      </c>
      <c r="AM149" s="59">
        <f t="shared" si="113"/>
        <v>286.21154539383292</v>
      </c>
      <c r="AN149" s="59">
        <f ca="1">AVERAGE(OFFSET($AM$3,0,0,'Données projet'!$E$10+1,1))-AVERAGE(OFFSET($H$3,0,0,'Données projet'!$E$10+1,1))</f>
        <v>374.38106339726073</v>
      </c>
      <c r="AO149" s="59">
        <f t="shared" si="144"/>
        <v>296.53283288925957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108.07021722816677</v>
      </c>
      <c r="AV149" s="21">
        <f>EXP(-LN(2)/25)*AV148+(1-EXP(-LN(2)/25))/(LN(2)/25)*Calculateur!AQ149*Calculateur!AS149*VLOOKUP('Données projet'!$B$10,Paramètres!$A$1:$I$89,3,0)*0.475*44/12</f>
        <v>29.631594076023791</v>
      </c>
      <c r="AW149" s="21">
        <f>EXP(-LN(2)/2)*AW148+(1-EXP(-LN(2)/2))/(LN(2)/2)*AQ149*AT149*VLOOKUP('Données projet'!$B$10,Paramètres!$A$1:$I$89,3,0)*0.475*44/12</f>
        <v>0.17903420923766408</v>
      </c>
      <c r="AX149" s="21">
        <f t="shared" si="114"/>
        <v>137.88084551342823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9.3350000000000026</v>
      </c>
      <c r="BD149" s="12">
        <f>IF('Données projet'!$A$88&gt;35,BD148+BC149-BL148,IF(A149&lt;'Données projet'!$A$88,$BA$205^A149,IF(A149='Données projet'!$A$88,'Données projet'!$B$88,BD148+BC149-BL148)))</f>
        <v>471.81000000000091</v>
      </c>
      <c r="BE149" s="13">
        <f>BD149*VLOOKUP('Données projet'!$B$11,Paramètres!$A$1:$I$89,3,0)*VLOOKUP('Données projet'!$B$11,Paramètres!$A$1:$I$89,5,0)</f>
        <v>426.89368800000079</v>
      </c>
      <c r="BF149" s="13">
        <f t="shared" si="145"/>
        <v>97.208128358788159</v>
      </c>
      <c r="BG149" s="20">
        <f t="shared" si="115"/>
        <v>912.81066349155742</v>
      </c>
      <c r="BH149" s="59">
        <f t="shared" si="116"/>
        <v>1199.022208885388</v>
      </c>
      <c r="BI149" s="59">
        <f ca="1">AVERAGE(OFFSET($BH$3,0,0,'Données projet'!$E$11+1,1))-AVERAGE(OFFSET($H$3,0,0,'Données projet'!$E$11+1,1))</f>
        <v>681.47578137804555</v>
      </c>
      <c r="BJ149" s="59">
        <f t="shared" si="146"/>
        <v>300.88511065995885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48.055409760578421</v>
      </c>
      <c r="BQ149" s="21">
        <f>EXP(-LN(2)/25)*BQ148+(1-EXP(-LN(2)/25))/(LN(2)/25)*Calculateur!BL149*Calculateur!BN149*VLOOKUP('Données projet'!$B$11,Paramètres!$A$1:$I$89,3,0)*0.475*44/12</f>
        <v>22.051128307411272</v>
      </c>
      <c r="BR149" s="21">
        <f>EXP(-LN(2)/2)*BR148+(1-EXP(-LN(2)/2))/(LN(2)/2)*BL149*BO149*VLOOKUP('Données projet'!$B$11,Paramètres!$A$1:$I$89,3,0)*0.475*44/12</f>
        <v>2.4931544616819496E-3</v>
      </c>
      <c r="BS149" s="22">
        <f t="shared" si="117"/>
        <v>70.109031222451364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8.5265128291212022E-14</v>
      </c>
      <c r="BZ149" s="13">
        <f>BY149*VLOOKUP('Données projet'!$B$12,Paramètres!$A$1:$I$89,3,0)*VLOOKUP('Données projet'!$B$12,Paramètres!$A$1:$I$89,5,0)</f>
        <v>8.9119112089974823E-14</v>
      </c>
      <c r="CA149" s="13">
        <f t="shared" si="147"/>
        <v>1.3568952080113142E-12</v>
      </c>
      <c r="CB149" s="20">
        <f t="shared" si="118"/>
        <v>2.5184749408430782E-12</v>
      </c>
      <c r="CC149" s="59">
        <f t="shared" si="119"/>
        <v>286.21154539383315</v>
      </c>
      <c r="CD149" s="59">
        <f ca="1">AVERAGE(OFFSET($CC$3,0,0,'Données projet'!$E$12+1,1))-AVERAGE(OFFSET($H$3,0,0,'Données projet'!$E$12+1,1))</f>
        <v>290.69667785754848</v>
      </c>
      <c r="CE149" s="59">
        <f t="shared" si="148"/>
        <v>256.28124185489082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7.157527430758555</v>
      </c>
      <c r="CL149" s="21">
        <f>EXP(-LN(2)/25)*CL148+(1-EXP(-LN(2)/25))/(LN(2)/25)*Calculateur!CG149*Calculateur!CI149*VLOOKUP('Données projet'!$B$12,Paramètres!$A$1:$I$89,3,0)*0.475*44/12</f>
        <v>12.694262368932408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19.851789799690962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408.246209980743</v>
      </c>
      <c r="CZ149" s="59">
        <f t="shared" si="150"/>
        <v>394.10236303013903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15.445963655123665</v>
      </c>
      <c r="DG149" s="21">
        <f>EXP(-LN(2)/25)*DG148+(1-EXP(-LN(2)/25))/(LN(2)/25)*Calculateur!DB149*Calculateur!DD149*VLOOKUP('Données projet'!$B$13,Paramètres!$A$1:$I$89,3,0)*0.475*44/12</f>
        <v>9.0410113924554985</v>
      </c>
      <c r="DH149" s="21">
        <f>EXP(-LN(2)/2)*DH148+(1-EXP(-LN(2)/2))/(LN(2)/2)*DB149*DE149*VLOOKUP('Données projet'!$B$13,Paramètres!$A$1:$I$89,3,0)*0.475*44/12</f>
        <v>7.9792293926446721E-9</v>
      </c>
      <c r="DI149" s="22">
        <f t="shared" si="123"/>
        <v>24.486975055558393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5.6843418860808015E-13</v>
      </c>
      <c r="DP149" s="17">
        <f>DO149*VLOOKUP('Données projet'!$B$14,Paramètres!$A$1:$I$89,3,0)*VLOOKUP('Données projet'!$B$14,Paramètres!$A$1:$I$89,5,0)</f>
        <v>3.177547114319168E-13</v>
      </c>
      <c r="DQ149" s="13">
        <f t="shared" si="151"/>
        <v>4.1725404435445377E-12</v>
      </c>
      <c r="DR149" s="20">
        <f t="shared" si="124"/>
        <v>7.820597394917325E-12</v>
      </c>
      <c r="DS149" s="59">
        <f t="shared" si="125"/>
        <v>286.21154539383849</v>
      </c>
      <c r="DT149" s="59">
        <f ca="1">AVERAGE(OFFSET($DS$3,0,0,'Données projet'!$E$14+1,1))-AVERAGE(OFFSET($H$3,0,0,'Données projet'!$E$14+1,1))</f>
        <v>407.05634973057056</v>
      </c>
      <c r="DU149" s="59">
        <f t="shared" si="152"/>
        <v>375.32891954889965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51.224079507283669</v>
      </c>
      <c r="EB149" s="21">
        <f>EXP(-LN(2)/25)*EB148+(1-EXP(-LN(2)/25))/(LN(2)/25)*Calculateur!DW149*Calculateur!DY149*VLOOKUP('Données projet'!$B$14,Paramètres!$A$1:$I$89,3,0)*0.475*44/12</f>
        <v>9.3323014484514264</v>
      </c>
      <c r="EC149" s="21">
        <f>EXP(-LN(2)/2)*EC148+(1-EXP(-LN(2)/2))/(LN(2)/2)*DW149*DZ149*VLOOKUP('Données projet'!$B$14,Paramètres!$A$1:$I$89,3,0)*0.475*44/12</f>
        <v>2.7468749730476669E-10</v>
      </c>
      <c r="ED149" s="22">
        <f t="shared" si="126"/>
        <v>60.556380956009782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1.1368683772161603E-13</v>
      </c>
      <c r="EK149" s="17">
        <f>EJ149*VLOOKUP('Données projet'!$B$15,Paramètres!$A$1:$I$89,3,0)*VLOOKUP('Données projet'!$B$15,Paramètres!$A$1:$I$89,5,0)</f>
        <v>5.0249582272954292E-14</v>
      </c>
      <c r="EL149" s="13">
        <f t="shared" si="153"/>
        <v>8.1784820119191593E-13</v>
      </c>
      <c r="EM149" s="20">
        <f t="shared" si="127"/>
        <v>1.5119369728679821E-12</v>
      </c>
      <c r="EN149" s="59">
        <f t="shared" si="128"/>
        <v>286.21154539383218</v>
      </c>
      <c r="EO149" s="59">
        <f ca="1">AVERAGE(OFFSET($EN$3,0,0,'Données projet'!$E$15+1,1))-AVERAGE(OFFSET($H$3,0,0,'Données projet'!$E$15+1,1))</f>
        <v>418.28022549686278</v>
      </c>
      <c r="EP149" s="59">
        <f t="shared" si="154"/>
        <v>354.55070454517158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55.917074471121971</v>
      </c>
      <c r="EW149" s="21">
        <f>EXP(-LN(2)/25)*EW148+(1-EXP(-LN(2)/25))/(LN(2)/25)*Calculateur!ER149*Calculateur!ET149*VLOOKUP('Données projet'!$B$15,Paramètres!$A$1:$I$89,3,0)*0.475*44/12</f>
        <v>11.534136112811311</v>
      </c>
      <c r="EX149" s="21">
        <f>EXP(-LN(2)/2)*EX148+(1-EXP(-LN(2)/2))/(LN(2)/2)*ER149*EU149*VLOOKUP('Données projet'!$B$15,Paramètres!$A$1:$I$89,3,0)*0.475*44/12</f>
        <v>9.1506972872099677E-9</v>
      </c>
      <c r="EY149" s="22">
        <f t="shared" si="129"/>
        <v>67.451210593083985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7.5191666666666634</v>
      </c>
      <c r="FE149" s="12">
        <f>IF('Données projet'!$A$218&gt;35,FE148+FD149-FM148,IF(A149&lt;'Données projet'!$A$218,$FB$205^A149,IF(A149='Données projet'!$A$218,'Données projet'!$B$218,FE148+FD149-FM148)))</f>
        <v>334.0083333333331</v>
      </c>
      <c r="FF149" s="17">
        <f>FE149*VLOOKUP('Données projet'!$B$16,Paramètres!$A$1:$I$89,3,0)*VLOOKUP('Données projet'!$B$16,Paramètres!$A$1:$I$89,5,0)</f>
        <v>380.36868999999973</v>
      </c>
      <c r="FG149" s="13">
        <f t="shared" si="155"/>
        <v>87.785137061676878</v>
      </c>
      <c r="FH149" s="20">
        <f t="shared" si="130"/>
        <v>815.36791546575341</v>
      </c>
      <c r="FI149" s="59">
        <f t="shared" si="131"/>
        <v>1101.5794608595841</v>
      </c>
      <c r="FJ149" s="59">
        <f ca="1">AVERAGE(OFFSET($FI$3,0,0,'Données projet'!$E$16+1,1))-AVERAGE(OFFSET($H$3,0,0,'Données projet'!$E$16+1,1))</f>
        <v>640.05156427113661</v>
      </c>
      <c r="FK149" s="59">
        <f t="shared" si="156"/>
        <v>308.77220155372902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35.923582850146062</v>
      </c>
      <c r="FR149" s="21">
        <f>EXP(-LN(2)/25)*FR148+(1-EXP(-LN(2)/25))/(LN(2)/25)*Calculateur!FM149*Calculateur!FO149*VLOOKUP('Données projet'!$B$16,Paramètres!$A$1:$I$89,3,0)*0.475*44/12</f>
        <v>24.531347303895249</v>
      </c>
      <c r="FS149" s="21">
        <f>EXP(-LN(2)/2)*FS148+(1-EXP(-LN(2)/2))/(LN(2)/2)*FM149*FP149*VLOOKUP('Données projet'!$B$16,Paramètres!$A$1:$I$89,3,0)*0.475*44/12</f>
        <v>3.3166371143508293</v>
      </c>
      <c r="FT149" s="22">
        <f t="shared" si="132"/>
        <v>63.771567268392133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286.3350924926504</v>
      </c>
      <c r="S150" s="59">
        <f ca="1">AVERAGE(OFFSET($R$3,0,0,'Données projet'!$E$9+1,1))-AVERAGE(OFFSET($H$3,0,0,'Données projet'!$E$9+1,1))</f>
        <v>318.50474972254085</v>
      </c>
      <c r="T150" s="59">
        <f t="shared" si="142"/>
        <v>326.45858332753562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24.793114617154281</v>
      </c>
      <c r="AA150" s="21">
        <f>EXP(-LN(2)/25)*AA149+(1-EXP(-LN(2)/25))/(LN(2)/25)*Calculateur!V150*Calculateur!X150*VLOOKUP('Données projet'!$B$9,Paramètres!$A$1:$I$89,3,0)*0.475*44/12</f>
        <v>4.3413459165049888</v>
      </c>
      <c r="AB150" s="21">
        <f>EXP(-LN(2)/2)*AB149+(1-EXP(-LN(2)/2))/(LN(2)/2)*V150*Y150*VLOOKUP('Données projet'!$B$9,Paramètres!$A$1:$I$89,3,0)*0.475*44/12</f>
        <v>4.8202244704637791E-12</v>
      </c>
      <c r="AC150" s="22">
        <f t="shared" si="111"/>
        <v>29.13446053366409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1.7053025658242404E-13</v>
      </c>
      <c r="AJ150" s="13">
        <f>AI150*VLOOKUP('Données projet'!$B$10,Paramètres!$A$1:$I$89,3,0)*VLOOKUP('Données projet'!$B$10,Paramètres!$A$1:$I$89,5,0)</f>
        <v>7.9808160080574461E-14</v>
      </c>
      <c r="AK150" s="13">
        <f t="shared" si="143"/>
        <v>1.2308384591775343E-12</v>
      </c>
      <c r="AL150" s="20">
        <f t="shared" si="112"/>
        <v>2.282709528541206E-12</v>
      </c>
      <c r="AM150" s="59">
        <f t="shared" si="113"/>
        <v>286.33509249265069</v>
      </c>
      <c r="AN150" s="59">
        <f ca="1">AVERAGE(OFFSET($AM$3,0,0,'Données projet'!$E$10+1,1))-AVERAGE(OFFSET($H$3,0,0,'Données projet'!$E$10+1,1))</f>
        <v>374.38106339726073</v>
      </c>
      <c r="AO150" s="59">
        <f t="shared" si="144"/>
        <v>296.53283288925957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105.95102618464622</v>
      </c>
      <c r="AV150" s="21">
        <f>EXP(-LN(2)/25)*AV149+(1-EXP(-LN(2)/25))/(LN(2)/25)*Calculateur!AQ150*Calculateur!AS150*VLOOKUP('Données projet'!$B$10,Paramètres!$A$1:$I$89,3,0)*0.475*44/12</f>
        <v>28.821316577757113</v>
      </c>
      <c r="AW150" s="21">
        <f>EXP(-LN(2)/2)*AW149+(1-EXP(-LN(2)/2))/(LN(2)/2)*AQ150*AT150*VLOOKUP('Données projet'!$B$10,Paramètres!$A$1:$I$89,3,0)*0.475*44/12</f>
        <v>0.1265963034163235</v>
      </c>
      <c r="AX150" s="21">
        <f t="shared" si="114"/>
        <v>134.89893906581966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9.3350000000000026</v>
      </c>
      <c r="BD150" s="12">
        <f>IF('Données projet'!$A$88&gt;35,BD149+BC150-BL149,IF(A150&lt;'Données projet'!$A$88,$BA$205^A150,IF(A150='Données projet'!$A$88,'Données projet'!$B$88,BD149+BC150-BL149)))</f>
        <v>481.14500000000089</v>
      </c>
      <c r="BE150" s="13">
        <f>BD150*VLOOKUP('Données projet'!$B$11,Paramètres!$A$1:$I$89,3,0)*VLOOKUP('Données projet'!$B$11,Paramètres!$A$1:$I$89,5,0)</f>
        <v>435.33999600000078</v>
      </c>
      <c r="BF150" s="13">
        <f t="shared" si="145"/>
        <v>98.905624251508897</v>
      </c>
      <c r="BG150" s="20">
        <f t="shared" si="115"/>
        <v>930.4777886047126</v>
      </c>
      <c r="BH150" s="59">
        <f t="shared" si="116"/>
        <v>1216.812881097361</v>
      </c>
      <c r="BI150" s="59">
        <f ca="1">AVERAGE(OFFSET($BH$3,0,0,'Données projet'!$E$11+1,1))-AVERAGE(OFFSET($H$3,0,0,'Données projet'!$E$11+1,1))</f>
        <v>681.47578137804555</v>
      </c>
      <c r="BJ150" s="59">
        <f t="shared" si="146"/>
        <v>300.88511065995885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47.113072486079218</v>
      </c>
      <c r="BQ150" s="21">
        <f>EXP(-LN(2)/25)*BQ149+(1-EXP(-LN(2)/25))/(LN(2)/25)*Calculateur!BL150*Calculateur!BN150*VLOOKUP('Données projet'!$B$11,Paramètres!$A$1:$I$89,3,0)*0.475*44/12</f>
        <v>21.448139044226672</v>
      </c>
      <c r="BR150" s="21">
        <f>EXP(-LN(2)/2)*BR149+(1-EXP(-LN(2)/2))/(LN(2)/2)*BL150*BO150*VLOOKUP('Données projet'!$B$11,Paramètres!$A$1:$I$89,3,0)*0.475*44/12</f>
        <v>1.7629264264008031E-3</v>
      </c>
      <c r="BS150" s="22">
        <f t="shared" si="117"/>
        <v>68.562974456732277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8.5265128291212022E-14</v>
      </c>
      <c r="BZ150" s="13">
        <f>BY150*VLOOKUP('Données projet'!$B$12,Paramètres!$A$1:$I$89,3,0)*VLOOKUP('Données projet'!$B$12,Paramètres!$A$1:$I$89,5,0)</f>
        <v>8.9119112089974823E-14</v>
      </c>
      <c r="CA150" s="13">
        <f t="shared" si="147"/>
        <v>1.3568952080113142E-12</v>
      </c>
      <c r="CB150" s="20">
        <f t="shared" si="118"/>
        <v>2.5184749408430782E-12</v>
      </c>
      <c r="CC150" s="59">
        <f t="shared" si="119"/>
        <v>286.33509249265092</v>
      </c>
      <c r="CD150" s="59">
        <f ca="1">AVERAGE(OFFSET($CC$3,0,0,'Données projet'!$E$12+1,1))-AVERAGE(OFFSET($H$3,0,0,'Données projet'!$E$12+1,1))</f>
        <v>290.69667785754848</v>
      </c>
      <c r="CE150" s="59">
        <f t="shared" si="148"/>
        <v>256.28124185489082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7.0171726835020394</v>
      </c>
      <c r="CL150" s="21">
        <f>EXP(-LN(2)/25)*CL149+(1-EXP(-LN(2)/25))/(LN(2)/25)*Calculateur!CG150*Calculateur!CI150*VLOOKUP('Données projet'!$B$12,Paramètres!$A$1:$I$89,3,0)*0.475*44/12</f>
        <v>12.347137096891707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19.364309780393747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408.246209980743</v>
      </c>
      <c r="CZ150" s="59">
        <f t="shared" si="150"/>
        <v>394.10236303013903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15.143077728954262</v>
      </c>
      <c r="DG150" s="21">
        <f>EXP(-LN(2)/25)*DG149+(1-EXP(-LN(2)/25))/(LN(2)/25)*Calculateur!DB150*Calculateur!DD150*VLOOKUP('Données projet'!$B$13,Paramètres!$A$1:$I$89,3,0)*0.475*44/12</f>
        <v>8.7937844604826765</v>
      </c>
      <c r="DH150" s="21">
        <f>EXP(-LN(2)/2)*DH149+(1-EXP(-LN(2)/2))/(LN(2)/2)*DB150*DE150*VLOOKUP('Données projet'!$B$13,Paramètres!$A$1:$I$89,3,0)*0.475*44/12</f>
        <v>5.6421672121820648E-9</v>
      </c>
      <c r="DI150" s="22">
        <f t="shared" si="123"/>
        <v>23.936862195079105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5.6843418860808015E-13</v>
      </c>
      <c r="DP150" s="17">
        <f>DO150*VLOOKUP('Données projet'!$B$14,Paramètres!$A$1:$I$89,3,0)*VLOOKUP('Données projet'!$B$14,Paramètres!$A$1:$I$89,5,0)</f>
        <v>3.177547114319168E-13</v>
      </c>
      <c r="DQ150" s="13">
        <f t="shared" si="151"/>
        <v>4.1725404435445377E-12</v>
      </c>
      <c r="DR150" s="20">
        <f t="shared" si="124"/>
        <v>7.820597394917325E-12</v>
      </c>
      <c r="DS150" s="59">
        <f t="shared" si="125"/>
        <v>286.33509249265626</v>
      </c>
      <c r="DT150" s="59">
        <f ca="1">AVERAGE(OFFSET($DS$3,0,0,'Données projet'!$E$14+1,1))-AVERAGE(OFFSET($H$3,0,0,'Données projet'!$E$14+1,1))</f>
        <v>407.05634973057056</v>
      </c>
      <c r="DU150" s="59">
        <f t="shared" si="152"/>
        <v>375.32891954889965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50.219606551749287</v>
      </c>
      <c r="EB150" s="21">
        <f>EXP(-LN(2)/25)*EB149+(1-EXP(-LN(2)/25))/(LN(2)/25)*Calculateur!DW150*Calculateur!DY150*VLOOKUP('Données projet'!$B$14,Paramètres!$A$1:$I$89,3,0)*0.475*44/12</f>
        <v>9.0771091745791175</v>
      </c>
      <c r="EC150" s="21">
        <f>EXP(-LN(2)/2)*EC149+(1-EXP(-LN(2)/2))/(LN(2)/2)*DW150*DZ150*VLOOKUP('Données projet'!$B$14,Paramètres!$A$1:$I$89,3,0)*0.475*44/12</f>
        <v>1.9423339205136203E-10</v>
      </c>
      <c r="ED150" s="22">
        <f t="shared" si="126"/>
        <v>59.296715726522635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1.1368683772161603E-13</v>
      </c>
      <c r="EK150" s="17">
        <f>EJ150*VLOOKUP('Données projet'!$B$15,Paramètres!$A$1:$I$89,3,0)*VLOOKUP('Données projet'!$B$15,Paramètres!$A$1:$I$89,5,0)</f>
        <v>5.0249582272954292E-14</v>
      </c>
      <c r="EL150" s="13">
        <f t="shared" si="153"/>
        <v>8.1784820119191593E-13</v>
      </c>
      <c r="EM150" s="20">
        <f t="shared" si="127"/>
        <v>1.5119369728679821E-12</v>
      </c>
      <c r="EN150" s="59">
        <f t="shared" si="128"/>
        <v>286.33509249264995</v>
      </c>
      <c r="EO150" s="59">
        <f ca="1">AVERAGE(OFFSET($EN$3,0,0,'Données projet'!$E$15+1,1))-AVERAGE(OFFSET($H$3,0,0,'Données projet'!$E$15+1,1))</f>
        <v>418.28022549686278</v>
      </c>
      <c r="EP150" s="59">
        <f t="shared" si="154"/>
        <v>354.55070454517158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54.820574746791003</v>
      </c>
      <c r="EW150" s="21">
        <f>EXP(-LN(2)/25)*EW149+(1-EXP(-LN(2)/25))/(LN(2)/25)*Calculateur!ER150*Calculateur!ET150*VLOOKUP('Données projet'!$B$15,Paramètres!$A$1:$I$89,3,0)*0.475*44/12</f>
        <v>11.218734554252629</v>
      </c>
      <c r="EX150" s="21">
        <f>EXP(-LN(2)/2)*EX149+(1-EXP(-LN(2)/2))/(LN(2)/2)*ER150*EU150*VLOOKUP('Données projet'!$B$15,Paramètres!$A$1:$I$89,3,0)*0.475*44/12</f>
        <v>6.4705201043715128E-9</v>
      </c>
      <c r="EY150" s="22">
        <f t="shared" si="129"/>
        <v>66.039309307514145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7.5191666666666634</v>
      </c>
      <c r="FE150" s="12">
        <f>IF('Données projet'!$A$218&gt;35,FE149+FD150-FM149,IF(A150&lt;'Données projet'!$A$218,$FB$205^A150,IF(A150='Données projet'!$A$218,'Données projet'!$B$218,FE149+FD150-FM149)))</f>
        <v>341.52749999999975</v>
      </c>
      <c r="FF150" s="17">
        <f>FE150*VLOOKUP('Données projet'!$B$16,Paramètres!$A$1:$I$89,3,0)*VLOOKUP('Données projet'!$B$16,Paramètres!$A$1:$I$89,5,0)</f>
        <v>388.9315169999997</v>
      </c>
      <c r="FG150" s="13">
        <f t="shared" si="155"/>
        <v>89.529048562847422</v>
      </c>
      <c r="FH150" s="20">
        <f t="shared" si="130"/>
        <v>833.31881835529202</v>
      </c>
      <c r="FI150" s="59">
        <f t="shared" si="131"/>
        <v>1119.6539108479406</v>
      </c>
      <c r="FJ150" s="59">
        <f ca="1">AVERAGE(OFFSET($FI$3,0,0,'Données projet'!$E$16+1,1))-AVERAGE(OFFSET($H$3,0,0,'Données projet'!$E$16+1,1))</f>
        <v>640.05156427113661</v>
      </c>
      <c r="FK150" s="59">
        <f t="shared" si="156"/>
        <v>308.77220155372902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35.219143301676681</v>
      </c>
      <c r="FR150" s="21">
        <f>EXP(-LN(2)/25)*FR149+(1-EXP(-LN(2)/25))/(LN(2)/25)*Calculateur!FM150*Calculateur!FO150*VLOOKUP('Données projet'!$B$16,Paramètres!$A$1:$I$89,3,0)*0.475*44/12</f>
        <v>23.860536321822746</v>
      </c>
      <c r="FS150" s="21">
        <f>EXP(-LN(2)/2)*FS149+(1-EXP(-LN(2)/2))/(LN(2)/2)*FM150*FP150*VLOOKUP('Données projet'!$B$16,Paramètres!$A$1:$I$89,3,0)*0.475*44/12</f>
        <v>2.3452165942924545</v>
      </c>
      <c r="FT150" s="22">
        <f t="shared" si="132"/>
        <v>61.424896217791883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286.45649632551368</v>
      </c>
      <c r="S151" s="59">
        <f ca="1">AVERAGE(OFFSET($R$3,0,0,'Données projet'!$E$9+1,1))-AVERAGE(OFFSET($H$3,0,0,'Données projet'!$E$9+1,1))</f>
        <v>318.50474972254085</v>
      </c>
      <c r="T151" s="59">
        <f t="shared" si="142"/>
        <v>326.45858332753562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24.306936761818598</v>
      </c>
      <c r="AA151" s="21">
        <f>EXP(-LN(2)/25)*AA150+(1-EXP(-LN(2)/25))/(LN(2)/25)*Calculateur!V151*Calculateur!X151*VLOOKUP('Données projet'!$B$9,Paramètres!$A$1:$I$89,3,0)*0.475*44/12</f>
        <v>4.2226315841167006</v>
      </c>
      <c r="AB151" s="21">
        <f>EXP(-LN(2)/2)*AB150+(1-EXP(-LN(2)/2))/(LN(2)/2)*V151*Y151*VLOOKUP('Données projet'!$B$9,Paramètres!$A$1:$I$89,3,0)*0.475*44/12</f>
        <v>3.4084134099062734E-12</v>
      </c>
      <c r="AC151" s="22">
        <f t="shared" si="111"/>
        <v>28.529568345938706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1.7053025658242404E-13</v>
      </c>
      <c r="AJ151" s="13">
        <f>AI151*VLOOKUP('Données projet'!$B$10,Paramètres!$A$1:$I$89,3,0)*VLOOKUP('Données projet'!$B$10,Paramètres!$A$1:$I$89,5,0)</f>
        <v>7.9808160080574461E-14</v>
      </c>
      <c r="AK151" s="13">
        <f t="shared" si="143"/>
        <v>1.2308384591775343E-12</v>
      </c>
      <c r="AL151" s="20">
        <f t="shared" si="112"/>
        <v>2.282709528541206E-12</v>
      </c>
      <c r="AM151" s="59">
        <f t="shared" si="113"/>
        <v>286.45649632551397</v>
      </c>
      <c r="AN151" s="59">
        <f ca="1">AVERAGE(OFFSET($AM$3,0,0,'Données projet'!$E$10+1,1))-AVERAGE(OFFSET($H$3,0,0,'Données projet'!$E$10+1,1))</f>
        <v>374.38106339726073</v>
      </c>
      <c r="AO151" s="59">
        <f t="shared" si="144"/>
        <v>296.53283288925957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103.87339118491022</v>
      </c>
      <c r="AV151" s="21">
        <f>EXP(-LN(2)/25)*AV150+(1-EXP(-LN(2)/25))/(LN(2)/25)*Calculateur!AQ151*Calculateur!AS151*VLOOKUP('Données projet'!$B$10,Paramètres!$A$1:$I$89,3,0)*0.475*44/12</f>
        <v>28.033196160291176</v>
      </c>
      <c r="AW151" s="21">
        <f>EXP(-LN(2)/2)*AW150+(1-EXP(-LN(2)/2))/(LN(2)/2)*AQ151*AT151*VLOOKUP('Données projet'!$B$10,Paramètres!$A$1:$I$89,3,0)*0.475*44/12</f>
        <v>8.9517104618832041E-2</v>
      </c>
      <c r="AX151" s="21">
        <f t="shared" si="114"/>
        <v>131.99610444982022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9.3350000000000026</v>
      </c>
      <c r="BD151" s="12">
        <f>IF('Données projet'!$A$88&gt;35,BD150+BC151-BL150,IF(A151&lt;'Données projet'!$A$88,$BA$205^A151,IF(A151='Données projet'!$A$88,'Données projet'!$B$88,BD150+BC151-BL150)))</f>
        <v>490.48000000000087</v>
      </c>
      <c r="BE151" s="13">
        <f>BD151*VLOOKUP('Données projet'!$B$11,Paramètres!$A$1:$I$89,3,0)*VLOOKUP('Données projet'!$B$11,Paramètres!$A$1:$I$89,5,0)</f>
        <v>443.78630400000077</v>
      </c>
      <c r="BF151" s="13">
        <f t="shared" si="145"/>
        <v>100.59929067522565</v>
      </c>
      <c r="BG151" s="20">
        <f t="shared" si="115"/>
        <v>948.13824405935259</v>
      </c>
      <c r="BH151" s="59">
        <f t="shared" si="116"/>
        <v>1234.5947403848643</v>
      </c>
      <c r="BI151" s="59">
        <f ca="1">AVERAGE(OFFSET($BH$3,0,0,'Données projet'!$E$11+1,1))-AVERAGE(OFFSET($H$3,0,0,'Données projet'!$E$11+1,1))</f>
        <v>681.47578137804555</v>
      </c>
      <c r="BJ151" s="59">
        <f t="shared" si="146"/>
        <v>300.88511065995885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46.189213870763965</v>
      </c>
      <c r="BQ151" s="21">
        <f>EXP(-LN(2)/25)*BQ150+(1-EXP(-LN(2)/25))/(LN(2)/25)*Calculateur!BL151*Calculateur!BN151*VLOOKUP('Données projet'!$B$11,Paramètres!$A$1:$I$89,3,0)*0.475*44/12</f>
        <v>20.861638554153682</v>
      </c>
      <c r="BR151" s="21">
        <f>EXP(-LN(2)/2)*BR150+(1-EXP(-LN(2)/2))/(LN(2)/2)*BL151*BO151*VLOOKUP('Données projet'!$B$11,Paramètres!$A$1:$I$89,3,0)*0.475*44/12</f>
        <v>1.2465772308409748E-3</v>
      </c>
      <c r="BS151" s="22">
        <f t="shared" si="117"/>
        <v>67.052099002148495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8.5265128291212022E-14</v>
      </c>
      <c r="BZ151" s="13">
        <f>BY151*VLOOKUP('Données projet'!$B$12,Paramètres!$A$1:$I$89,3,0)*VLOOKUP('Données projet'!$B$12,Paramètres!$A$1:$I$89,5,0)</f>
        <v>8.9119112089974823E-14</v>
      </c>
      <c r="CA151" s="13">
        <f t="shared" si="147"/>
        <v>1.3568952080113142E-12</v>
      </c>
      <c r="CB151" s="20">
        <f t="shared" si="118"/>
        <v>2.5184749408430782E-12</v>
      </c>
      <c r="CC151" s="59">
        <f t="shared" si="119"/>
        <v>286.45649632551419</v>
      </c>
      <c r="CD151" s="59">
        <f ca="1">AVERAGE(OFFSET($CC$3,0,0,'Données projet'!$E$12+1,1))-AVERAGE(OFFSET($H$3,0,0,'Données projet'!$E$12+1,1))</f>
        <v>290.69667785754848</v>
      </c>
      <c r="CE151" s="59">
        <f t="shared" si="148"/>
        <v>256.28124185489082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6.8795702072312812</v>
      </c>
      <c r="CL151" s="21">
        <f>EXP(-LN(2)/25)*CL150+(1-EXP(-LN(2)/25))/(LN(2)/25)*Calculateur!CG151*Calculateur!CI151*VLOOKUP('Données projet'!$B$12,Paramètres!$A$1:$I$89,3,0)*0.475*44/12</f>
        <v>12.009503983669482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18.889074190900764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408.246209980743</v>
      </c>
      <c r="CZ151" s="59">
        <f t="shared" si="150"/>
        <v>394.10236303013903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14.846131211054868</v>
      </c>
      <c r="DG151" s="21">
        <f>EXP(-LN(2)/25)*DG150+(1-EXP(-LN(2)/25))/(LN(2)/25)*Calculateur!DB151*Calculateur!DD151*VLOOKUP('Données projet'!$B$13,Paramètres!$A$1:$I$89,3,0)*0.475*44/12</f>
        <v>8.5533179619657513</v>
      </c>
      <c r="DH151" s="21">
        <f>EXP(-LN(2)/2)*DH150+(1-EXP(-LN(2)/2))/(LN(2)/2)*DB151*DE151*VLOOKUP('Données projet'!$B$13,Paramètres!$A$1:$I$89,3,0)*0.475*44/12</f>
        <v>3.9896146963223361E-9</v>
      </c>
      <c r="DI151" s="22">
        <f t="shared" si="123"/>
        <v>23.399449177010236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5.6843418860808015E-13</v>
      </c>
      <c r="DP151" s="17">
        <f>DO151*VLOOKUP('Données projet'!$B$14,Paramètres!$A$1:$I$89,3,0)*VLOOKUP('Données projet'!$B$14,Paramètres!$A$1:$I$89,5,0)</f>
        <v>3.177547114319168E-13</v>
      </c>
      <c r="DQ151" s="13">
        <f t="shared" si="151"/>
        <v>4.1725404435445377E-12</v>
      </c>
      <c r="DR151" s="20">
        <f t="shared" si="124"/>
        <v>7.820597394917325E-12</v>
      </c>
      <c r="DS151" s="59">
        <f t="shared" si="125"/>
        <v>286.45649632551954</v>
      </c>
      <c r="DT151" s="59">
        <f ca="1">AVERAGE(OFFSET($DS$3,0,0,'Données projet'!$E$14+1,1))-AVERAGE(OFFSET($H$3,0,0,'Données projet'!$E$14+1,1))</f>
        <v>407.05634973057056</v>
      </c>
      <c r="DU151" s="59">
        <f t="shared" si="152"/>
        <v>375.32891954889965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49.234830698204924</v>
      </c>
      <c r="EB151" s="21">
        <f>EXP(-LN(2)/25)*EB150+(1-EXP(-LN(2)/25))/(LN(2)/25)*Calculateur!DW151*Calculateur!DY151*VLOOKUP('Données projet'!$B$14,Paramètres!$A$1:$I$89,3,0)*0.475*44/12</f>
        <v>8.8288951468558263</v>
      </c>
      <c r="EC151" s="21">
        <f>EXP(-LN(2)/2)*EC150+(1-EXP(-LN(2)/2))/(LN(2)/2)*DW151*DZ151*VLOOKUP('Données projet'!$B$14,Paramètres!$A$1:$I$89,3,0)*0.475*44/12</f>
        <v>1.3734374865238334E-10</v>
      </c>
      <c r="ED151" s="22">
        <f t="shared" si="126"/>
        <v>58.063725845198093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1.1368683772161603E-13</v>
      </c>
      <c r="EK151" s="17">
        <f>EJ151*VLOOKUP('Données projet'!$B$15,Paramètres!$A$1:$I$89,3,0)*VLOOKUP('Données projet'!$B$15,Paramètres!$A$1:$I$89,5,0)</f>
        <v>5.0249582272954292E-14</v>
      </c>
      <c r="EL151" s="13">
        <f t="shared" si="153"/>
        <v>8.1784820119191593E-13</v>
      </c>
      <c r="EM151" s="20">
        <f t="shared" si="127"/>
        <v>1.5119369728679821E-12</v>
      </c>
      <c r="EN151" s="59">
        <f t="shared" si="128"/>
        <v>286.45649632551323</v>
      </c>
      <c r="EO151" s="59">
        <f ca="1">AVERAGE(OFFSET($EN$3,0,0,'Données projet'!$E$15+1,1))-AVERAGE(OFFSET($H$3,0,0,'Données projet'!$E$15+1,1))</f>
        <v>418.28022549686278</v>
      </c>
      <c r="EP151" s="59">
        <f t="shared" si="154"/>
        <v>354.55070454517158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53.745576713255375</v>
      </c>
      <c r="EW151" s="21">
        <f>EXP(-LN(2)/25)*EW150+(1-EXP(-LN(2)/25))/(LN(2)/25)*Calculateur!ER151*Calculateur!ET151*VLOOKUP('Données projet'!$B$15,Paramètres!$A$1:$I$89,3,0)*0.475*44/12</f>
        <v>10.911957667898982</v>
      </c>
      <c r="EX151" s="21">
        <f>EXP(-LN(2)/2)*EX150+(1-EXP(-LN(2)/2))/(LN(2)/2)*ER151*EU151*VLOOKUP('Données projet'!$B$15,Paramètres!$A$1:$I$89,3,0)*0.475*44/12</f>
        <v>4.5753486436049839E-9</v>
      </c>
      <c r="EY151" s="22">
        <f t="shared" si="129"/>
        <v>64.657534385729718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7.5191666666666634</v>
      </c>
      <c r="FE151" s="12">
        <f>IF('Données projet'!$A$218&gt;35,FE150+FD151-FM150,IF(A151&lt;'Données projet'!$A$218,$FB$205^A151,IF(A151='Données projet'!$A$218,'Données projet'!$B$218,FE150+FD151-FM150)))</f>
        <v>349.0466666666664</v>
      </c>
      <c r="FF151" s="17">
        <f>FE151*VLOOKUP('Données projet'!$B$16,Paramètres!$A$1:$I$89,3,0)*VLOOKUP('Données projet'!$B$16,Paramètres!$A$1:$I$89,5,0)</f>
        <v>397.49434399999973</v>
      </c>
      <c r="FG151" s="13">
        <f t="shared" si="155"/>
        <v>91.268496290243391</v>
      </c>
      <c r="FH151" s="20">
        <f t="shared" si="130"/>
        <v>851.26194683884012</v>
      </c>
      <c r="FI151" s="59">
        <f t="shared" si="131"/>
        <v>1137.7184431643518</v>
      </c>
      <c r="FJ151" s="59">
        <f ca="1">AVERAGE(OFFSET($FI$3,0,0,'Données projet'!$E$16+1,1))-AVERAGE(OFFSET($H$3,0,0,'Données projet'!$E$16+1,1))</f>
        <v>640.05156427113661</v>
      </c>
      <c r="FK151" s="59">
        <f t="shared" si="156"/>
        <v>308.77220155372902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34.528517383087085</v>
      </c>
      <c r="FR151" s="21">
        <f>EXP(-LN(2)/25)*FR150+(1-EXP(-LN(2)/25))/(LN(2)/25)*Calculateur!FM151*Calculateur!FO151*VLOOKUP('Données projet'!$B$16,Paramètres!$A$1:$I$89,3,0)*0.475*44/12</f>
        <v>23.208068701331431</v>
      </c>
      <c r="FS151" s="21">
        <f>EXP(-LN(2)/2)*FS150+(1-EXP(-LN(2)/2))/(LN(2)/2)*FM151*FP151*VLOOKUP('Données projet'!$B$16,Paramètres!$A$1:$I$89,3,0)*0.475*44/12</f>
        <v>1.6583185571754149</v>
      </c>
      <c r="FT151" s="22">
        <f t="shared" si="132"/>
        <v>59.394904641593932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286.57579407329507</v>
      </c>
      <c r="S152" s="59">
        <f ca="1">AVERAGE(OFFSET($R$3,0,0,'Données projet'!$E$9+1,1))-AVERAGE(OFFSET($H$3,0,0,'Données projet'!$E$9+1,1))</f>
        <v>318.50474972254085</v>
      </c>
      <c r="T152" s="59">
        <f t="shared" si="142"/>
        <v>326.45858332753562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23.830292557686835</v>
      </c>
      <c r="AA152" s="21">
        <f>EXP(-LN(2)/25)*AA151+(1-EXP(-LN(2)/25))/(LN(2)/25)*Calculateur!V152*Calculateur!X152*VLOOKUP('Données projet'!$B$9,Paramètres!$A$1:$I$89,3,0)*0.475*44/12</f>
        <v>4.1071635013904855</v>
      </c>
      <c r="AB152" s="21">
        <f>EXP(-LN(2)/2)*AB151+(1-EXP(-LN(2)/2))/(LN(2)/2)*V152*Y152*VLOOKUP('Données projet'!$B$9,Paramètres!$A$1:$I$89,3,0)*0.475*44/12</f>
        <v>2.4101122352318895E-12</v>
      </c>
      <c r="AC152" s="22">
        <f t="shared" si="111"/>
        <v>27.937456059079729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1.7053025658242404E-13</v>
      </c>
      <c r="AJ152" s="13">
        <f>AI152*VLOOKUP('Données projet'!$B$10,Paramètres!$A$1:$I$89,3,0)*VLOOKUP('Données projet'!$B$10,Paramètres!$A$1:$I$89,5,0)</f>
        <v>7.9808160080574461E-14</v>
      </c>
      <c r="AK152" s="13">
        <f t="shared" si="143"/>
        <v>1.2308384591775343E-12</v>
      </c>
      <c r="AL152" s="20">
        <f t="shared" si="112"/>
        <v>2.282709528541206E-12</v>
      </c>
      <c r="AM152" s="59">
        <f t="shared" si="113"/>
        <v>286.57579407329536</v>
      </c>
      <c r="AN152" s="59">
        <f ca="1">AVERAGE(OFFSET($AM$3,0,0,'Données projet'!$E$10+1,1))-AVERAGE(OFFSET($H$3,0,0,'Données projet'!$E$10+1,1))</f>
        <v>374.38106339726073</v>
      </c>
      <c r="AO152" s="59">
        <f t="shared" si="144"/>
        <v>296.53283288925957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101.83649734028681</v>
      </c>
      <c r="AV152" s="21">
        <f>EXP(-LN(2)/25)*AV151+(1-EXP(-LN(2)/25))/(LN(2)/25)*Calculateur!AQ152*Calculateur!AS152*VLOOKUP('Données projet'!$B$10,Paramètres!$A$1:$I$89,3,0)*0.475*44/12</f>
        <v>27.266626937086297</v>
      </c>
      <c r="AW152" s="21">
        <f>EXP(-LN(2)/2)*AW151+(1-EXP(-LN(2)/2))/(LN(2)/2)*AQ152*AT152*VLOOKUP('Données projet'!$B$10,Paramètres!$A$1:$I$89,3,0)*0.475*44/12</f>
        <v>6.3298151708161748E-2</v>
      </c>
      <c r="AX152" s="21">
        <f t="shared" si="114"/>
        <v>129.16642242908125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9.3350000000000026</v>
      </c>
      <c r="BD152" s="12">
        <f>IF('Données projet'!$A$88&gt;35,BD151+BC152-BL151,IF(A152&lt;'Données projet'!$A$88,$BA$205^A152,IF(A152='Données projet'!$A$88,'Données projet'!$B$88,BD151+BC152-BL151)))</f>
        <v>499.81500000000085</v>
      </c>
      <c r="BE152" s="13">
        <f>BD152*VLOOKUP('Données projet'!$B$11,Paramètres!$A$1:$I$89,3,0)*VLOOKUP('Données projet'!$B$11,Paramètres!$A$1:$I$89,5,0)</f>
        <v>452.2326120000007</v>
      </c>
      <c r="BF152" s="13">
        <f t="shared" si="145"/>
        <v>102.28920891735658</v>
      </c>
      <c r="BG152" s="20">
        <f t="shared" si="115"/>
        <v>965.79217143106382</v>
      </c>
      <c r="BH152" s="59">
        <f t="shared" si="116"/>
        <v>1252.367965504357</v>
      </c>
      <c r="BI152" s="59">
        <f ca="1">AVERAGE(OFFSET($BH$3,0,0,'Données projet'!$E$11+1,1))-AVERAGE(OFFSET($H$3,0,0,'Données projet'!$E$11+1,1))</f>
        <v>681.47578137804555</v>
      </c>
      <c r="BJ152" s="59">
        <f t="shared" si="146"/>
        <v>300.88511065995885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45.283471559396929</v>
      </c>
      <c r="BQ152" s="21">
        <f>EXP(-LN(2)/25)*BQ151+(1-EXP(-LN(2)/25))/(LN(2)/25)*Calculateur!BL152*Calculateur!BN152*VLOOKUP('Données projet'!$B$11,Paramètres!$A$1:$I$89,3,0)*0.475*44/12</f>
        <v>20.291175950824456</v>
      </c>
      <c r="BR152" s="21">
        <f>EXP(-LN(2)/2)*BR151+(1-EXP(-LN(2)/2))/(LN(2)/2)*BL152*BO152*VLOOKUP('Données projet'!$B$11,Paramètres!$A$1:$I$89,3,0)*0.475*44/12</f>
        <v>8.8146321320040153E-4</v>
      </c>
      <c r="BS152" s="22">
        <f t="shared" si="117"/>
        <v>65.575528973434587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8.5265128291212022E-14</v>
      </c>
      <c r="BZ152" s="13">
        <f>BY152*VLOOKUP('Données projet'!$B$12,Paramètres!$A$1:$I$89,3,0)*VLOOKUP('Données projet'!$B$12,Paramètres!$A$1:$I$89,5,0)</f>
        <v>8.9119112089974823E-14</v>
      </c>
      <c r="CA152" s="13">
        <f t="shared" si="147"/>
        <v>1.3568952080113142E-12</v>
      </c>
      <c r="CB152" s="20">
        <f t="shared" si="118"/>
        <v>2.5184749408430782E-12</v>
      </c>
      <c r="CC152" s="59">
        <f t="shared" si="119"/>
        <v>286.57579407329558</v>
      </c>
      <c r="CD152" s="59">
        <f ca="1">AVERAGE(OFFSET($CC$3,0,0,'Données projet'!$E$12+1,1))-AVERAGE(OFFSET($H$3,0,0,'Données projet'!$E$12+1,1))</f>
        <v>290.69667785754848</v>
      </c>
      <c r="CE152" s="59">
        <f t="shared" si="148"/>
        <v>256.28124185489082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6.7446660315909694</v>
      </c>
      <c r="CL152" s="21">
        <f>EXP(-LN(2)/25)*CL151+(1-EXP(-LN(2)/25))/(LN(2)/25)*Calculateur!CG152*Calculateur!CI152*VLOOKUP('Données projet'!$B$12,Paramètres!$A$1:$I$89,3,0)*0.475*44/12</f>
        <v>11.681103465683673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18.425769497274644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408.246209980743</v>
      </c>
      <c r="CZ152" s="59">
        <f t="shared" si="150"/>
        <v>394.10236303013903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14.555007633251989</v>
      </c>
      <c r="DG152" s="21">
        <f>EXP(-LN(2)/25)*DG151+(1-EXP(-LN(2)/25))/(LN(2)/25)*Calculateur!DB152*Calculateur!DD152*VLOOKUP('Données projet'!$B$13,Paramètres!$A$1:$I$89,3,0)*0.475*44/12</f>
        <v>8.3194270324963551</v>
      </c>
      <c r="DH152" s="21">
        <f>EXP(-LN(2)/2)*DH151+(1-EXP(-LN(2)/2))/(LN(2)/2)*DB152*DE152*VLOOKUP('Données projet'!$B$13,Paramètres!$A$1:$I$89,3,0)*0.475*44/12</f>
        <v>2.8210836060910324E-9</v>
      </c>
      <c r="DI152" s="22">
        <f t="shared" si="123"/>
        <v>22.874434668569428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5.6843418860808015E-13</v>
      </c>
      <c r="DP152" s="17">
        <f>DO152*VLOOKUP('Données projet'!$B$14,Paramètres!$A$1:$I$89,3,0)*VLOOKUP('Données projet'!$B$14,Paramètres!$A$1:$I$89,5,0)</f>
        <v>3.177547114319168E-13</v>
      </c>
      <c r="DQ152" s="13">
        <f t="shared" si="151"/>
        <v>4.1725404435445377E-12</v>
      </c>
      <c r="DR152" s="20">
        <f t="shared" si="124"/>
        <v>7.820597394917325E-12</v>
      </c>
      <c r="DS152" s="59">
        <f t="shared" si="125"/>
        <v>286.57579407330093</v>
      </c>
      <c r="DT152" s="59">
        <f ca="1">AVERAGE(OFFSET($DS$3,0,0,'Données projet'!$E$14+1,1))-AVERAGE(OFFSET($H$3,0,0,'Données projet'!$E$14+1,1))</f>
        <v>407.05634973057056</v>
      </c>
      <c r="DU152" s="59">
        <f t="shared" si="152"/>
        <v>375.32891954889965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48.26936569849461</v>
      </c>
      <c r="EB152" s="21">
        <f>EXP(-LN(2)/25)*EB151+(1-EXP(-LN(2)/25))/(LN(2)/25)*Calculateur!DW152*Calculateur!DY152*VLOOKUP('Données projet'!$B$14,Paramètres!$A$1:$I$89,3,0)*0.475*44/12</f>
        <v>8.5874685447736372</v>
      </c>
      <c r="EC152" s="21">
        <f>EXP(-LN(2)/2)*EC151+(1-EXP(-LN(2)/2))/(LN(2)/2)*DW152*DZ152*VLOOKUP('Données projet'!$B$14,Paramètres!$A$1:$I$89,3,0)*0.475*44/12</f>
        <v>9.7116696025681013E-11</v>
      </c>
      <c r="ED152" s="22">
        <f t="shared" si="126"/>
        <v>56.856834243365363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1.1368683772161603E-13</v>
      </c>
      <c r="EK152" s="17">
        <f>EJ152*VLOOKUP('Données projet'!$B$15,Paramètres!$A$1:$I$89,3,0)*VLOOKUP('Données projet'!$B$15,Paramètres!$A$1:$I$89,5,0)</f>
        <v>5.0249582272954292E-14</v>
      </c>
      <c r="EL152" s="13">
        <f t="shared" si="153"/>
        <v>8.1784820119191593E-13</v>
      </c>
      <c r="EM152" s="20">
        <f t="shared" si="127"/>
        <v>1.5119369728679821E-12</v>
      </c>
      <c r="EN152" s="59">
        <f t="shared" si="128"/>
        <v>286.57579407329462</v>
      </c>
      <c r="EO152" s="59">
        <f ca="1">AVERAGE(OFFSET($EN$3,0,0,'Données projet'!$E$15+1,1))-AVERAGE(OFFSET($H$3,0,0,'Données projet'!$E$15+1,1))</f>
        <v>418.28022549686278</v>
      </c>
      <c r="EP152" s="59">
        <f t="shared" si="154"/>
        <v>354.55070454517158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52.691658735473318</v>
      </c>
      <c r="EW152" s="21">
        <f>EXP(-LN(2)/25)*EW151+(1-EXP(-LN(2)/25))/(LN(2)/25)*Calculateur!ER152*Calculateur!ET152*VLOOKUP('Données projet'!$B$15,Paramètres!$A$1:$I$89,3,0)*0.475*44/12</f>
        <v>10.61356961163537</v>
      </c>
      <c r="EX152" s="21">
        <f>EXP(-LN(2)/2)*EX151+(1-EXP(-LN(2)/2))/(LN(2)/2)*ER152*EU152*VLOOKUP('Données projet'!$B$15,Paramètres!$A$1:$I$89,3,0)*0.475*44/12</f>
        <v>3.2352600521857564E-9</v>
      </c>
      <c r="EY152" s="22">
        <f t="shared" si="129"/>
        <v>63.305228350343945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7.5191666666666634</v>
      </c>
      <c r="FE152" s="12">
        <f>IF('Données projet'!$A$218&gt;35,FE151+FD152-FM151,IF(A152&lt;'Données projet'!$A$218,$FB$205^A152,IF(A152='Données projet'!$A$218,'Données projet'!$B$218,FE151+FD152-FM151)))</f>
        <v>356.56583333333305</v>
      </c>
      <c r="FF152" s="17">
        <f>FE152*VLOOKUP('Données projet'!$B$16,Paramètres!$A$1:$I$89,3,0)*VLOOKUP('Données projet'!$B$16,Paramètres!$A$1:$I$89,5,0)</f>
        <v>406.0571709999997</v>
      </c>
      <c r="FG152" s="13">
        <f t="shared" si="155"/>
        <v>93.003587477662336</v>
      </c>
      <c r="FH152" s="20">
        <f t="shared" si="130"/>
        <v>869.19748768192801</v>
      </c>
      <c r="FI152" s="59">
        <f t="shared" si="131"/>
        <v>1155.773281755221</v>
      </c>
      <c r="FJ152" s="59">
        <f ca="1">AVERAGE(OFFSET($FI$3,0,0,'Données projet'!$E$16+1,1))-AVERAGE(OFFSET($H$3,0,0,'Données projet'!$E$16+1,1))</f>
        <v>640.05156427113661</v>
      </c>
      <c r="FK152" s="59">
        <f t="shared" si="156"/>
        <v>308.77220155372902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33.851434217520818</v>
      </c>
      <c r="FR152" s="21">
        <f>EXP(-LN(2)/25)*FR151+(1-EXP(-LN(2)/25))/(LN(2)/25)*Calculateur!FM152*Calculateur!FO152*VLOOKUP('Données projet'!$B$16,Paramètres!$A$1:$I$89,3,0)*0.475*44/12</f>
        <v>22.573442842234233</v>
      </c>
      <c r="FS152" s="21">
        <f>EXP(-LN(2)/2)*FS151+(1-EXP(-LN(2)/2))/(LN(2)/2)*FM152*FP152*VLOOKUP('Données projet'!$B$16,Paramètres!$A$1:$I$89,3,0)*0.475*44/12</f>
        <v>1.1726082971462273</v>
      </c>
      <c r="FT152" s="22">
        <f t="shared" si="132"/>
        <v>57.597485356901274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286.69302227186233</v>
      </c>
      <c r="S153" s="59">
        <f ca="1">AVERAGE(OFFSET($R$3,0,0,'Données projet'!$E$9+1,1))-AVERAGE(OFFSET($H$3,0,0,'Données projet'!$E$9+1,1))</f>
        <v>318.50474972254085</v>
      </c>
      <c r="T153" s="59">
        <f t="shared" si="142"/>
        <v>326.45858332753562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23.362995055673842</v>
      </c>
      <c r="AA153" s="21">
        <f>EXP(-LN(2)/25)*AA152+(1-EXP(-LN(2)/25))/(LN(2)/25)*Calculateur!V153*Calculateur!X153*VLOOKUP('Données projet'!$B$9,Paramètres!$A$1:$I$89,3,0)*0.475*44/12</f>
        <v>3.9948528994586212</v>
      </c>
      <c r="AB153" s="21">
        <f>EXP(-LN(2)/2)*AB152+(1-EXP(-LN(2)/2))/(LN(2)/2)*V153*Y153*VLOOKUP('Données projet'!$B$9,Paramètres!$A$1:$I$89,3,0)*0.475*44/12</f>
        <v>1.7042067049531367E-12</v>
      </c>
      <c r="AC153" s="22">
        <f t="shared" si="111"/>
        <v>27.357847955134169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1.7053025658242404E-13</v>
      </c>
      <c r="AJ153" s="13">
        <f>AI153*VLOOKUP('Données projet'!$B$10,Paramètres!$A$1:$I$89,3,0)*VLOOKUP('Données projet'!$B$10,Paramètres!$A$1:$I$89,5,0)</f>
        <v>7.9808160080574461E-14</v>
      </c>
      <c r="AK153" s="13">
        <f t="shared" si="143"/>
        <v>1.2308384591775343E-12</v>
      </c>
      <c r="AL153" s="20">
        <f t="shared" si="112"/>
        <v>2.282709528541206E-12</v>
      </c>
      <c r="AM153" s="59">
        <f t="shared" si="113"/>
        <v>286.69302227186262</v>
      </c>
      <c r="AN153" s="59">
        <f ca="1">AVERAGE(OFFSET($AM$3,0,0,'Données projet'!$E$10+1,1))-AVERAGE(OFFSET($H$3,0,0,'Données projet'!$E$10+1,1))</f>
        <v>374.38106339726073</v>
      </c>
      <c r="AO153" s="59">
        <f t="shared" si="144"/>
        <v>296.53283288925957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99.8395457415739</v>
      </c>
      <c r="AV153" s="21">
        <f>EXP(-LN(2)/25)*AV152+(1-EXP(-LN(2)/25))/(LN(2)/25)*Calculateur!AQ153*Calculateur!AS153*VLOOKUP('Données projet'!$B$10,Paramètres!$A$1:$I$89,3,0)*0.475*44/12</f>
        <v>26.52101958960208</v>
      </c>
      <c r="AW153" s="21">
        <f>EXP(-LN(2)/2)*AW152+(1-EXP(-LN(2)/2))/(LN(2)/2)*AQ153*AT153*VLOOKUP('Données projet'!$B$10,Paramètres!$A$1:$I$89,3,0)*0.475*44/12</f>
        <v>4.4758552309416021E-2</v>
      </c>
      <c r="AX153" s="21">
        <f t="shared" si="114"/>
        <v>126.40532388348539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9.3350000000000026</v>
      </c>
      <c r="BD153" s="12">
        <f>IF('Données projet'!$A$88&gt;35,BD152+BC153-BL152,IF(A153&lt;'Données projet'!$A$88,$BA$205^A153,IF(A153='Données projet'!$A$88,'Données projet'!$B$88,BD152+BC153-BL152)))</f>
        <v>509.15000000000083</v>
      </c>
      <c r="BE153" s="13">
        <f>BD153*VLOOKUP('Données projet'!$B$11,Paramètres!$A$1:$I$89,3,0)*VLOOKUP('Données projet'!$B$11,Paramètres!$A$1:$I$89,5,0)</f>
        <v>460.67892000000074</v>
      </c>
      <c r="BF153" s="13">
        <f t="shared" si="145"/>
        <v>103.97545705513664</v>
      </c>
      <c r="BG153" s="20">
        <f t="shared" si="115"/>
        <v>983.43970670436431</v>
      </c>
      <c r="BH153" s="59">
        <f t="shared" si="116"/>
        <v>1270.1327289762246</v>
      </c>
      <c r="BI153" s="59">
        <f ca="1">AVERAGE(OFFSET($BH$3,0,0,'Données projet'!$E$11+1,1))-AVERAGE(OFFSET($H$3,0,0,'Données projet'!$E$11+1,1))</f>
        <v>681.47578137804555</v>
      </c>
      <c r="BJ153" s="59">
        <f t="shared" si="146"/>
        <v>300.88511065995885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44.395490302307536</v>
      </c>
      <c r="BQ153" s="21">
        <f>EXP(-LN(2)/25)*BQ152+(1-EXP(-LN(2)/25))/(LN(2)/25)*Calculateur!BL153*Calculateur!BN153*VLOOKUP('Données projet'!$B$11,Paramètres!$A$1:$I$89,3,0)*0.475*44/12</f>
        <v>19.736312677382596</v>
      </c>
      <c r="BR153" s="21">
        <f>EXP(-LN(2)/2)*BR152+(1-EXP(-LN(2)/2))/(LN(2)/2)*BL153*BO153*VLOOKUP('Données projet'!$B$11,Paramètres!$A$1:$I$89,3,0)*0.475*44/12</f>
        <v>6.2328861542048741E-4</v>
      </c>
      <c r="BS153" s="22">
        <f t="shared" si="117"/>
        <v>64.132426268305551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8.5265128291212022E-14</v>
      </c>
      <c r="BZ153" s="13">
        <f>BY153*VLOOKUP('Données projet'!$B$12,Paramètres!$A$1:$I$89,3,0)*VLOOKUP('Données projet'!$B$12,Paramètres!$A$1:$I$89,5,0)</f>
        <v>8.9119112089974823E-14</v>
      </c>
      <c r="CA153" s="13">
        <f t="shared" si="147"/>
        <v>1.3568952080113142E-12</v>
      </c>
      <c r="CB153" s="20">
        <f t="shared" si="118"/>
        <v>2.5184749408430782E-12</v>
      </c>
      <c r="CC153" s="59">
        <f t="shared" si="119"/>
        <v>286.69302227186284</v>
      </c>
      <c r="CD153" s="59">
        <f ca="1">AVERAGE(OFFSET($CC$3,0,0,'Données projet'!$E$12+1,1))-AVERAGE(OFFSET($H$3,0,0,'Données projet'!$E$12+1,1))</f>
        <v>290.69667785754848</v>
      </c>
      <c r="CE153" s="59">
        <f t="shared" si="148"/>
        <v>256.28124185489082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6.6124072445515418</v>
      </c>
      <c r="CL153" s="21">
        <f>EXP(-LN(2)/25)*CL152+(1-EXP(-LN(2)/25))/(LN(2)/25)*Calculateur!CG153*Calculateur!CI153*VLOOKUP('Données projet'!$B$12,Paramètres!$A$1:$I$89,3,0)*0.475*44/12</f>
        <v>11.361683077132019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17.974090321683562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408.246209980743</v>
      </c>
      <c r="CZ153" s="59">
        <f t="shared" si="150"/>
        <v>394.10236303013903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14.269592811241976</v>
      </c>
      <c r="DG153" s="21">
        <f>EXP(-LN(2)/25)*DG152+(1-EXP(-LN(2)/25))/(LN(2)/25)*Calculateur!DB153*Calculateur!DD153*VLOOKUP('Données projet'!$B$13,Paramètres!$A$1:$I$89,3,0)*0.475*44/12</f>
        <v>8.0919318627930892</v>
      </c>
      <c r="DH153" s="21">
        <f>EXP(-LN(2)/2)*DH152+(1-EXP(-LN(2)/2))/(LN(2)/2)*DB153*DE153*VLOOKUP('Données projet'!$B$13,Paramètres!$A$1:$I$89,3,0)*0.475*44/12</f>
        <v>1.994807348161168E-9</v>
      </c>
      <c r="DI153" s="22">
        <f t="shared" si="123"/>
        <v>22.361524676029873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5.6843418860808015E-13</v>
      </c>
      <c r="DP153" s="17">
        <f>DO153*VLOOKUP('Données projet'!$B$14,Paramètres!$A$1:$I$89,3,0)*VLOOKUP('Données projet'!$B$14,Paramètres!$A$1:$I$89,5,0)</f>
        <v>3.177547114319168E-13</v>
      </c>
      <c r="DQ153" s="13">
        <f t="shared" si="151"/>
        <v>4.1725404435445377E-12</v>
      </c>
      <c r="DR153" s="20">
        <f t="shared" si="124"/>
        <v>7.820597394917325E-12</v>
      </c>
      <c r="DS153" s="59">
        <f t="shared" si="125"/>
        <v>286.69302227186819</v>
      </c>
      <c r="DT153" s="59">
        <f ca="1">AVERAGE(OFFSET($DS$3,0,0,'Données projet'!$E$14+1,1))-AVERAGE(OFFSET($H$3,0,0,'Données projet'!$E$14+1,1))</f>
        <v>407.05634973057056</v>
      </c>
      <c r="DU153" s="59">
        <f t="shared" si="152"/>
        <v>375.32891954889965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47.322832878553108</v>
      </c>
      <c r="EB153" s="21">
        <f>EXP(-LN(2)/25)*EB152+(1-EXP(-LN(2)/25))/(LN(2)/25)*Calculateur!DW153*Calculateur!DY153*VLOOKUP('Données projet'!$B$14,Paramètres!$A$1:$I$89,3,0)*0.475*44/12</f>
        <v>8.3526437658214583</v>
      </c>
      <c r="EC153" s="21">
        <f>EXP(-LN(2)/2)*EC152+(1-EXP(-LN(2)/2))/(LN(2)/2)*DW153*DZ153*VLOOKUP('Données projet'!$B$14,Paramètres!$A$1:$I$89,3,0)*0.475*44/12</f>
        <v>6.8671874326191672E-11</v>
      </c>
      <c r="ED153" s="22">
        <f t="shared" si="126"/>
        <v>55.675476644443243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1.1368683772161603E-13</v>
      </c>
      <c r="EK153" s="17">
        <f>EJ153*VLOOKUP('Données projet'!$B$15,Paramètres!$A$1:$I$89,3,0)*VLOOKUP('Données projet'!$B$15,Paramètres!$A$1:$I$89,5,0)</f>
        <v>5.0249582272954292E-14</v>
      </c>
      <c r="EL153" s="13">
        <f t="shared" si="153"/>
        <v>8.1784820119191593E-13</v>
      </c>
      <c r="EM153" s="20">
        <f t="shared" si="127"/>
        <v>1.5119369728679821E-12</v>
      </c>
      <c r="EN153" s="59">
        <f t="shared" si="128"/>
        <v>286.69302227186188</v>
      </c>
      <c r="EO153" s="59">
        <f ca="1">AVERAGE(OFFSET($EN$3,0,0,'Données projet'!$E$15+1,1))-AVERAGE(OFFSET($H$3,0,0,'Données projet'!$E$15+1,1))</f>
        <v>418.28022549686278</v>
      </c>
      <c r="EP153" s="59">
        <f t="shared" si="154"/>
        <v>354.55070454517158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51.658407446409079</v>
      </c>
      <c r="EW153" s="21">
        <f>EXP(-LN(2)/25)*EW152+(1-EXP(-LN(2)/25))/(LN(2)/25)*Calculateur!ER153*Calculateur!ET153*VLOOKUP('Données projet'!$B$15,Paramètres!$A$1:$I$89,3,0)*0.475*44/12</f>
        <v>10.323340992461832</v>
      </c>
      <c r="EX153" s="21">
        <f>EXP(-LN(2)/2)*EX152+(1-EXP(-LN(2)/2))/(LN(2)/2)*ER153*EU153*VLOOKUP('Données projet'!$B$15,Paramètres!$A$1:$I$89,3,0)*0.475*44/12</f>
        <v>2.2876743218024919E-9</v>
      </c>
      <c r="EY153" s="22">
        <f t="shared" si="129"/>
        <v>61.981748441158587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7.5191666666666634</v>
      </c>
      <c r="FE153" s="12">
        <f>IF('Données projet'!$A$218&gt;35,FE152+FD153-FM152,IF(A153&lt;'Données projet'!$A$218,$FB$205^A153,IF(A153='Données projet'!$A$218,'Données projet'!$B$218,FE152+FD153-FM152)))</f>
        <v>364.0849999999997</v>
      </c>
      <c r="FF153" s="17">
        <f>FE153*VLOOKUP('Données projet'!$B$16,Paramètres!$A$1:$I$89,3,0)*VLOOKUP('Données projet'!$B$16,Paramètres!$A$1:$I$89,5,0)</f>
        <v>414.61999799999973</v>
      </c>
      <c r="FG153" s="13">
        <f t="shared" si="155"/>
        <v>94.734424577852963</v>
      </c>
      <c r="FH153" s="20">
        <f t="shared" si="130"/>
        <v>887.12561932309336</v>
      </c>
      <c r="FI153" s="59">
        <f t="shared" si="131"/>
        <v>1173.8186415949538</v>
      </c>
      <c r="FJ153" s="59">
        <f ca="1">AVERAGE(OFFSET($FI$3,0,0,'Données projet'!$E$16+1,1))-AVERAGE(OFFSET($H$3,0,0,'Données projet'!$E$16+1,1))</f>
        <v>640.05156427113661</v>
      </c>
      <c r="FK153" s="59">
        <f t="shared" si="156"/>
        <v>308.77220155372902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33.18762823985135</v>
      </c>
      <c r="FR153" s="21">
        <f>EXP(-LN(2)/25)*FR152+(1-EXP(-LN(2)/25))/(LN(2)/25)*Calculateur!FM153*Calculateur!FO153*VLOOKUP('Données projet'!$B$16,Paramètres!$A$1:$I$89,3,0)*0.475*44/12</f>
        <v>21.956170860627569</v>
      </c>
      <c r="FS153" s="21">
        <f>EXP(-LN(2)/2)*FS152+(1-EXP(-LN(2)/2))/(LN(2)/2)*FM153*FP153*VLOOKUP('Données projet'!$B$16,Paramètres!$A$1:$I$89,3,0)*0.475*44/12</f>
        <v>0.82915927858770744</v>
      </c>
      <c r="FT153" s="22">
        <f t="shared" si="132"/>
        <v>55.972958379066625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286.80821682326734</v>
      </c>
      <c r="S154" s="59">
        <f ca="1">AVERAGE(OFFSET($R$3,0,0,'Données projet'!$E$9+1,1))-AVERAGE(OFFSET($H$3,0,0,'Données projet'!$E$9+1,1))</f>
        <v>318.50474972254085</v>
      </c>
      <c r="T154" s="59">
        <f t="shared" si="142"/>
        <v>326.45858332753562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22.904860972651989</v>
      </c>
      <c r="AA154" s="21">
        <f>EXP(-LN(2)/25)*AA153+(1-EXP(-LN(2)/25))/(LN(2)/25)*Calculateur!V154*Calculateur!X154*VLOOKUP('Données projet'!$B$9,Paramètres!$A$1:$I$89,3,0)*0.475*44/12</f>
        <v>3.8856134368427417</v>
      </c>
      <c r="AB154" s="21">
        <f>EXP(-LN(2)/2)*AB153+(1-EXP(-LN(2)/2))/(LN(2)/2)*V154*Y154*VLOOKUP('Données projet'!$B$9,Paramètres!$A$1:$I$89,3,0)*0.475*44/12</f>
        <v>1.2050561176159448E-12</v>
      </c>
      <c r="AC154" s="22">
        <f t="shared" ref="AC154:AC203" si="163">SUM(Z154:AB154)</f>
        <v>26.790474409495936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1.7053025658242404E-13</v>
      </c>
      <c r="AJ154" s="13">
        <f>AI154*VLOOKUP('Données projet'!$B$10,Paramètres!$A$1:$I$89,3,0)*VLOOKUP('Données projet'!$B$10,Paramètres!$A$1:$I$89,5,0)</f>
        <v>7.9808160080574461E-14</v>
      </c>
      <c r="AK154" s="13">
        <f t="shared" ref="AK154:AK203" si="164">EXP(-1.0587+0.8836*LN(AJ154)+0.284)</f>
        <v>1.2308384591775343E-12</v>
      </c>
      <c r="AL154" s="20">
        <f t="shared" ref="AL154:AL203" si="165">(AJ154+AK154)*0.475*44/12</f>
        <v>2.282709528541206E-12</v>
      </c>
      <c r="AM154" s="59">
        <f t="shared" si="113"/>
        <v>286.80821682326763</v>
      </c>
      <c r="AN154" s="59">
        <f ca="1">AVERAGE(OFFSET($AM$3,0,0,'Données projet'!$E$10+1,1))-AVERAGE(OFFSET($H$3,0,0,'Données projet'!$E$10+1,1))</f>
        <v>374.38106339726073</v>
      </c>
      <c r="AO154" s="59">
        <f t="shared" si="144"/>
        <v>296.53283288925957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97.881753145691548</v>
      </c>
      <c r="AV154" s="21">
        <f>EXP(-LN(2)/25)*AV153+(1-EXP(-LN(2)/25))/(LN(2)/25)*Calculateur!AQ154*Calculateur!AS154*VLOOKUP('Données projet'!$B$10,Paramètres!$A$1:$I$89,3,0)*0.475*44/12</f>
        <v>25.795800914244605</v>
      </c>
      <c r="AW154" s="21">
        <f>EXP(-LN(2)/2)*AW153+(1-EXP(-LN(2)/2))/(LN(2)/2)*AQ154*AT154*VLOOKUP('Données projet'!$B$10,Paramètres!$A$1:$I$89,3,0)*0.475*44/12</f>
        <v>3.1649075854080874E-2</v>
      </c>
      <c r="AX154" s="21">
        <f t="shared" ref="AX154:AX203" si="166">SUM(AU154:AW154)</f>
        <v>123.70920313579023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9.3350000000000026</v>
      </c>
      <c r="BD154" s="12">
        <f>IF('Données projet'!$A$88&gt;35,BD153+BC154-BL153,IF(A154&lt;'Données projet'!$A$88,$BA$205^A154,IF(A154='Données projet'!$A$88,'Données projet'!$B$88,BD153+BC154-BL153)))</f>
        <v>518.48500000000081</v>
      </c>
      <c r="BE154" s="13">
        <f>BD154*VLOOKUP('Données projet'!$B$11,Paramètres!$A$1:$I$89,3,0)*VLOOKUP('Données projet'!$B$11,Paramètres!$A$1:$I$89,5,0)</f>
        <v>469.12522800000067</v>
      </c>
      <c r="BF154" s="13">
        <f t="shared" ref="BF154:BF203" si="167">EXP(-1.0587+0.8836*LN(BE154)+0.284)</f>
        <v>105.65811013888603</v>
      </c>
      <c r="BG154" s="20">
        <f t="shared" ref="BG154:BG203" si="168">(BE154+BF154)*0.475*44/12</f>
        <v>1001.0809805918944</v>
      </c>
      <c r="BH154" s="59">
        <f t="shared" si="116"/>
        <v>1287.8891974151597</v>
      </c>
      <c r="BI154" s="59">
        <f ca="1">AVERAGE(OFFSET($BH$3,0,0,'Données projet'!$E$11+1,1))-AVERAGE(OFFSET($H$3,0,0,'Données projet'!$E$11+1,1))</f>
        <v>681.47578137804555</v>
      </c>
      <c r="BJ154" s="59">
        <f t="shared" si="146"/>
        <v>300.88511065995885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43.524921816054579</v>
      </c>
      <c r="BQ154" s="21">
        <f>EXP(-LN(2)/25)*BQ153+(1-EXP(-LN(2)/25))/(LN(2)/25)*Calculateur!BL154*Calculateur!BN154*VLOOKUP('Données projet'!$B$11,Paramètres!$A$1:$I$89,3,0)*0.475*44/12</f>
        <v>19.196622169331992</v>
      </c>
      <c r="BR154" s="21">
        <f>EXP(-LN(2)/2)*BR153+(1-EXP(-LN(2)/2))/(LN(2)/2)*BL154*BO154*VLOOKUP('Données projet'!$B$11,Paramètres!$A$1:$I$89,3,0)*0.475*44/12</f>
        <v>4.4073160660020077E-4</v>
      </c>
      <c r="BS154" s="22">
        <f t="shared" ref="BS154:BS203" si="169">SUM(BP154:BR154)</f>
        <v>62.721984716993177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8.5265128291212022E-14</v>
      </c>
      <c r="BZ154" s="13">
        <f>BY154*VLOOKUP('Données projet'!$B$12,Paramètres!$A$1:$I$89,3,0)*VLOOKUP('Données projet'!$B$12,Paramètres!$A$1:$I$89,5,0)</f>
        <v>8.9119112089974823E-14</v>
      </c>
      <c r="CA154" s="13">
        <f t="shared" ref="CA154:CA203" si="170">EXP(-1.0587+0.8836*LN(BZ154)+0.284)</f>
        <v>1.3568952080113142E-12</v>
      </c>
      <c r="CB154" s="20">
        <f t="shared" ref="CB154:CB203" si="171">(BZ154+CA154)*0.475*44/12</f>
        <v>2.5184749408430782E-12</v>
      </c>
      <c r="CC154" s="59">
        <f t="shared" si="119"/>
        <v>286.80821682326786</v>
      </c>
      <c r="CD154" s="59">
        <f ca="1">AVERAGE(OFFSET($CC$3,0,0,'Données projet'!$E$12+1,1))-AVERAGE(OFFSET($H$3,0,0,'Données projet'!$E$12+1,1))</f>
        <v>290.69667785754848</v>
      </c>
      <c r="CE154" s="59">
        <f t="shared" si="148"/>
        <v>256.28124185489082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6.482741971656063</v>
      </c>
      <c r="CL154" s="21">
        <f>EXP(-LN(2)/25)*CL153+(1-EXP(-LN(2)/25))/(LN(2)/25)*Calculateur!CG154*Calculateur!CI154*VLOOKUP('Données projet'!$B$12,Paramètres!$A$1:$I$89,3,0)*0.475*44/12</f>
        <v>11.050997255902898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17.533739227558961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408.246209980743</v>
      </c>
      <c r="CZ154" s="59">
        <f t="shared" si="150"/>
        <v>394.10236303013903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13.989774799805728</v>
      </c>
      <c r="DG154" s="21">
        <f>EXP(-LN(2)/25)*DG153+(1-EXP(-LN(2)/25))/(LN(2)/25)*Calculateur!DB154*Calculateur!DD154*VLOOKUP('Données projet'!$B$13,Paramètres!$A$1:$I$89,3,0)*0.475*44/12</f>
        <v>7.8706575604688096</v>
      </c>
      <c r="DH154" s="21">
        <f>EXP(-LN(2)/2)*DH153+(1-EXP(-LN(2)/2))/(LN(2)/2)*DB154*DE154*VLOOKUP('Données projet'!$B$13,Paramètres!$A$1:$I$89,3,0)*0.475*44/12</f>
        <v>1.4105418030455162E-9</v>
      </c>
      <c r="DI154" s="22">
        <f t="shared" ref="DI154:DI203" si="175">SUM(DF154:DH154)</f>
        <v>21.860432361685078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5.6843418860808015E-13</v>
      </c>
      <c r="DP154" s="17">
        <f>DO154*VLOOKUP('Données projet'!$B$14,Paramètres!$A$1:$I$89,3,0)*VLOOKUP('Données projet'!$B$14,Paramètres!$A$1:$I$89,5,0)</f>
        <v>3.177547114319168E-13</v>
      </c>
      <c r="DQ154" s="13">
        <f t="shared" ref="DQ154:DQ203" si="176">EXP(-1.0587+0.8836*LN(DP154)+0.284)</f>
        <v>4.1725404435445377E-12</v>
      </c>
      <c r="DR154" s="20">
        <f t="shared" ref="DR154:DR203" si="177">(DP154+DQ154)*0.475*44/12</f>
        <v>7.820597394917325E-12</v>
      </c>
      <c r="DS154" s="59">
        <f t="shared" si="125"/>
        <v>286.8082168232732</v>
      </c>
      <c r="DT154" s="59">
        <f ca="1">AVERAGE(OFFSET($DS$3,0,0,'Données projet'!$E$14+1,1))-AVERAGE(OFFSET($H$3,0,0,'Données projet'!$E$14+1,1))</f>
        <v>407.05634973057056</v>
      </c>
      <c r="DU154" s="59">
        <f t="shared" si="152"/>
        <v>375.32891954889965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46.394860989882645</v>
      </c>
      <c r="EB154" s="21">
        <f>EXP(-LN(2)/25)*EB153+(1-EXP(-LN(2)/25))/(LN(2)/25)*Calculateur!DW154*Calculateur!DY154*VLOOKUP('Données projet'!$B$14,Paramètres!$A$1:$I$89,3,0)*0.475*44/12</f>
        <v>8.1242402827986258</v>
      </c>
      <c r="EC154" s="21">
        <f>EXP(-LN(2)/2)*EC153+(1-EXP(-LN(2)/2))/(LN(2)/2)*DW154*DZ154*VLOOKUP('Données projet'!$B$14,Paramètres!$A$1:$I$89,3,0)*0.475*44/12</f>
        <v>4.8558348012840507E-11</v>
      </c>
      <c r="ED154" s="22">
        <f t="shared" ref="ED154:ED203" si="178">SUM(EA154:EC154)</f>
        <v>54.519101272729827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1.1368683772161603E-13</v>
      </c>
      <c r="EK154" s="17">
        <f>EJ154*VLOOKUP('Données projet'!$B$15,Paramètres!$A$1:$I$89,3,0)*VLOOKUP('Données projet'!$B$15,Paramètres!$A$1:$I$89,5,0)</f>
        <v>5.0249582272954292E-14</v>
      </c>
      <c r="EL154" s="13">
        <f t="shared" ref="EL154:EL203" si="179">EXP(-1.0587+0.8836*LN(EK154)+0.284)</f>
        <v>8.1784820119191593E-13</v>
      </c>
      <c r="EM154" s="20">
        <f t="shared" ref="EM154:EM203" si="180">(EK154+EL154)*0.475*44/12</f>
        <v>1.5119369728679821E-12</v>
      </c>
      <c r="EN154" s="59">
        <f t="shared" si="128"/>
        <v>286.80821682326689</v>
      </c>
      <c r="EO154" s="59">
        <f ca="1">AVERAGE(OFFSET($EN$3,0,0,'Données projet'!$E$15+1,1))-AVERAGE(OFFSET($H$3,0,0,'Données projet'!$E$15+1,1))</f>
        <v>418.28022549686278</v>
      </c>
      <c r="EP154" s="59">
        <f t="shared" si="154"/>
        <v>354.55070454517158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50.645417584902333</v>
      </c>
      <c r="EW154" s="21">
        <f>EXP(-LN(2)/25)*EW153+(1-EXP(-LN(2)/25))/(LN(2)/25)*Calculateur!ER154*Calculateur!ET154*VLOOKUP('Données projet'!$B$15,Paramètres!$A$1:$I$89,3,0)*0.475*44/12</f>
        <v>10.041048690142054</v>
      </c>
      <c r="EX154" s="21">
        <f>EXP(-LN(2)/2)*EX153+(1-EXP(-LN(2)/2))/(LN(2)/2)*ER154*EU154*VLOOKUP('Données projet'!$B$15,Paramètres!$A$1:$I$89,3,0)*0.475*44/12</f>
        <v>1.6176300260928782E-9</v>
      </c>
      <c r="EY154" s="22">
        <f t="shared" ref="EY154:EY203" si="181">SUM(EV154:EX154)</f>
        <v>60.686466276662017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7.5191666666666634</v>
      </c>
      <c r="FE154" s="12">
        <f>IF('Données projet'!$A$218&gt;35,FE153+FD154-FM153,IF(A154&lt;'Données projet'!$A$218,$FB$205^A154,IF(A154='Données projet'!$A$218,'Données projet'!$B$218,FE153+FD154-FM153)))</f>
        <v>371.60416666666634</v>
      </c>
      <c r="FF154" s="17">
        <f>FE154*VLOOKUP('Données projet'!$B$16,Paramètres!$A$1:$I$89,3,0)*VLOOKUP('Données projet'!$B$16,Paramètres!$A$1:$I$89,5,0)</f>
        <v>423.18282499999958</v>
      </c>
      <c r="FG154" s="13">
        <f t="shared" ref="FG154:FG203" si="182">EXP(-1.0587+0.8836*LN(FF154)+0.284)</f>
        <v>96.461105569944294</v>
      </c>
      <c r="FH154" s="20">
        <f t="shared" ref="FH154:FH203" si="183">(FF154+FG154)*0.475*44/12</f>
        <v>905.04651240931889</v>
      </c>
      <c r="FI154" s="59">
        <f t="shared" si="131"/>
        <v>1191.8547292325843</v>
      </c>
      <c r="FJ154" s="59">
        <f ca="1">AVERAGE(OFFSET($FI$3,0,0,'Données projet'!$E$16+1,1))-AVERAGE(OFFSET($H$3,0,0,'Données projet'!$E$16+1,1))</f>
        <v>640.05156427113661</v>
      </c>
      <c r="FK154" s="59">
        <f t="shared" si="156"/>
        <v>308.77220155372902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32.536839092522314</v>
      </c>
      <c r="FR154" s="21">
        <f>EXP(-LN(2)/25)*FR153+(1-EXP(-LN(2)/25))/(LN(2)/25)*Calculateur!FM154*Calculateur!FO154*VLOOKUP('Données projet'!$B$16,Paramètres!$A$1:$I$89,3,0)*0.475*44/12</f>
        <v>21.355778213818866</v>
      </c>
      <c r="FS154" s="21">
        <f>EXP(-LN(2)/2)*FS153+(1-EXP(-LN(2)/2))/(LN(2)/2)*FM154*FP154*VLOOKUP('Données projet'!$B$16,Paramètres!$A$1:$I$89,3,0)*0.475*44/12</f>
        <v>0.58630414857311364</v>
      </c>
      <c r="FT154" s="22">
        <f t="shared" ref="FT154:FT203" si="184">SUM(FQ154:FS154)</f>
        <v>54.478921454914293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286.92141300674189</v>
      </c>
      <c r="S155" s="59">
        <f ca="1">AVERAGE(OFFSET($R$3,0,0,'Données projet'!$E$9+1,1))-AVERAGE(OFFSET($H$3,0,0,'Données projet'!$E$9+1,1))</f>
        <v>318.50474972254085</v>
      </c>
      <c r="T155" s="59">
        <f t="shared" si="142"/>
        <v>326.45858332753562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22.455710619563995</v>
      </c>
      <c r="AA155" s="21">
        <f>EXP(-LN(2)/25)*AA154+(1-EXP(-LN(2)/25))/(LN(2)/25)*Calculateur!V155*Calculateur!X155*VLOOKUP('Données projet'!$B$9,Paramètres!$A$1:$I$89,3,0)*0.475*44/12</f>
        <v>3.7793611330767471</v>
      </c>
      <c r="AB155" s="21">
        <f>EXP(-LN(2)/2)*AB154+(1-EXP(-LN(2)/2))/(LN(2)/2)*V155*Y155*VLOOKUP('Données projet'!$B$9,Paramètres!$A$1:$I$89,3,0)*0.475*44/12</f>
        <v>8.5210335247656834E-13</v>
      </c>
      <c r="AC155" s="22">
        <f t="shared" si="163"/>
        <v>26.235071752641595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1.7053025658242404E-13</v>
      </c>
      <c r="AJ155" s="13">
        <f>AI155*VLOOKUP('Données projet'!$B$10,Paramètres!$A$1:$I$89,3,0)*VLOOKUP('Données projet'!$B$10,Paramètres!$A$1:$I$89,5,0)</f>
        <v>7.9808160080574461E-14</v>
      </c>
      <c r="AK155" s="13">
        <f t="shared" si="164"/>
        <v>1.2308384591775343E-12</v>
      </c>
      <c r="AL155" s="20">
        <f t="shared" si="165"/>
        <v>2.282709528541206E-12</v>
      </c>
      <c r="AM155" s="59">
        <f t="shared" si="113"/>
        <v>286.92141300674217</v>
      </c>
      <c r="AN155" s="59">
        <f ca="1">AVERAGE(OFFSET($AM$3,0,0,'Données projet'!$E$10+1,1))-AVERAGE(OFFSET($H$3,0,0,'Données projet'!$E$10+1,1))</f>
        <v>374.38106339726073</v>
      </c>
      <c r="AO155" s="59">
        <f t="shared" si="144"/>
        <v>296.53283288925957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95.962351668478874</v>
      </c>
      <c r="AV155" s="21">
        <f>EXP(-LN(2)/25)*AV154+(1-EXP(-LN(2)/25))/(LN(2)/25)*Calculateur!AQ155*Calculateur!AS155*VLOOKUP('Données projet'!$B$10,Paramètres!$A$1:$I$89,3,0)*0.475*44/12</f>
        <v>25.090413381702373</v>
      </c>
      <c r="AW155" s="21">
        <f>EXP(-LN(2)/2)*AW154+(1-EXP(-LN(2)/2))/(LN(2)/2)*AQ155*AT155*VLOOKUP('Données projet'!$B$10,Paramètres!$A$1:$I$89,3,0)*0.475*44/12</f>
        <v>2.237927615470801E-2</v>
      </c>
      <c r="AX155" s="21">
        <f t="shared" si="166"/>
        <v>121.07514432633596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9.3350000000000026</v>
      </c>
      <c r="BD155" s="12">
        <f>IF('Données projet'!$A$88&gt;35,BD154+BC155-BL154,IF(A155&lt;'Données projet'!$A$88,$BA$205^A155,IF(A155='Données projet'!$A$88,'Données projet'!$B$88,BD154+BC155-BL154)))</f>
        <v>527.82000000000085</v>
      </c>
      <c r="BE155" s="13">
        <f>BD155*VLOOKUP('Données projet'!$B$11,Paramètres!$A$1:$I$89,3,0)*VLOOKUP('Données projet'!$B$11,Paramètres!$A$1:$I$89,5,0)</f>
        <v>477.57153600000072</v>
      </c>
      <c r="BF155" s="13">
        <f t="shared" si="167"/>
        <v>107.3372403617045</v>
      </c>
      <c r="BG155" s="20">
        <f t="shared" si="168"/>
        <v>1018.71611882997</v>
      </c>
      <c r="BH155" s="59">
        <f t="shared" si="116"/>
        <v>1305.63753183671</v>
      </c>
      <c r="BI155" s="59">
        <f ca="1">AVERAGE(OFFSET($BH$3,0,0,'Données projet'!$E$11+1,1))-AVERAGE(OFFSET($H$3,0,0,'Données projet'!$E$11+1,1))</f>
        <v>681.47578137804555</v>
      </c>
      <c r="BJ155" s="59">
        <f t="shared" si="146"/>
        <v>300.88511065995885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42.6714246468227</v>
      </c>
      <c r="BQ155" s="21">
        <f>EXP(-LN(2)/25)*BQ154+(1-EXP(-LN(2)/25))/(LN(2)/25)*Calculateur!BL155*Calculateur!BN155*VLOOKUP('Données projet'!$B$11,Paramètres!$A$1:$I$89,3,0)*0.475*44/12</f>
        <v>18.671689526605125</v>
      </c>
      <c r="BR155" s="21">
        <f>EXP(-LN(2)/2)*BR154+(1-EXP(-LN(2)/2))/(LN(2)/2)*BL155*BO155*VLOOKUP('Données projet'!$B$11,Paramètres!$A$1:$I$89,3,0)*0.475*44/12</f>
        <v>3.1164430771024371E-4</v>
      </c>
      <c r="BS155" s="22">
        <f t="shared" si="169"/>
        <v>61.343425817735529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8.5265128291212022E-14</v>
      </c>
      <c r="BZ155" s="13">
        <f>BY155*VLOOKUP('Données projet'!$B$12,Paramètres!$A$1:$I$89,3,0)*VLOOKUP('Données projet'!$B$12,Paramètres!$A$1:$I$89,5,0)</f>
        <v>8.9119112089974823E-14</v>
      </c>
      <c r="CA155" s="13">
        <f t="shared" si="170"/>
        <v>1.3568952080113142E-12</v>
      </c>
      <c r="CB155" s="20">
        <f t="shared" si="171"/>
        <v>2.5184749408430782E-12</v>
      </c>
      <c r="CC155" s="59">
        <f t="shared" si="119"/>
        <v>286.9214130067424</v>
      </c>
      <c r="CD155" s="59">
        <f ca="1">AVERAGE(OFFSET($CC$3,0,0,'Données projet'!$E$12+1,1))-AVERAGE(OFFSET($H$3,0,0,'Données projet'!$E$12+1,1))</f>
        <v>290.69667785754848</v>
      </c>
      <c r="CE155" s="59">
        <f t="shared" si="148"/>
        <v>256.28124185489082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6.3556193556740572</v>
      </c>
      <c r="CL155" s="21">
        <f>EXP(-LN(2)/25)*CL154+(1-EXP(-LN(2)/25))/(LN(2)/25)*Calculateur!CG155*Calculateur!CI155*VLOOKUP('Données projet'!$B$12,Paramètres!$A$1:$I$89,3,0)*0.475*44/12</f>
        <v>10.748807154793544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17.104426510467601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408.246209980743</v>
      </c>
      <c r="CZ155" s="59">
        <f t="shared" si="150"/>
        <v>394.10236303013903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13.715443848901609</v>
      </c>
      <c r="DG155" s="21">
        <f>EXP(-LN(2)/25)*DG154+(1-EXP(-LN(2)/25))/(LN(2)/25)*Calculateur!DB155*Calculateur!DD155*VLOOKUP('Données projet'!$B$13,Paramètres!$A$1:$I$89,3,0)*0.475*44/12</f>
        <v>7.6554340155778977</v>
      </c>
      <c r="DH155" s="21">
        <f>EXP(-LN(2)/2)*DH154+(1-EXP(-LN(2)/2))/(LN(2)/2)*DB155*DE155*VLOOKUP('Données projet'!$B$13,Paramètres!$A$1:$I$89,3,0)*0.475*44/12</f>
        <v>9.9740367408058402E-10</v>
      </c>
      <c r="DI155" s="22">
        <f t="shared" si="175"/>
        <v>21.37087786547691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5.6843418860808015E-13</v>
      </c>
      <c r="DP155" s="17">
        <f>DO155*VLOOKUP('Données projet'!$B$14,Paramètres!$A$1:$I$89,3,0)*VLOOKUP('Données projet'!$B$14,Paramètres!$A$1:$I$89,5,0)</f>
        <v>3.177547114319168E-13</v>
      </c>
      <c r="DQ155" s="13">
        <f t="shared" si="176"/>
        <v>4.1725404435445377E-12</v>
      </c>
      <c r="DR155" s="20">
        <f t="shared" si="177"/>
        <v>7.820597394917325E-12</v>
      </c>
      <c r="DS155" s="59">
        <f t="shared" si="125"/>
        <v>286.92141300674774</v>
      </c>
      <c r="DT155" s="59">
        <f ca="1">AVERAGE(OFFSET($DS$3,0,0,'Données projet'!$E$14+1,1))-AVERAGE(OFFSET($H$3,0,0,'Données projet'!$E$14+1,1))</f>
        <v>407.05634973057056</v>
      </c>
      <c r="DU155" s="59">
        <f t="shared" si="152"/>
        <v>375.32891954889965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45.485086063942049</v>
      </c>
      <c r="EB155" s="21">
        <f>EXP(-LN(2)/25)*EB154+(1-EXP(-LN(2)/25))/(LN(2)/25)*Calculateur!DW155*Calculateur!DY155*VLOOKUP('Données projet'!$B$14,Paramètres!$A$1:$I$89,3,0)*0.475*44/12</f>
        <v>7.9020825050302692</v>
      </c>
      <c r="EC155" s="21">
        <f>EXP(-LN(2)/2)*EC154+(1-EXP(-LN(2)/2))/(LN(2)/2)*DW155*DZ155*VLOOKUP('Données projet'!$B$14,Paramètres!$A$1:$I$89,3,0)*0.475*44/12</f>
        <v>3.4335937163095836E-11</v>
      </c>
      <c r="ED155" s="22">
        <f t="shared" si="178"/>
        <v>53.387168569006654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1.1368683772161603E-13</v>
      </c>
      <c r="EK155" s="17">
        <f>EJ155*VLOOKUP('Données projet'!$B$15,Paramètres!$A$1:$I$89,3,0)*VLOOKUP('Données projet'!$B$15,Paramètres!$A$1:$I$89,5,0)</f>
        <v>5.0249582272954292E-14</v>
      </c>
      <c r="EL155" s="13">
        <f t="shared" si="179"/>
        <v>8.1784820119191593E-13</v>
      </c>
      <c r="EM155" s="20">
        <f t="shared" si="180"/>
        <v>1.5119369728679821E-12</v>
      </c>
      <c r="EN155" s="59">
        <f t="shared" si="128"/>
        <v>286.92141300674143</v>
      </c>
      <c r="EO155" s="59">
        <f ca="1">AVERAGE(OFFSET($EN$3,0,0,'Données projet'!$E$15+1,1))-AVERAGE(OFFSET($H$3,0,0,'Données projet'!$E$15+1,1))</f>
        <v>418.28022549686278</v>
      </c>
      <c r="EP155" s="59">
        <f t="shared" si="154"/>
        <v>354.55070454517158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49.652291836716927</v>
      </c>
      <c r="EW155" s="21">
        <f>EXP(-LN(2)/25)*EW154+(1-EXP(-LN(2)/25))/(LN(2)/25)*Calculateur!ER155*Calculateur!ET155*VLOOKUP('Données projet'!$B$15,Paramètres!$A$1:$I$89,3,0)*0.475*44/12</f>
        <v>9.7664756856743171</v>
      </c>
      <c r="EX155" s="21">
        <f>EXP(-LN(2)/2)*EX154+(1-EXP(-LN(2)/2))/(LN(2)/2)*ER155*EU155*VLOOKUP('Données projet'!$B$15,Paramètres!$A$1:$I$89,3,0)*0.475*44/12</f>
        <v>1.143837160901246E-9</v>
      </c>
      <c r="EY155" s="22">
        <f t="shared" si="181"/>
        <v>59.418767523535081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7.5191666666666634</v>
      </c>
      <c r="FE155" s="12">
        <f>IF('Données projet'!$A$218&gt;35,FE154+FD155-FM154,IF(A155&lt;'Données projet'!$A$218,$FB$205^A155,IF(A155='Données projet'!$A$218,'Données projet'!$B$218,FE154+FD155-FM154)))</f>
        <v>379.12333333333299</v>
      </c>
      <c r="FF155" s="17">
        <f>FE155*VLOOKUP('Données projet'!$B$16,Paramètres!$A$1:$I$89,3,0)*VLOOKUP('Données projet'!$B$16,Paramètres!$A$1:$I$89,5,0)</f>
        <v>431.74565199999961</v>
      </c>
      <c r="FG155" s="13">
        <f t="shared" si="182"/>
        <v>98.183724241289511</v>
      </c>
      <c r="FH155" s="20">
        <f t="shared" si="183"/>
        <v>922.96033028691181</v>
      </c>
      <c r="FI155" s="59">
        <f t="shared" si="131"/>
        <v>1209.8817432936517</v>
      </c>
      <c r="FJ155" s="59">
        <f ca="1">AVERAGE(OFFSET($FI$3,0,0,'Données projet'!$E$16+1,1))-AVERAGE(OFFSET($H$3,0,0,'Données projet'!$E$16+1,1))</f>
        <v>640.05156427113661</v>
      </c>
      <c r="FK155" s="59">
        <f t="shared" si="156"/>
        <v>308.77220155372902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31.898811523430215</v>
      </c>
      <c r="FR155" s="21">
        <f>EXP(-LN(2)/25)*FR154+(1-EXP(-LN(2)/25))/(LN(2)/25)*Calculateur!FM155*Calculateur!FO155*VLOOKUP('Données projet'!$B$16,Paramètres!$A$1:$I$89,3,0)*0.475*44/12</f>
        <v>20.771803335510423</v>
      </c>
      <c r="FS155" s="21">
        <f>EXP(-LN(2)/2)*FS154+(1-EXP(-LN(2)/2))/(LN(2)/2)*FM155*FP155*VLOOKUP('Données projet'!$B$16,Paramètres!$A$1:$I$89,3,0)*0.475*44/12</f>
        <v>0.41457963929385372</v>
      </c>
      <c r="FT155" s="22">
        <f t="shared" si="184"/>
        <v>53.085194498234493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287.03264548950199</v>
      </c>
      <c r="S156" s="59">
        <f ca="1">AVERAGE(OFFSET($R$3,0,0,'Données projet'!$E$9+1,1))-AVERAGE(OFFSET($H$3,0,0,'Données projet'!$E$9+1,1))</f>
        <v>318.50474972254085</v>
      </c>
      <c r="T156" s="59">
        <f t="shared" si="142"/>
        <v>326.45858332753562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22.015367830945394</v>
      </c>
      <c r="AA156" s="21">
        <f>EXP(-LN(2)/25)*AA155+(1-EXP(-LN(2)/25))/(LN(2)/25)*Calculateur!V156*Calculateur!X156*VLOOKUP('Données projet'!$B$9,Paramètres!$A$1:$I$89,3,0)*0.475*44/12</f>
        <v>3.6760143041447995</v>
      </c>
      <c r="AB156" s="21">
        <f>EXP(-LN(2)/2)*AB155+(1-EXP(-LN(2)/2))/(LN(2)/2)*V156*Y156*VLOOKUP('Données projet'!$B$9,Paramètres!$A$1:$I$89,3,0)*0.475*44/12</f>
        <v>6.0252805880797238E-13</v>
      </c>
      <c r="AC156" s="22">
        <f t="shared" si="163"/>
        <v>25.691382135090798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1.7053025658242404E-13</v>
      </c>
      <c r="AJ156" s="13">
        <f>AI156*VLOOKUP('Données projet'!$B$10,Paramètres!$A$1:$I$89,3,0)*VLOOKUP('Données projet'!$B$10,Paramètres!$A$1:$I$89,5,0)</f>
        <v>7.9808160080574461E-14</v>
      </c>
      <c r="AK156" s="13">
        <f t="shared" si="164"/>
        <v>1.2308384591775343E-12</v>
      </c>
      <c r="AL156" s="20">
        <f t="shared" si="165"/>
        <v>2.282709528541206E-12</v>
      </c>
      <c r="AM156" s="59">
        <f t="shared" si="113"/>
        <v>287.03264548950227</v>
      </c>
      <c r="AN156" s="59">
        <f ca="1">AVERAGE(OFFSET($AM$3,0,0,'Données projet'!$E$10+1,1))-AVERAGE(OFFSET($H$3,0,0,'Données projet'!$E$10+1,1))</f>
        <v>374.38106339726073</v>
      </c>
      <c r="AO156" s="59">
        <f t="shared" si="144"/>
        <v>296.53283288925957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94.080588483515044</v>
      </c>
      <c r="AV156" s="21">
        <f>EXP(-LN(2)/25)*AV155+(1-EXP(-LN(2)/25))/(LN(2)/25)*Calculateur!AQ156*Calculateur!AS156*VLOOKUP('Données projet'!$B$10,Paramètres!$A$1:$I$89,3,0)*0.475*44/12</f>
        <v>24.404314708332226</v>
      </c>
      <c r="AW156" s="21">
        <f>EXP(-LN(2)/2)*AW155+(1-EXP(-LN(2)/2))/(LN(2)/2)*AQ156*AT156*VLOOKUP('Données projet'!$B$10,Paramètres!$A$1:$I$89,3,0)*0.475*44/12</f>
        <v>1.5824537927040437E-2</v>
      </c>
      <c r="AX156" s="21">
        <f t="shared" si="166"/>
        <v>118.50072772977431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9.3350000000000026</v>
      </c>
      <c r="BD156" s="12">
        <f>IF('Données projet'!$A$88&gt;35,BD155+BC156-BL155,IF(A156&lt;'Données projet'!$A$88,$BA$205^A156,IF(A156='Données projet'!$A$88,'Données projet'!$B$88,BD155+BC156-BL155)))</f>
        <v>537.15500000000088</v>
      </c>
      <c r="BE156" s="13">
        <f>BD156*VLOOKUP('Données projet'!$B$11,Paramètres!$A$1:$I$89,3,0)*VLOOKUP('Données projet'!$B$11,Paramètres!$A$1:$I$89,5,0)</f>
        <v>486.01784400000076</v>
      </c>
      <c r="BF156" s="13">
        <f t="shared" si="167"/>
        <v>109.01291721682281</v>
      </c>
      <c r="BG156" s="20">
        <f t="shared" si="168"/>
        <v>1036.3452424526342</v>
      </c>
      <c r="BH156" s="59">
        <f t="shared" si="116"/>
        <v>1323.3778879421343</v>
      </c>
      <c r="BI156" s="59">
        <f ca="1">AVERAGE(OFFSET($BH$3,0,0,'Données projet'!$E$11+1,1))-AVERAGE(OFFSET($H$3,0,0,'Données projet'!$E$11+1,1))</f>
        <v>681.47578137804555</v>
      </c>
      <c r="BJ156" s="59">
        <f t="shared" si="146"/>
        <v>300.88511065995885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41.834664036497585</v>
      </c>
      <c r="BQ156" s="21">
        <f>EXP(-LN(2)/25)*BQ155+(1-EXP(-LN(2)/25))/(LN(2)/25)*Calculateur!BL156*Calculateur!BN156*VLOOKUP('Données projet'!$B$11,Paramètres!$A$1:$I$89,3,0)*0.475*44/12</f>
        <v>18.161111194598629</v>
      </c>
      <c r="BR156" s="21">
        <f>EXP(-LN(2)/2)*BR155+(1-EXP(-LN(2)/2))/(LN(2)/2)*BL156*BO156*VLOOKUP('Données projet'!$B$11,Paramètres!$A$1:$I$89,3,0)*0.475*44/12</f>
        <v>2.2036580330010038E-4</v>
      </c>
      <c r="BS156" s="22">
        <f t="shared" si="169"/>
        <v>59.995995596899519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8.5265128291212022E-14</v>
      </c>
      <c r="BZ156" s="13">
        <f>BY156*VLOOKUP('Données projet'!$B$12,Paramètres!$A$1:$I$89,3,0)*VLOOKUP('Données projet'!$B$12,Paramètres!$A$1:$I$89,5,0)</f>
        <v>8.9119112089974823E-14</v>
      </c>
      <c r="CA156" s="13">
        <f t="shared" si="170"/>
        <v>1.3568952080113142E-12</v>
      </c>
      <c r="CB156" s="20">
        <f t="shared" si="171"/>
        <v>2.5184749408430782E-12</v>
      </c>
      <c r="CC156" s="59">
        <f t="shared" si="119"/>
        <v>287.0326454895025</v>
      </c>
      <c r="CD156" s="59">
        <f ca="1">AVERAGE(OFFSET($CC$3,0,0,'Données projet'!$E$12+1,1))-AVERAGE(OFFSET($H$3,0,0,'Données projet'!$E$12+1,1))</f>
        <v>290.69667785754848</v>
      </c>
      <c r="CE156" s="59">
        <f t="shared" si="148"/>
        <v>256.28124185489082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6.2309895366543193</v>
      </c>
      <c r="CL156" s="21">
        <f>EXP(-LN(2)/25)*CL155+(1-EXP(-LN(2)/25))/(LN(2)/25)*Calculateur!CG156*Calculateur!CI156*VLOOKUP('Données projet'!$B$12,Paramètres!$A$1:$I$89,3,0)*0.475*44/12</f>
        <v>10.454880457890514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16.685869994544834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408.246209980743</v>
      </c>
      <c r="CZ156" s="59">
        <f t="shared" si="150"/>
        <v>394.10236303013903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13.446492360619363</v>
      </c>
      <c r="DG156" s="21">
        <f>EXP(-LN(2)/25)*DG155+(1-EXP(-LN(2)/25))/(LN(2)/25)*Calculateur!DB156*Calculateur!DD156*VLOOKUP('Données projet'!$B$13,Paramètres!$A$1:$I$89,3,0)*0.475*44/12</f>
        <v>7.4460957698401415</v>
      </c>
      <c r="DH156" s="21">
        <f>EXP(-LN(2)/2)*DH155+(1-EXP(-LN(2)/2))/(LN(2)/2)*DB156*DE156*VLOOKUP('Données projet'!$B$13,Paramètres!$A$1:$I$89,3,0)*0.475*44/12</f>
        <v>7.052709015227581E-10</v>
      </c>
      <c r="DI156" s="22">
        <f t="shared" si="175"/>
        <v>20.892588131164775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5.6843418860808015E-13</v>
      </c>
      <c r="DP156" s="17">
        <f>DO156*VLOOKUP('Données projet'!$B$14,Paramètres!$A$1:$I$89,3,0)*VLOOKUP('Données projet'!$B$14,Paramètres!$A$1:$I$89,5,0)</f>
        <v>3.177547114319168E-13</v>
      </c>
      <c r="DQ156" s="13">
        <f t="shared" si="176"/>
        <v>4.1725404435445377E-12</v>
      </c>
      <c r="DR156" s="20">
        <f t="shared" si="177"/>
        <v>7.820597394917325E-12</v>
      </c>
      <c r="DS156" s="59">
        <f t="shared" si="125"/>
        <v>287.03264548950784</v>
      </c>
      <c r="DT156" s="59">
        <f ca="1">AVERAGE(OFFSET($DS$3,0,0,'Données projet'!$E$14+1,1))-AVERAGE(OFFSET($H$3,0,0,'Données projet'!$E$14+1,1))</f>
        <v>407.05634973057056</v>
      </c>
      <c r="DU156" s="59">
        <f t="shared" si="152"/>
        <v>375.32891954889965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44.593151269391235</v>
      </c>
      <c r="EB156" s="21">
        <f>EXP(-LN(2)/25)*EB155+(1-EXP(-LN(2)/25))/(LN(2)/25)*Calculateur!DW156*Calculateur!DY156*VLOOKUP('Données projet'!$B$14,Paramètres!$A$1:$I$89,3,0)*0.475*44/12</f>
        <v>7.685999643377758</v>
      </c>
      <c r="EC156" s="21">
        <f>EXP(-LN(2)/2)*EC155+(1-EXP(-LN(2)/2))/(LN(2)/2)*DW156*DZ156*VLOOKUP('Données projet'!$B$14,Paramètres!$A$1:$I$89,3,0)*0.475*44/12</f>
        <v>2.4279174006420253E-11</v>
      </c>
      <c r="ED156" s="22">
        <f t="shared" si="178"/>
        <v>52.27915091279327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1.1368683772161603E-13</v>
      </c>
      <c r="EK156" s="17">
        <f>EJ156*VLOOKUP('Données projet'!$B$15,Paramètres!$A$1:$I$89,3,0)*VLOOKUP('Données projet'!$B$15,Paramètres!$A$1:$I$89,5,0)</f>
        <v>5.0249582272954292E-14</v>
      </c>
      <c r="EL156" s="13">
        <f t="shared" si="179"/>
        <v>8.1784820119191593E-13</v>
      </c>
      <c r="EM156" s="20">
        <f t="shared" si="180"/>
        <v>1.5119369728679821E-12</v>
      </c>
      <c r="EN156" s="59">
        <f t="shared" si="128"/>
        <v>287.03264548950153</v>
      </c>
      <c r="EO156" s="59">
        <f ca="1">AVERAGE(OFFSET($EN$3,0,0,'Données projet'!$E$15+1,1))-AVERAGE(OFFSET($H$3,0,0,'Données projet'!$E$15+1,1))</f>
        <v>418.28022549686278</v>
      </c>
      <c r="EP156" s="59">
        <f t="shared" si="154"/>
        <v>354.55070454517158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48.678640678706543</v>
      </c>
      <c r="EW156" s="21">
        <f>EXP(-LN(2)/25)*EW155+(1-EXP(-LN(2)/25))/(LN(2)/25)*Calculateur!ER156*Calculateur!ET156*VLOOKUP('Données projet'!$B$15,Paramètres!$A$1:$I$89,3,0)*0.475*44/12</f>
        <v>9.4994108944529181</v>
      </c>
      <c r="EX156" s="21">
        <f>EXP(-LN(2)/2)*EX155+(1-EXP(-LN(2)/2))/(LN(2)/2)*ER156*EU156*VLOOKUP('Données projet'!$B$15,Paramètres!$A$1:$I$89,3,0)*0.475*44/12</f>
        <v>8.088150130464391E-10</v>
      </c>
      <c r="EY156" s="22">
        <f t="shared" si="181"/>
        <v>58.178051573968283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7.5191666666666634</v>
      </c>
      <c r="FE156" s="12">
        <f>IF('Données projet'!$A$218&gt;35,FE155+FD156-FM155,IF(A156&lt;'Données projet'!$A$218,$FB$205^A156,IF(A156='Données projet'!$A$218,'Données projet'!$B$218,FE155+FD156-FM155)))</f>
        <v>386.64249999999964</v>
      </c>
      <c r="FF156" s="17">
        <f>FE156*VLOOKUP('Données projet'!$B$16,Paramètres!$A$1:$I$89,3,0)*VLOOKUP('Données projet'!$B$16,Paramètres!$A$1:$I$89,5,0)</f>
        <v>440.30847899999958</v>
      </c>
      <c r="FG156" s="13">
        <f t="shared" si="182"/>
        <v>99.902370446319125</v>
      </c>
      <c r="FH156" s="20">
        <f t="shared" si="183"/>
        <v>940.86722945233839</v>
      </c>
      <c r="FI156" s="59">
        <f t="shared" si="131"/>
        <v>1227.8998749418383</v>
      </c>
      <c r="FJ156" s="59">
        <f ca="1">AVERAGE(OFFSET($FI$3,0,0,'Données projet'!$E$16+1,1))-AVERAGE(OFFSET($H$3,0,0,'Données projet'!$E$16+1,1))</f>
        <v>640.05156427113661</v>
      </c>
      <c r="FK156" s="59">
        <f t="shared" si="156"/>
        <v>308.77220155372902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31.273295285809624</v>
      </c>
      <c r="FR156" s="21">
        <f>EXP(-LN(2)/25)*FR155+(1-EXP(-LN(2)/25))/(LN(2)/25)*Calculateur!FM156*Calculateur!FO156*VLOOKUP('Données projet'!$B$16,Paramètres!$A$1:$I$89,3,0)*0.475*44/12</f>
        <v>20.203797280959229</v>
      </c>
      <c r="FS156" s="21">
        <f>EXP(-LN(2)/2)*FS155+(1-EXP(-LN(2)/2))/(LN(2)/2)*FM156*FP156*VLOOKUP('Données projet'!$B$16,Paramètres!$A$1:$I$89,3,0)*0.475*44/12</f>
        <v>0.29315207428655682</v>
      </c>
      <c r="FT156" s="22">
        <f t="shared" si="184"/>
        <v>51.770244641055413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287.14194833736474</v>
      </c>
      <c r="S157" s="59">
        <f ca="1">AVERAGE(OFFSET($R$3,0,0,'Données projet'!$E$9+1,1))-AVERAGE(OFFSET($H$3,0,0,'Données projet'!$E$9+1,1))</f>
        <v>318.50474972254085</v>
      </c>
      <c r="T157" s="59">
        <f t="shared" si="142"/>
        <v>326.45858332753562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21.583659895829022</v>
      </c>
      <c r="AA157" s="21">
        <f>EXP(-LN(2)/25)*AA156+(1-EXP(-LN(2)/25))/(LN(2)/25)*Calculateur!V157*Calculateur!X157*VLOOKUP('Données projet'!$B$9,Paramètres!$A$1:$I$89,3,0)*0.475*44/12</f>
        <v>3.5754934996847694</v>
      </c>
      <c r="AB157" s="21">
        <f>EXP(-LN(2)/2)*AB156+(1-EXP(-LN(2)/2))/(LN(2)/2)*V157*Y157*VLOOKUP('Données projet'!$B$9,Paramètres!$A$1:$I$89,3,0)*0.475*44/12</f>
        <v>4.2605167623828417E-13</v>
      </c>
      <c r="AC157" s="22">
        <f t="shared" si="163"/>
        <v>25.159153395514217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1.7053025658242404E-13</v>
      </c>
      <c r="AJ157" s="13">
        <f>AI157*VLOOKUP('Données projet'!$B$10,Paramètres!$A$1:$I$89,3,0)*VLOOKUP('Données projet'!$B$10,Paramètres!$A$1:$I$89,5,0)</f>
        <v>7.9808160080574461E-14</v>
      </c>
      <c r="AK157" s="13">
        <f t="shared" si="164"/>
        <v>1.2308384591775343E-12</v>
      </c>
      <c r="AL157" s="20">
        <f t="shared" si="165"/>
        <v>2.282709528541206E-12</v>
      </c>
      <c r="AM157" s="59">
        <f t="shared" si="113"/>
        <v>287.14194833736502</v>
      </c>
      <c r="AN157" s="59">
        <f ca="1">AVERAGE(OFFSET($AM$3,0,0,'Données projet'!$E$10+1,1))-AVERAGE(OFFSET($H$3,0,0,'Données projet'!$E$10+1,1))</f>
        <v>374.38106339726073</v>
      </c>
      <c r="AO157" s="59">
        <f t="shared" si="144"/>
        <v>296.53283288925957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92.235725526846139</v>
      </c>
      <c r="AV157" s="21">
        <f>EXP(-LN(2)/25)*AV156+(1-EXP(-LN(2)/25))/(LN(2)/25)*Calculateur!AQ157*Calculateur!AS157*VLOOKUP('Données projet'!$B$10,Paramètres!$A$1:$I$89,3,0)*0.475*44/12</f>
        <v>23.736977439265747</v>
      </c>
      <c r="AW157" s="21">
        <f>EXP(-LN(2)/2)*AW156+(1-EXP(-LN(2)/2))/(LN(2)/2)*AQ157*AT157*VLOOKUP('Données projet'!$B$10,Paramètres!$A$1:$I$89,3,0)*0.475*44/12</f>
        <v>1.1189638077354005E-2</v>
      </c>
      <c r="AX157" s="21">
        <f t="shared" si="166"/>
        <v>115.98389260418924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9.3350000000000026</v>
      </c>
      <c r="BC157" s="12">
        <f t="array" ref="BC157">INDEX(BB:BB,MIN(IF(ISNUMBER(BB157:BB353),ROW(BB157:BB353),"")))</f>
        <v>9.3350000000000026</v>
      </c>
      <c r="BD157" s="12">
        <f>IF('Données projet'!$A$88&gt;35,BD156+BC157-BL156,IF(A157&lt;'Données projet'!$A$88,$BA$205^A157,IF(A157='Données projet'!$A$88,'Données projet'!$B$88,BD156+BC157-BL156)))</f>
        <v>546.49000000000092</v>
      </c>
      <c r="BE157" s="13">
        <f>BD157*VLOOKUP('Données projet'!$B$11,Paramètres!$A$1:$I$89,3,0)*VLOOKUP('Données projet'!$B$11,Paramètres!$A$1:$I$89,5,0)</f>
        <v>494.46415200000081</v>
      </c>
      <c r="BF157" s="13">
        <f t="shared" si="167"/>
        <v>110.68520764370523</v>
      </c>
      <c r="BG157" s="20">
        <f t="shared" si="168"/>
        <v>1053.9684680461214</v>
      </c>
      <c r="BH157" s="59">
        <f t="shared" si="116"/>
        <v>1341.1104163834841</v>
      </c>
      <c r="BI157" s="59">
        <f ca="1">AVERAGE(OFFSET($BH$3,0,0,'Données projet'!$E$11+1,1))-AVERAGE(OFFSET($H$3,0,0,'Données projet'!$E$11+1,1))</f>
        <v>681.47578137804555</v>
      </c>
      <c r="BJ157" s="59">
        <f t="shared" si="146"/>
        <v>300.88511065995885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61.050000000000011</v>
      </c>
      <c r="BM157" s="16">
        <f>IF(ISNA(VLOOKUP(A157,'Données projet'!$A$87:$I$107,5,0)),0%,VLOOKUP(A157,'Données projet'!$A$87:$I$107,5,0)*VLOOKUP('Données projet'!$B$11,Paramètres!$A$1:$I$89,7,0))</f>
        <v>0.215</v>
      </c>
      <c r="BN157" s="16">
        <f>IF(ISNA(VLOOKUP(A157,'Données projet'!$A$87:$I$107,6,0)),0%,VLOOKUP(A157,'Données projet'!$A$87:$I$107,6,0)*VLOOKUP('Données projet'!$B$11,Paramètres!$A$1:$I$89,7,0))</f>
        <v>8.6000000000000007E-2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54.143075455710473</v>
      </c>
      <c r="BQ157" s="21">
        <f>EXP(-LN(2)/25)*BQ156+(1-EXP(-LN(2)/25))/(LN(2)/25)*Calculateur!BL157*Calculateur!BN157*VLOOKUP('Données projet'!$B$11,Paramètres!$A$1:$I$89,3,0)*0.475*44/12</f>
        <v>22.895322941669175</v>
      </c>
      <c r="BR157" s="21">
        <f>EXP(-LN(2)/2)*BR156+(1-EXP(-LN(2)/2))/(LN(2)/2)*BL157*BO157*VLOOKUP('Données projet'!$B$11,Paramètres!$A$1:$I$89,3,0)*0.475*44/12</f>
        <v>1.5582215385512185E-4</v>
      </c>
      <c r="BS157" s="22">
        <f t="shared" si="169"/>
        <v>77.038554219533509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8.5265128291212022E-14</v>
      </c>
      <c r="BZ157" s="13">
        <f>BY157*VLOOKUP('Données projet'!$B$12,Paramètres!$A$1:$I$89,3,0)*VLOOKUP('Données projet'!$B$12,Paramètres!$A$1:$I$89,5,0)</f>
        <v>8.9119112089974823E-14</v>
      </c>
      <c r="CA157" s="13">
        <f t="shared" si="170"/>
        <v>1.3568952080113142E-12</v>
      </c>
      <c r="CB157" s="20">
        <f t="shared" si="171"/>
        <v>2.5184749408430782E-12</v>
      </c>
      <c r="CC157" s="59">
        <f t="shared" si="119"/>
        <v>287.14194833736525</v>
      </c>
      <c r="CD157" s="59">
        <f ca="1">AVERAGE(OFFSET($CC$3,0,0,'Données projet'!$E$12+1,1))-AVERAGE(OFFSET($H$3,0,0,'Données projet'!$E$12+1,1))</f>
        <v>290.69667785754848</v>
      </c>
      <c r="CE157" s="59">
        <f t="shared" si="148"/>
        <v>256.28124185489082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6.1088036323688746</v>
      </c>
      <c r="CL157" s="21">
        <f>EXP(-LN(2)/25)*CL156+(1-EXP(-LN(2)/25))/(LN(2)/25)*Calculateur!CG157*Calculateur!CI157*VLOOKUP('Données projet'!$B$12,Paramètres!$A$1:$I$89,3,0)*0.475*44/12</f>
        <v>10.168991201971229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16.277794834340103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408.246209980743</v>
      </c>
      <c r="CZ157" s="59">
        <f t="shared" si="150"/>
        <v>394.10236303013903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13.182814846978122</v>
      </c>
      <c r="DG157" s="21">
        <f>EXP(-LN(2)/25)*DG156+(1-EXP(-LN(2)/25))/(LN(2)/25)*Calculateur!DB157*Calculateur!DD157*VLOOKUP('Données projet'!$B$13,Paramètres!$A$1:$I$89,3,0)*0.475*44/12</f>
        <v>7.2424818894407048</v>
      </c>
      <c r="DH157" s="21">
        <f>EXP(-LN(2)/2)*DH156+(1-EXP(-LN(2)/2))/(LN(2)/2)*DB157*DE157*VLOOKUP('Données projet'!$B$13,Paramètres!$A$1:$I$89,3,0)*0.475*44/12</f>
        <v>4.9870183704029201E-10</v>
      </c>
      <c r="DI157" s="22">
        <f t="shared" si="175"/>
        <v>20.425296736917527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5.6843418860808015E-13</v>
      </c>
      <c r="DP157" s="17">
        <f>DO157*VLOOKUP('Données projet'!$B$14,Paramètres!$A$1:$I$89,3,0)*VLOOKUP('Données projet'!$B$14,Paramètres!$A$1:$I$89,5,0)</f>
        <v>3.177547114319168E-13</v>
      </c>
      <c r="DQ157" s="13">
        <f t="shared" si="176"/>
        <v>4.1725404435445377E-12</v>
      </c>
      <c r="DR157" s="20">
        <f t="shared" si="177"/>
        <v>7.820597394917325E-12</v>
      </c>
      <c r="DS157" s="59">
        <f t="shared" si="125"/>
        <v>287.14194833737059</v>
      </c>
      <c r="DT157" s="59">
        <f ca="1">AVERAGE(OFFSET($DS$3,0,0,'Données projet'!$E$14+1,1))-AVERAGE(OFFSET($H$3,0,0,'Données projet'!$E$14+1,1))</f>
        <v>407.05634973057056</v>
      </c>
      <c r="DU157" s="59">
        <f t="shared" si="152"/>
        <v>375.32891954889965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43.718706772135057</v>
      </c>
      <c r="EB157" s="21">
        <f>EXP(-LN(2)/25)*EB156+(1-EXP(-LN(2)/25))/(LN(2)/25)*Calculateur!DW157*Calculateur!DY157*VLOOKUP('Données projet'!$B$14,Paramètres!$A$1:$I$89,3,0)*0.475*44/12</f>
        <v>7.4758255789404382</v>
      </c>
      <c r="EC157" s="21">
        <f>EXP(-LN(2)/2)*EC156+(1-EXP(-LN(2)/2))/(LN(2)/2)*DW157*DZ157*VLOOKUP('Données projet'!$B$14,Paramètres!$A$1:$I$89,3,0)*0.475*44/12</f>
        <v>1.7167968581547918E-11</v>
      </c>
      <c r="ED157" s="22">
        <f t="shared" si="178"/>
        <v>51.194532351092661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1.1368683772161603E-13</v>
      </c>
      <c r="EK157" s="17">
        <f>EJ157*VLOOKUP('Données projet'!$B$15,Paramètres!$A$1:$I$89,3,0)*VLOOKUP('Données projet'!$B$15,Paramètres!$A$1:$I$89,5,0)</f>
        <v>5.0249582272954292E-14</v>
      </c>
      <c r="EL157" s="13">
        <f t="shared" si="179"/>
        <v>8.1784820119191593E-13</v>
      </c>
      <c r="EM157" s="20">
        <f t="shared" si="180"/>
        <v>1.5119369728679821E-12</v>
      </c>
      <c r="EN157" s="59">
        <f t="shared" si="128"/>
        <v>287.14194833736428</v>
      </c>
      <c r="EO157" s="59">
        <f ca="1">AVERAGE(OFFSET($EN$3,0,0,'Données projet'!$E$15+1,1))-AVERAGE(OFFSET($H$3,0,0,'Données projet'!$E$15+1,1))</f>
        <v>418.28022549686278</v>
      </c>
      <c r="EP157" s="59">
        <f t="shared" si="154"/>
        <v>354.55070454517158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47.724082226036174</v>
      </c>
      <c r="EW157" s="21">
        <f>EXP(-LN(2)/25)*EW156+(1-EXP(-LN(2)/25))/(LN(2)/25)*Calculateur!ER157*Calculateur!ET157*VLOOKUP('Données projet'!$B$15,Paramètres!$A$1:$I$89,3,0)*0.475*44/12</f>
        <v>9.2396490039917953</v>
      </c>
      <c r="EX157" s="21">
        <f>EXP(-LN(2)/2)*EX156+(1-EXP(-LN(2)/2))/(LN(2)/2)*ER157*EU157*VLOOKUP('Données projet'!$B$15,Paramètres!$A$1:$I$89,3,0)*0.475*44/12</f>
        <v>5.7191858045062298E-10</v>
      </c>
      <c r="EY157" s="22">
        <f t="shared" si="181"/>
        <v>56.963731230599883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7.5191666666666634</v>
      </c>
      <c r="FE157" s="12">
        <f>IF('Données projet'!$A$218&gt;35,FE156+FD157-FM156,IF(A157&lt;'Données projet'!$A$218,$FB$205^A157,IF(A157='Données projet'!$A$218,'Données projet'!$B$218,FE156+FD157-FM156)))</f>
        <v>394.16166666666629</v>
      </c>
      <c r="FF157" s="17">
        <f>FE157*VLOOKUP('Données projet'!$B$16,Paramètres!$A$1:$I$89,3,0)*VLOOKUP('Données projet'!$B$16,Paramètres!$A$1:$I$89,5,0)</f>
        <v>448.87130599999961</v>
      </c>
      <c r="FG157" s="13">
        <f t="shared" si="182"/>
        <v>101.6171303446886</v>
      </c>
      <c r="FH157" s="20">
        <f t="shared" si="183"/>
        <v>958.76735996699881</v>
      </c>
      <c r="FI157" s="59">
        <f t="shared" si="131"/>
        <v>1245.9093083043615</v>
      </c>
      <c r="FJ157" s="59">
        <f ca="1">AVERAGE(OFFSET($FI$3,0,0,'Données projet'!$E$16+1,1))-AVERAGE(OFFSET($H$3,0,0,'Données projet'!$E$16+1,1))</f>
        <v>640.05156427113661</v>
      </c>
      <c r="FK157" s="59">
        <f t="shared" si="156"/>
        <v>308.77220155372902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30.660045040081538</v>
      </c>
      <c r="FR157" s="21">
        <f>EXP(-LN(2)/25)*FR156+(1-EXP(-LN(2)/25))/(LN(2)/25)*Calculateur!FM157*Calculateur!FO157*VLOOKUP('Données projet'!$B$16,Paramètres!$A$1:$I$89,3,0)*0.475*44/12</f>
        <v>19.651323381839877</v>
      </c>
      <c r="FS157" s="21">
        <f>EXP(-LN(2)/2)*FS156+(1-EXP(-LN(2)/2))/(LN(2)/2)*FM157*FP157*VLOOKUP('Données projet'!$B$16,Paramètres!$A$1:$I$89,3,0)*0.475*44/12</f>
        <v>0.20728981964692686</v>
      </c>
      <c r="FT157" s="22">
        <f t="shared" si="184"/>
        <v>50.518658241568339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287.24935502518167</v>
      </c>
      <c r="S158" s="59">
        <f ca="1">AVERAGE(OFFSET($R$3,0,0,'Données projet'!$E$9+1,1))-AVERAGE(OFFSET($H$3,0,0,'Données projet'!$E$9+1,1))</f>
        <v>318.50474972254085</v>
      </c>
      <c r="T158" s="59">
        <f t="shared" si="142"/>
        <v>326.45858332753562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21.160417490004441</v>
      </c>
      <c r="AA158" s="21">
        <f>EXP(-LN(2)/25)*AA157+(1-EXP(-LN(2)/25))/(LN(2)/25)*Calculateur!V158*Calculateur!X158*VLOOKUP('Données projet'!$B$9,Paramètres!$A$1:$I$89,3,0)*0.475*44/12</f>
        <v>3.4777214419088582</v>
      </c>
      <c r="AB158" s="21">
        <f>EXP(-LN(2)/2)*AB157+(1-EXP(-LN(2)/2))/(LN(2)/2)*V158*Y158*VLOOKUP('Données projet'!$B$9,Paramètres!$A$1:$I$89,3,0)*0.475*44/12</f>
        <v>3.0126402940398619E-13</v>
      </c>
      <c r="AC158" s="22">
        <f t="shared" si="163"/>
        <v>24.638138931913602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1.7053025658242404E-13</v>
      </c>
      <c r="AJ158" s="13">
        <f>AI158*VLOOKUP('Données projet'!$B$10,Paramètres!$A$1:$I$89,3,0)*VLOOKUP('Données projet'!$B$10,Paramètres!$A$1:$I$89,5,0)</f>
        <v>7.9808160080574461E-14</v>
      </c>
      <c r="AK158" s="13">
        <f t="shared" si="164"/>
        <v>1.2308384591775343E-12</v>
      </c>
      <c r="AL158" s="20">
        <f t="shared" si="165"/>
        <v>2.282709528541206E-12</v>
      </c>
      <c r="AM158" s="59">
        <f t="shared" si="113"/>
        <v>287.24935502518196</v>
      </c>
      <c r="AN158" s="59">
        <f ca="1">AVERAGE(OFFSET($AM$3,0,0,'Données projet'!$E$10+1,1))-AVERAGE(OFFSET($H$3,0,0,'Données projet'!$E$10+1,1))</f>
        <v>374.38106339726073</v>
      </c>
      <c r="AO158" s="59">
        <f t="shared" si="144"/>
        <v>296.53283288925957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90.427039207502219</v>
      </c>
      <c r="AV158" s="21">
        <f>EXP(-LN(2)/25)*AV157+(1-EXP(-LN(2)/25))/(LN(2)/25)*Calculateur!AQ158*Calculateur!AS158*VLOOKUP('Données projet'!$B$10,Paramètres!$A$1:$I$89,3,0)*0.475*44/12</f>
        <v>23.087888542915632</v>
      </c>
      <c r="AW158" s="21">
        <f>EXP(-LN(2)/2)*AW157+(1-EXP(-LN(2)/2))/(LN(2)/2)*AQ158*AT158*VLOOKUP('Données projet'!$B$10,Paramètres!$A$1:$I$89,3,0)*0.475*44/12</f>
        <v>7.9122689635202186E-3</v>
      </c>
      <c r="AX158" s="21">
        <f t="shared" si="166"/>
        <v>113.52284001938138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9.4880000000000049</v>
      </c>
      <c r="BD158" s="12">
        <f>IF('Données projet'!$A$88&gt;35,BD157+BC158-BL157,IF(A158&lt;'Données projet'!$A$88,$BA$205^A158,IF(A158='Données projet'!$A$88,'Données projet'!$B$88,BD157+BC158-BL157)))</f>
        <v>494.92800000000096</v>
      </c>
      <c r="BE158" s="13">
        <f>BD158*VLOOKUP('Données projet'!$B$11,Paramètres!$A$1:$I$89,3,0)*VLOOKUP('Données projet'!$B$11,Paramètres!$A$1:$I$89,5,0)</f>
        <v>447.81085440000084</v>
      </c>
      <c r="BF158" s="13">
        <f t="shared" si="167"/>
        <v>101.40497625718913</v>
      </c>
      <c r="BG158" s="20">
        <f t="shared" si="168"/>
        <v>956.55090506127237</v>
      </c>
      <c r="BH158" s="59">
        <f t="shared" si="116"/>
        <v>1243.800260086452</v>
      </c>
      <c r="BI158" s="59">
        <f ca="1">AVERAGE(OFFSET($BH$3,0,0,'Données projet'!$E$11+1,1))-AVERAGE(OFFSET($H$3,0,0,'Données projet'!$E$11+1,1))</f>
        <v>681.47578137804555</v>
      </c>
      <c r="BJ158" s="59">
        <f t="shared" si="146"/>
        <v>300.88511065995885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53.081362770039171</v>
      </c>
      <c r="BQ158" s="21">
        <f>EXP(-LN(2)/25)*BQ157+(1-EXP(-LN(2)/25))/(LN(2)/25)*Calculateur!BL158*Calculateur!BN158*VLOOKUP('Données projet'!$B$11,Paramètres!$A$1:$I$89,3,0)*0.475*44/12</f>
        <v>22.269249131816526</v>
      </c>
      <c r="BR158" s="21">
        <f>EXP(-LN(2)/2)*BR157+(1-EXP(-LN(2)/2))/(LN(2)/2)*BL158*BO158*VLOOKUP('Données projet'!$B$11,Paramètres!$A$1:$I$89,3,0)*0.475*44/12</f>
        <v>1.1018290165005019E-4</v>
      </c>
      <c r="BS158" s="22">
        <f t="shared" si="169"/>
        <v>75.350722084757351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8.5265128291212022E-14</v>
      </c>
      <c r="BZ158" s="13">
        <f>BY158*VLOOKUP('Données projet'!$B$12,Paramètres!$A$1:$I$89,3,0)*VLOOKUP('Données projet'!$B$12,Paramètres!$A$1:$I$89,5,0)</f>
        <v>8.9119112089974823E-14</v>
      </c>
      <c r="CA158" s="13">
        <f t="shared" si="170"/>
        <v>1.3568952080113142E-12</v>
      </c>
      <c r="CB158" s="20">
        <f t="shared" si="171"/>
        <v>2.5184749408430782E-12</v>
      </c>
      <c r="CC158" s="59">
        <f t="shared" si="119"/>
        <v>287.24935502518218</v>
      </c>
      <c r="CD158" s="59">
        <f ca="1">AVERAGE(OFFSET($CC$3,0,0,'Données projet'!$E$12+1,1))-AVERAGE(OFFSET($H$3,0,0,'Données projet'!$E$12+1,1))</f>
        <v>290.69667785754848</v>
      </c>
      <c r="CE158" s="59">
        <f t="shared" si="148"/>
        <v>256.28124185489082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5.9890137191404245</v>
      </c>
      <c r="CL158" s="21">
        <f>EXP(-LN(2)/25)*CL157+(1-EXP(-LN(2)/25))/(LN(2)/25)*Calculateur!CG158*Calculateur!CI158*VLOOKUP('Données projet'!$B$12,Paramètres!$A$1:$I$89,3,0)*0.475*44/12</f>
        <v>9.8909196027893209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15.879933321929744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408.246209980743</v>
      </c>
      <c r="CZ158" s="59">
        <f t="shared" si="150"/>
        <v>394.10236303013903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12.924307888551983</v>
      </c>
      <c r="DG158" s="21">
        <f>EXP(-LN(2)/25)*DG157+(1-EXP(-LN(2)/25))/(LN(2)/25)*Calculateur!DB158*Calculateur!DD158*VLOOKUP('Données projet'!$B$13,Paramètres!$A$1:$I$89,3,0)*0.475*44/12</f>
        <v>7.0444358413083794</v>
      </c>
      <c r="DH158" s="21">
        <f>EXP(-LN(2)/2)*DH157+(1-EXP(-LN(2)/2))/(LN(2)/2)*DB158*DE158*VLOOKUP('Données projet'!$B$13,Paramètres!$A$1:$I$89,3,0)*0.475*44/12</f>
        <v>3.5263545076137905E-10</v>
      </c>
      <c r="DI158" s="22">
        <f t="shared" si="175"/>
        <v>19.968743730212999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5.6843418860808015E-13</v>
      </c>
      <c r="DP158" s="17">
        <f>DO158*VLOOKUP('Données projet'!$B$14,Paramètres!$A$1:$I$89,3,0)*VLOOKUP('Données projet'!$B$14,Paramètres!$A$1:$I$89,5,0)</f>
        <v>3.177547114319168E-13</v>
      </c>
      <c r="DQ158" s="13">
        <f t="shared" si="176"/>
        <v>4.1725404435445377E-12</v>
      </c>
      <c r="DR158" s="20">
        <f t="shared" si="177"/>
        <v>7.820597394917325E-12</v>
      </c>
      <c r="DS158" s="59">
        <f t="shared" si="125"/>
        <v>287.24935502518753</v>
      </c>
      <c r="DT158" s="59">
        <f ca="1">AVERAGE(OFFSET($DS$3,0,0,'Données projet'!$E$14+1,1))-AVERAGE(OFFSET($H$3,0,0,'Données projet'!$E$14+1,1))</f>
        <v>407.05634973057056</v>
      </c>
      <c r="DU158" s="59">
        <f t="shared" si="152"/>
        <v>375.32891954889965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42.861409598111592</v>
      </c>
      <c r="EB158" s="21">
        <f>EXP(-LN(2)/25)*EB157+(1-EXP(-LN(2)/25))/(LN(2)/25)*Calculateur!DW158*Calculateur!DY158*VLOOKUP('Données projet'!$B$14,Paramètres!$A$1:$I$89,3,0)*0.475*44/12</f>
        <v>7.2713987353477307</v>
      </c>
      <c r="EC158" s="21">
        <f>EXP(-LN(2)/2)*EC157+(1-EXP(-LN(2)/2))/(LN(2)/2)*DW158*DZ158*VLOOKUP('Données projet'!$B$14,Paramètres!$A$1:$I$89,3,0)*0.475*44/12</f>
        <v>1.2139587003210127E-11</v>
      </c>
      <c r="ED158" s="22">
        <f t="shared" si="178"/>
        <v>50.132808333471459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1.1368683772161603E-13</v>
      </c>
      <c r="EK158" s="17">
        <f>EJ158*VLOOKUP('Données projet'!$B$15,Paramètres!$A$1:$I$89,3,0)*VLOOKUP('Données projet'!$B$15,Paramètres!$A$1:$I$89,5,0)</f>
        <v>5.0249582272954292E-14</v>
      </c>
      <c r="EL158" s="13">
        <f t="shared" si="179"/>
        <v>8.1784820119191593E-13</v>
      </c>
      <c r="EM158" s="20">
        <f t="shared" si="180"/>
        <v>1.5119369728679821E-12</v>
      </c>
      <c r="EN158" s="59">
        <f t="shared" si="128"/>
        <v>287.24935502518122</v>
      </c>
      <c r="EO158" s="59">
        <f ca="1">AVERAGE(OFFSET($EN$3,0,0,'Données projet'!$E$15+1,1))-AVERAGE(OFFSET($H$3,0,0,'Données projet'!$E$15+1,1))</f>
        <v>418.28022549686278</v>
      </c>
      <c r="EP158" s="59">
        <f t="shared" si="154"/>
        <v>354.55070454517158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46.788242082399506</v>
      </c>
      <c r="EW158" s="21">
        <f>EXP(-LN(2)/25)*EW157+(1-EXP(-LN(2)/25))/(LN(2)/25)*Calculateur!ER158*Calculateur!ET158*VLOOKUP('Données projet'!$B$15,Paramètres!$A$1:$I$89,3,0)*0.475*44/12</f>
        <v>8.9869903160856168</v>
      </c>
      <c r="EX158" s="21">
        <f>EXP(-LN(2)/2)*EX157+(1-EXP(-LN(2)/2))/(LN(2)/2)*ER158*EU158*VLOOKUP('Données projet'!$B$15,Paramètres!$A$1:$I$89,3,0)*0.475*44/12</f>
        <v>4.0440750652321955E-10</v>
      </c>
      <c r="EY158" s="22">
        <f t="shared" si="181"/>
        <v>55.775232398889528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7.5191666666666634</v>
      </c>
      <c r="FE158" s="12">
        <f>IF('Données projet'!$A$218&gt;35,FE157+FD158-FM157,IF(A158&lt;'Données projet'!$A$218,$FB$205^A158,IF(A158='Données projet'!$A$218,'Données projet'!$B$218,FE157+FD158-FM157)))</f>
        <v>401.68083333333294</v>
      </c>
      <c r="FF158" s="17">
        <f>FE158*VLOOKUP('Données projet'!$B$16,Paramètres!$A$1:$I$89,3,0)*VLOOKUP('Données projet'!$B$16,Paramètres!$A$1:$I$89,5,0)</f>
        <v>457.43413299999958</v>
      </c>
      <c r="FG158" s="13">
        <f t="shared" si="182"/>
        <v>103.32808662074075</v>
      </c>
      <c r="FH158" s="20">
        <f t="shared" si="183"/>
        <v>976.66086583945616</v>
      </c>
      <c r="FI158" s="59">
        <f t="shared" si="131"/>
        <v>1263.9102208646359</v>
      </c>
      <c r="FJ158" s="59">
        <f ca="1">AVERAGE(OFFSET($FI$3,0,0,'Données projet'!$E$16+1,1))-AVERAGE(OFFSET($H$3,0,0,'Données projet'!$E$16+1,1))</f>
        <v>640.05156427113661</v>
      </c>
      <c r="FK158" s="59">
        <f t="shared" si="156"/>
        <v>308.77220155372902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30.058820257626465</v>
      </c>
      <c r="FR158" s="21">
        <f>EXP(-LN(2)/25)*FR157+(1-EXP(-LN(2)/25))/(LN(2)/25)*Calculateur!FM158*Calculateur!FO158*VLOOKUP('Données projet'!$B$16,Paramètres!$A$1:$I$89,3,0)*0.475*44/12</f>
        <v>19.113956910545284</v>
      </c>
      <c r="FS158" s="21">
        <f>EXP(-LN(2)/2)*FS157+(1-EXP(-LN(2)/2))/(LN(2)/2)*FM158*FP158*VLOOKUP('Données projet'!$B$16,Paramètres!$A$1:$I$89,3,0)*0.475*44/12</f>
        <v>0.14657603714327841</v>
      </c>
      <c r="FT158" s="22">
        <f t="shared" si="184"/>
        <v>49.319353205315025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287.35489844709031</v>
      </c>
      <c r="S159" s="59">
        <f ca="1">AVERAGE(OFFSET($R$3,0,0,'Données projet'!$E$9+1,1))-AVERAGE(OFFSET($H$3,0,0,'Données projet'!$E$9+1,1))</f>
        <v>318.50474972254085</v>
      </c>
      <c r="T159" s="59">
        <f t="shared" si="142"/>
        <v>326.45858332753562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20.745474609605704</v>
      </c>
      <c r="AA159" s="21">
        <f>EXP(-LN(2)/25)*AA158+(1-EXP(-LN(2)/25))/(LN(2)/25)*Calculateur!V159*Calculateur!X159*VLOOKUP('Données projet'!$B$9,Paramètres!$A$1:$I$89,3,0)*0.475*44/12</f>
        <v>3.3826229661944383</v>
      </c>
      <c r="AB159" s="21">
        <f>EXP(-LN(2)/2)*AB158+(1-EXP(-LN(2)/2))/(LN(2)/2)*V159*Y159*VLOOKUP('Données projet'!$B$9,Paramètres!$A$1:$I$89,3,0)*0.475*44/12</f>
        <v>2.1302583811914209E-13</v>
      </c>
      <c r="AC159" s="22">
        <f t="shared" si="163"/>
        <v>24.128097575800357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1.7053025658242404E-13</v>
      </c>
      <c r="AJ159" s="13">
        <f>AI159*VLOOKUP('Données projet'!$B$10,Paramètres!$A$1:$I$89,3,0)*VLOOKUP('Données projet'!$B$10,Paramètres!$A$1:$I$89,5,0)</f>
        <v>7.9808160080574461E-14</v>
      </c>
      <c r="AK159" s="13">
        <f t="shared" si="164"/>
        <v>1.2308384591775343E-12</v>
      </c>
      <c r="AL159" s="20">
        <f t="shared" si="165"/>
        <v>2.282709528541206E-12</v>
      </c>
      <c r="AM159" s="59">
        <f t="shared" si="113"/>
        <v>287.35489844709059</v>
      </c>
      <c r="AN159" s="59">
        <f ca="1">AVERAGE(OFFSET($AM$3,0,0,'Données projet'!$E$10+1,1))-AVERAGE(OFFSET($H$3,0,0,'Données projet'!$E$10+1,1))</f>
        <v>374.38106339726073</v>
      </c>
      <c r="AO159" s="59">
        <f t="shared" si="144"/>
        <v>296.53283288925957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88.653820123690906</v>
      </c>
      <c r="AV159" s="21">
        <f>EXP(-LN(2)/25)*AV158+(1-EXP(-LN(2)/25))/(LN(2)/25)*Calculateur!AQ159*Calculateur!AS159*VLOOKUP('Données projet'!$B$10,Paramètres!$A$1:$I$89,3,0)*0.475*44/12</f>
        <v>22.456549016570314</v>
      </c>
      <c r="AW159" s="21">
        <f>EXP(-LN(2)/2)*AW158+(1-EXP(-LN(2)/2))/(LN(2)/2)*AQ159*AT159*VLOOKUP('Données projet'!$B$10,Paramètres!$A$1:$I$89,3,0)*0.475*44/12</f>
        <v>5.5948190386770026E-3</v>
      </c>
      <c r="AX159" s="21">
        <f t="shared" si="166"/>
        <v>111.11596395929989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9.4880000000000049</v>
      </c>
      <c r="BD159" s="12">
        <f>IF('Données projet'!$A$88&gt;35,BD158+BC159-BL158,IF(A159&lt;'Données projet'!$A$88,$BA$205^A159,IF(A159='Données projet'!$A$88,'Données projet'!$B$88,BD158+BC159-BL158)))</f>
        <v>504.41600000000096</v>
      </c>
      <c r="BE159" s="13">
        <f>BD159*VLOOKUP('Données projet'!$B$11,Paramètres!$A$1:$I$89,3,0)*VLOOKUP('Données projet'!$B$11,Paramètres!$A$1:$I$89,5,0)</f>
        <v>456.39559680000082</v>
      </c>
      <c r="BF159" s="13">
        <f t="shared" si="167"/>
        <v>103.12077454694855</v>
      </c>
      <c r="BG159" s="20">
        <f t="shared" si="168"/>
        <v>974.49101342927031</v>
      </c>
      <c r="BH159" s="59">
        <f t="shared" si="116"/>
        <v>1261.8459118763585</v>
      </c>
      <c r="BI159" s="59">
        <f ca="1">AVERAGE(OFFSET($BH$3,0,0,'Données projet'!$E$11+1,1))-AVERAGE(OFFSET($H$3,0,0,'Données projet'!$E$11+1,1))</f>
        <v>681.47578137804555</v>
      </c>
      <c r="BJ159" s="59">
        <f t="shared" si="146"/>
        <v>300.88511065995885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52.040469622553083</v>
      </c>
      <c r="BQ159" s="21">
        <f>EXP(-LN(2)/25)*BQ158+(1-EXP(-LN(2)/25))/(LN(2)/25)*Calculateur!BL159*Calculateur!BN159*VLOOKUP('Données projet'!$B$11,Paramètres!$A$1:$I$89,3,0)*0.475*44/12</f>
        <v>21.660295343218088</v>
      </c>
      <c r="BR159" s="21">
        <f>EXP(-LN(2)/2)*BR158+(1-EXP(-LN(2)/2))/(LN(2)/2)*BL159*BO159*VLOOKUP('Données projet'!$B$11,Paramètres!$A$1:$I$89,3,0)*0.475*44/12</f>
        <v>7.7911076927560926E-5</v>
      </c>
      <c r="BS159" s="22">
        <f t="shared" si="169"/>
        <v>73.7008428768481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8.5265128291212022E-14</v>
      </c>
      <c r="BZ159" s="13">
        <f>BY159*VLOOKUP('Données projet'!$B$12,Paramètres!$A$1:$I$89,3,0)*VLOOKUP('Données projet'!$B$12,Paramètres!$A$1:$I$89,5,0)</f>
        <v>8.9119112089974823E-14</v>
      </c>
      <c r="CA159" s="13">
        <f t="shared" si="170"/>
        <v>1.3568952080113142E-12</v>
      </c>
      <c r="CB159" s="20">
        <f t="shared" si="171"/>
        <v>2.5184749408430782E-12</v>
      </c>
      <c r="CC159" s="59">
        <f t="shared" si="119"/>
        <v>287.35489844709082</v>
      </c>
      <c r="CD159" s="59">
        <f ca="1">AVERAGE(OFFSET($CC$3,0,0,'Données projet'!$E$12+1,1))-AVERAGE(OFFSET($H$3,0,0,'Données projet'!$E$12+1,1))</f>
        <v>290.69667785754848</v>
      </c>
      <c r="CE159" s="59">
        <f t="shared" si="148"/>
        <v>256.28124185489082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5.8715728130457521</v>
      </c>
      <c r="CL159" s="21">
        <f>EXP(-LN(2)/25)*CL158+(1-EXP(-LN(2)/25))/(LN(2)/25)*Calculateur!CG159*Calculateur!CI159*VLOOKUP('Données projet'!$B$12,Paramètres!$A$1:$I$89,3,0)*0.475*44/12</f>
        <v>9.6204518861101906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15.492024699155943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408.246209980743</v>
      </c>
      <c r="CZ159" s="59">
        <f t="shared" si="150"/>
        <v>394.10236303013903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12.670870093906904</v>
      </c>
      <c r="DG159" s="21">
        <f>EXP(-LN(2)/25)*DG158+(1-EXP(-LN(2)/25))/(LN(2)/25)*Calculateur!DB159*Calculateur!DD159*VLOOKUP('Données projet'!$B$13,Paramètres!$A$1:$I$89,3,0)*0.475*44/12</f>
        <v>6.8518053727770214</v>
      </c>
      <c r="DH159" s="21">
        <f>EXP(-LN(2)/2)*DH158+(1-EXP(-LN(2)/2))/(LN(2)/2)*DB159*DE159*VLOOKUP('Données projet'!$B$13,Paramètres!$A$1:$I$89,3,0)*0.475*44/12</f>
        <v>2.49350918520146E-10</v>
      </c>
      <c r="DI159" s="22">
        <f t="shared" si="175"/>
        <v>19.522675466933276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5.6843418860808015E-13</v>
      </c>
      <c r="DP159" s="17">
        <f>DO159*VLOOKUP('Données projet'!$B$14,Paramètres!$A$1:$I$89,3,0)*VLOOKUP('Données projet'!$B$14,Paramètres!$A$1:$I$89,5,0)</f>
        <v>3.177547114319168E-13</v>
      </c>
      <c r="DQ159" s="13">
        <f t="shared" si="176"/>
        <v>4.1725404435445377E-12</v>
      </c>
      <c r="DR159" s="20">
        <f t="shared" si="177"/>
        <v>7.820597394917325E-12</v>
      </c>
      <c r="DS159" s="59">
        <f t="shared" si="125"/>
        <v>287.35489844709616</v>
      </c>
      <c r="DT159" s="59">
        <f ca="1">AVERAGE(OFFSET($DS$3,0,0,'Données projet'!$E$14+1,1))-AVERAGE(OFFSET($H$3,0,0,'Données projet'!$E$14+1,1))</f>
        <v>407.05634973057056</v>
      </c>
      <c r="DU159" s="59">
        <f t="shared" si="152"/>
        <v>375.32891954889965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42.020923498771083</v>
      </c>
      <c r="EB159" s="21">
        <f>EXP(-LN(2)/25)*EB158+(1-EXP(-LN(2)/25))/(LN(2)/25)*Calculateur!DW159*Calculateur!DY159*VLOOKUP('Données projet'!$B$14,Paramètres!$A$1:$I$89,3,0)*0.475*44/12</f>
        <v>7.0725619545434064</v>
      </c>
      <c r="EC159" s="21">
        <f>EXP(-LN(2)/2)*EC158+(1-EXP(-LN(2)/2))/(LN(2)/2)*DW159*DZ159*VLOOKUP('Données projet'!$B$14,Paramètres!$A$1:$I$89,3,0)*0.475*44/12</f>
        <v>8.583984290773959E-12</v>
      </c>
      <c r="ED159" s="22">
        <f t="shared" si="178"/>
        <v>49.093485453323069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1.1368683772161603E-13</v>
      </c>
      <c r="EK159" s="17">
        <f>EJ159*VLOOKUP('Données projet'!$B$15,Paramètres!$A$1:$I$89,3,0)*VLOOKUP('Données projet'!$B$15,Paramètres!$A$1:$I$89,5,0)</f>
        <v>5.0249582272954292E-14</v>
      </c>
      <c r="EL159" s="13">
        <f t="shared" si="179"/>
        <v>8.1784820119191593E-13</v>
      </c>
      <c r="EM159" s="20">
        <f t="shared" si="180"/>
        <v>1.5119369728679821E-12</v>
      </c>
      <c r="EN159" s="59">
        <f t="shared" si="128"/>
        <v>287.35489844708985</v>
      </c>
      <c r="EO159" s="59">
        <f ca="1">AVERAGE(OFFSET($EN$3,0,0,'Données projet'!$E$15+1,1))-AVERAGE(OFFSET($H$3,0,0,'Données projet'!$E$15+1,1))</f>
        <v>418.28022549686278</v>
      </c>
      <c r="EP159" s="59">
        <f t="shared" si="154"/>
        <v>354.55070454517158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45.870753193173428</v>
      </c>
      <c r="EW159" s="21">
        <f>EXP(-LN(2)/25)*EW158+(1-EXP(-LN(2)/25))/(LN(2)/25)*Calculateur!ER159*Calculateur!ET159*VLOOKUP('Données projet'!$B$15,Paramètres!$A$1:$I$89,3,0)*0.475*44/12</f>
        <v>8.7412405932869746</v>
      </c>
      <c r="EX159" s="21">
        <f>EXP(-LN(2)/2)*EX158+(1-EXP(-LN(2)/2))/(LN(2)/2)*ER159*EU159*VLOOKUP('Données projet'!$B$15,Paramètres!$A$1:$I$89,3,0)*0.475*44/12</f>
        <v>2.8595929022531149E-10</v>
      </c>
      <c r="EY159" s="22">
        <f t="shared" si="181"/>
        <v>54.611993786746361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>
        <f>VLOOKUP(A159,'Données projet'!$A$217:$I$237,2,0)</f>
        <v>409.2</v>
      </c>
      <c r="FC159" s="12">
        <f>VLOOKUP(A159,'Données projet'!$A$217:$I$237,9,0)</f>
        <v>7.5191666666666634</v>
      </c>
      <c r="FD159" s="12">
        <f t="array" ref="FD159">INDEX(FC:FC,MIN(IF(ISNUMBER(FC159:FC355),ROW(FC159:FC355),"")))</f>
        <v>7.5191666666666634</v>
      </c>
      <c r="FE159" s="12">
        <f>IF('Données projet'!$A$218&gt;35,FE158+FD159-FM158,IF(A159&lt;'Données projet'!$A$218,$FB$205^A159,IF(A159='Données projet'!$A$218,'Données projet'!$B$218,FE158+FD159-FM158)))</f>
        <v>409.19999999999959</v>
      </c>
      <c r="FF159" s="17">
        <f>FE159*VLOOKUP('Données projet'!$B$16,Paramètres!$A$1:$I$89,3,0)*VLOOKUP('Données projet'!$B$16,Paramètres!$A$1:$I$89,5,0)</f>
        <v>465.99695999999949</v>
      </c>
      <c r="FG159" s="13">
        <f t="shared" si="182"/>
        <v>105.03531868607018</v>
      </c>
      <c r="FH159" s="20">
        <f t="shared" si="183"/>
        <v>994.54788537823799</v>
      </c>
      <c r="FI159" s="59">
        <f t="shared" si="131"/>
        <v>1281.9027838253264</v>
      </c>
      <c r="FJ159" s="59">
        <f ca="1">AVERAGE(OFFSET($FI$3,0,0,'Données projet'!$E$16+1,1))-AVERAGE(OFFSET($H$3,0,0,'Données projet'!$E$16+1,1))</f>
        <v>640.05156427113661</v>
      </c>
      <c r="FK159" s="59">
        <f t="shared" si="156"/>
        <v>308.77220155372902</v>
      </c>
      <c r="FL159" s="15">
        <f>IF(ISNA(VLOOKUP(A159,'Données projet'!$A$217:$I$237,3,0)),0,VLOOKUP(A159,'Données projet'!$A$217:$I$237,3,0))</f>
        <v>11</v>
      </c>
      <c r="FM159" s="15">
        <f>IF(ISNA(VLOOKUP(A159,'Données projet'!$A$217:$I$237,4,0)),0,VLOOKUP(A159,'Données projet'!$A$217:$I$237,4,0))</f>
        <v>65.69</v>
      </c>
      <c r="FN159" s="16">
        <f>IF(ISNA(VLOOKUP(A159,'Données projet'!$A$217:$I$237,5,0)),0%,VLOOKUP(A159,'Données projet'!$A$217:$I$237,5,0)*VLOOKUP('Données projet'!$B$16,Paramètres!$A$1:$I$89,7,0))</f>
        <v>0.215</v>
      </c>
      <c r="FO159" s="16">
        <f>IF(ISNA(VLOOKUP(A159,'Données projet'!$A$217:$I$237,6,0)),0%,VLOOKUP(A159,'Données projet'!$A$217:$I$237,6,0)*VLOOKUP('Données projet'!$B$16,Paramètres!$A$1:$I$89,7,0))</f>
        <v>8.6000000000000007E-2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47.249406988988127</v>
      </c>
      <c r="FR159" s="21">
        <f>EXP(-LN(2)/25)*FR158+(1-EXP(-LN(2)/25))/(LN(2)/25)*Calculateur!FM159*Calculateur!FO159*VLOOKUP('Données projet'!$B$16,Paramètres!$A$1:$I$89,3,0)*0.475*44/12</f>
        <v>25.675290810367677</v>
      </c>
      <c r="FS159" s="21">
        <f>EXP(-LN(2)/2)*FS158+(1-EXP(-LN(2)/2))/(LN(2)/2)*FM159*FP159*VLOOKUP('Données projet'!$B$16,Paramètres!$A$1:$I$89,3,0)*0.475*44/12</f>
        <v>0.10364490982346343</v>
      </c>
      <c r="FT159" s="22">
        <f t="shared" si="184"/>
        <v>73.02834270917927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287.45861092658856</v>
      </c>
      <c r="S160" s="59">
        <f ca="1">AVERAGE(OFFSET($R$3,0,0,'Données projet'!$E$9+1,1))-AVERAGE(OFFSET($H$3,0,0,'Données projet'!$E$9+1,1))</f>
        <v>318.50474972254085</v>
      </c>
      <c r="T160" s="59">
        <f t="shared" si="142"/>
        <v>326.45858332753562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20.338668506001419</v>
      </c>
      <c r="AA160" s="21">
        <f>EXP(-LN(2)/25)*AA159+(1-EXP(-LN(2)/25))/(LN(2)/25)*Calculateur!V160*Calculateur!X160*VLOOKUP('Données projet'!$B$9,Paramètres!$A$1:$I$89,3,0)*0.475*44/12</f>
        <v>3.2901249632994407</v>
      </c>
      <c r="AB160" s="21">
        <f>EXP(-LN(2)/2)*AB159+(1-EXP(-LN(2)/2))/(LN(2)/2)*V160*Y160*VLOOKUP('Données projet'!$B$9,Paramètres!$A$1:$I$89,3,0)*0.475*44/12</f>
        <v>1.506320147019931E-13</v>
      </c>
      <c r="AC160" s="22">
        <f t="shared" si="163"/>
        <v>23.628793469301009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1.7053025658242404E-13</v>
      </c>
      <c r="AJ160" s="13">
        <f>AI160*VLOOKUP('Données projet'!$B$10,Paramètres!$A$1:$I$89,3,0)*VLOOKUP('Données projet'!$B$10,Paramètres!$A$1:$I$89,5,0)</f>
        <v>7.9808160080574461E-14</v>
      </c>
      <c r="AK160" s="13">
        <f t="shared" si="164"/>
        <v>1.2308384591775343E-12</v>
      </c>
      <c r="AL160" s="20">
        <f t="shared" si="165"/>
        <v>2.282709528541206E-12</v>
      </c>
      <c r="AM160" s="59">
        <f t="shared" si="113"/>
        <v>287.45861092658885</v>
      </c>
      <c r="AN160" s="59">
        <f ca="1">AVERAGE(OFFSET($AM$3,0,0,'Données projet'!$E$10+1,1))-AVERAGE(OFFSET($H$3,0,0,'Données projet'!$E$10+1,1))</f>
        <v>374.38106339726073</v>
      </c>
      <c r="AO160" s="59">
        <f t="shared" si="144"/>
        <v>296.53283288925957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86.915372784556283</v>
      </c>
      <c r="AV160" s="21">
        <f>EXP(-LN(2)/25)*AV159+(1-EXP(-LN(2)/25))/(LN(2)/25)*Calculateur!AQ160*Calculateur!AS160*VLOOKUP('Données projet'!$B$10,Paramètres!$A$1:$I$89,3,0)*0.475*44/12</f>
        <v>21.842473502773611</v>
      </c>
      <c r="AW160" s="21">
        <f>EXP(-LN(2)/2)*AW159+(1-EXP(-LN(2)/2))/(LN(2)/2)*AQ160*AT160*VLOOKUP('Données projet'!$B$10,Paramètres!$A$1:$I$89,3,0)*0.475*44/12</f>
        <v>3.9561344817601093E-3</v>
      </c>
      <c r="AX160" s="21">
        <f t="shared" si="166"/>
        <v>108.76180242181165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9.4880000000000049</v>
      </c>
      <c r="BD160" s="12">
        <f>IF('Données projet'!$A$88&gt;35,BD159+BC160-BL159,IF(A160&lt;'Données projet'!$A$88,$BA$205^A160,IF(A160='Données projet'!$A$88,'Données projet'!$B$88,BD159+BC160-BL159)))</f>
        <v>513.90400000000102</v>
      </c>
      <c r="BE160" s="13">
        <f>BD160*VLOOKUP('Données projet'!$B$11,Paramètres!$A$1:$I$89,3,0)*VLOOKUP('Données projet'!$B$11,Paramètres!$A$1:$I$89,5,0)</f>
        <v>464.98033920000091</v>
      </c>
      <c r="BF160" s="13">
        <f t="shared" si="167"/>
        <v>104.83282002515982</v>
      </c>
      <c r="BG160" s="20">
        <f t="shared" si="168"/>
        <v>992.4245856504881</v>
      </c>
      <c r="BH160" s="59">
        <f t="shared" si="116"/>
        <v>1279.8831965770746</v>
      </c>
      <c r="BI160" s="59">
        <f ca="1">AVERAGE(OFFSET($BH$3,0,0,'Données projet'!$E$11+1,1))-AVERAGE(OFFSET($H$3,0,0,'Données projet'!$E$11+1,1))</f>
        <v>681.47578137804555</v>
      </c>
      <c r="BJ160" s="59">
        <f t="shared" si="146"/>
        <v>300.88511065995885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51.019987754807069</v>
      </c>
      <c r="BQ160" s="21">
        <f>EXP(-LN(2)/25)*BQ159+(1-EXP(-LN(2)/25))/(LN(2)/25)*Calculateur!BL160*Calculateur!BN160*VLOOKUP('Données projet'!$B$11,Paramètres!$A$1:$I$89,3,0)*0.475*44/12</f>
        <v>21.067993427992363</v>
      </c>
      <c r="BR160" s="21">
        <f>EXP(-LN(2)/2)*BR159+(1-EXP(-LN(2)/2))/(LN(2)/2)*BL160*BO160*VLOOKUP('Données projet'!$B$11,Paramètres!$A$1:$I$89,3,0)*0.475*44/12</f>
        <v>5.5091450825025096E-5</v>
      </c>
      <c r="BS160" s="22">
        <f t="shared" si="169"/>
        <v>72.088036274250257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8.5265128291212022E-14</v>
      </c>
      <c r="BZ160" s="13">
        <f>BY160*VLOOKUP('Données projet'!$B$12,Paramètres!$A$1:$I$89,3,0)*VLOOKUP('Données projet'!$B$12,Paramètres!$A$1:$I$89,5,0)</f>
        <v>8.9119112089974823E-14</v>
      </c>
      <c r="CA160" s="13">
        <f t="shared" si="170"/>
        <v>1.3568952080113142E-12</v>
      </c>
      <c r="CB160" s="20">
        <f t="shared" si="171"/>
        <v>2.5184749408430782E-12</v>
      </c>
      <c r="CC160" s="59">
        <f t="shared" si="119"/>
        <v>287.45861092658907</v>
      </c>
      <c r="CD160" s="59">
        <f ca="1">AVERAGE(OFFSET($CC$3,0,0,'Données projet'!$E$12+1,1))-AVERAGE(OFFSET($H$3,0,0,'Données projet'!$E$12+1,1))</f>
        <v>290.69667785754848</v>
      </c>
      <c r="CE160" s="59">
        <f t="shared" si="148"/>
        <v>256.28124185489082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5.7564348514877164</v>
      </c>
      <c r="CL160" s="21">
        <f>EXP(-LN(2)/25)*CL159+(1-EXP(-LN(2)/25))/(LN(2)/25)*Calculateur!CG160*Calculateur!CI160*VLOOKUP('Données projet'!$B$12,Paramètres!$A$1:$I$89,3,0)*0.475*44/12</f>
        <v>9.35738012336693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15.113814974854646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408.246209980743</v>
      </c>
      <c r="CZ160" s="59">
        <f t="shared" si="150"/>
        <v>394.10236303013903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12.422402059833024</v>
      </c>
      <c r="DG160" s="21">
        <f>EXP(-LN(2)/25)*DG159+(1-EXP(-LN(2)/25))/(LN(2)/25)*Calculateur!DB160*Calculateur!DD160*VLOOKUP('Données projet'!$B$13,Paramètres!$A$1:$I$89,3,0)*0.475*44/12</f>
        <v>6.664442394537649</v>
      </c>
      <c r="DH160" s="21">
        <f>EXP(-LN(2)/2)*DH159+(1-EXP(-LN(2)/2))/(LN(2)/2)*DB160*DE160*VLOOKUP('Données projet'!$B$13,Paramètres!$A$1:$I$89,3,0)*0.475*44/12</f>
        <v>1.7631772538068952E-10</v>
      </c>
      <c r="DI160" s="22">
        <f t="shared" si="175"/>
        <v>19.086844454546991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5.6843418860808015E-13</v>
      </c>
      <c r="DP160" s="17">
        <f>DO160*VLOOKUP('Données projet'!$B$14,Paramètres!$A$1:$I$89,3,0)*VLOOKUP('Données projet'!$B$14,Paramètres!$A$1:$I$89,5,0)</f>
        <v>3.177547114319168E-13</v>
      </c>
      <c r="DQ160" s="13">
        <f t="shared" si="176"/>
        <v>4.1725404435445377E-12</v>
      </c>
      <c r="DR160" s="20">
        <f t="shared" si="177"/>
        <v>7.820597394917325E-12</v>
      </c>
      <c r="DS160" s="59">
        <f t="shared" si="125"/>
        <v>287.45861092659442</v>
      </c>
      <c r="DT160" s="59">
        <f ca="1">AVERAGE(OFFSET($DS$3,0,0,'Données projet'!$E$14+1,1))-AVERAGE(OFFSET($H$3,0,0,'Données projet'!$E$14+1,1))</f>
        <v>407.05634973057056</v>
      </c>
      <c r="DU160" s="59">
        <f t="shared" si="152"/>
        <v>375.32891954889965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41.196918819192739</v>
      </c>
      <c r="EB160" s="21">
        <f>EXP(-LN(2)/25)*EB159+(1-EXP(-LN(2)/25))/(LN(2)/25)*Calculateur!DW160*Calculateur!DY160*VLOOKUP('Données projet'!$B$14,Paramètres!$A$1:$I$89,3,0)*0.475*44/12</f>
        <v>6.8791623759665486</v>
      </c>
      <c r="EC160" s="21">
        <f>EXP(-LN(2)/2)*EC159+(1-EXP(-LN(2)/2))/(LN(2)/2)*DW160*DZ160*VLOOKUP('Données projet'!$B$14,Paramètres!$A$1:$I$89,3,0)*0.475*44/12</f>
        <v>6.0697935016050633E-12</v>
      </c>
      <c r="ED160" s="22">
        <f t="shared" si="178"/>
        <v>48.076081195165358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1.1368683772161603E-13</v>
      </c>
      <c r="EK160" s="17">
        <f>EJ160*VLOOKUP('Données projet'!$B$15,Paramètres!$A$1:$I$89,3,0)*VLOOKUP('Données projet'!$B$15,Paramètres!$A$1:$I$89,5,0)</f>
        <v>5.0249582272954292E-14</v>
      </c>
      <c r="EL160" s="13">
        <f t="shared" si="179"/>
        <v>8.1784820119191593E-13</v>
      </c>
      <c r="EM160" s="20">
        <f t="shared" si="180"/>
        <v>1.5119369728679821E-12</v>
      </c>
      <c r="EN160" s="59">
        <f t="shared" si="128"/>
        <v>287.45861092658811</v>
      </c>
      <c r="EO160" s="59">
        <f ca="1">AVERAGE(OFFSET($EN$3,0,0,'Données projet'!$E$15+1,1))-AVERAGE(OFFSET($H$3,0,0,'Données projet'!$E$15+1,1))</f>
        <v>418.28022549686278</v>
      </c>
      <c r="EP160" s="59">
        <f t="shared" si="154"/>
        <v>354.55070454517158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44.971255701452108</v>
      </c>
      <c r="EW160" s="21">
        <f>EXP(-LN(2)/25)*EW159+(1-EXP(-LN(2)/25))/(LN(2)/25)*Calculateur!ER160*Calculateur!ET160*VLOOKUP('Données projet'!$B$15,Paramètres!$A$1:$I$89,3,0)*0.475*44/12</f>
        <v>8.5022109095816774</v>
      </c>
      <c r="EX160" s="21">
        <f>EXP(-LN(2)/2)*EX159+(1-EXP(-LN(2)/2))/(LN(2)/2)*ER160*EU160*VLOOKUP('Données projet'!$B$15,Paramètres!$A$1:$I$89,3,0)*0.475*44/12</f>
        <v>2.0220375326160977E-10</v>
      </c>
      <c r="EY160" s="22">
        <f t="shared" si="181"/>
        <v>53.473466611235992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7.6783333333333319</v>
      </c>
      <c r="FE160" s="12">
        <f>IF('Données projet'!$A$218&gt;35,FE159+FD160-FM159,IF(A160&lt;'Données projet'!$A$218,$FB$205^A160,IF(A160='Données projet'!$A$218,'Données projet'!$B$218,FE159+FD160-FM159)))</f>
        <v>351.18833333333293</v>
      </c>
      <c r="FF160" s="17">
        <f>FE160*VLOOKUP('Données projet'!$B$16,Paramètres!$A$1:$I$89,3,0)*VLOOKUP('Données projet'!$B$16,Paramètres!$A$1:$I$89,5,0)</f>
        <v>399.93327399999959</v>
      </c>
      <c r="FG160" s="13">
        <f t="shared" si="182"/>
        <v>91.763137417414484</v>
      </c>
      <c r="FH160" s="20">
        <f t="shared" si="183"/>
        <v>856.37124988532958</v>
      </c>
      <c r="FI160" s="59">
        <f t="shared" si="131"/>
        <v>1143.8298608119162</v>
      </c>
      <c r="FJ160" s="59">
        <f ca="1">AVERAGE(OFFSET($FI$3,0,0,'Données projet'!$E$16+1,1))-AVERAGE(OFFSET($H$3,0,0,'Données projet'!$E$16+1,1))</f>
        <v>640.05156427113661</v>
      </c>
      <c r="FK160" s="59">
        <f t="shared" si="156"/>
        <v>308.77220155372902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46.322874937226665</v>
      </c>
      <c r="FR160" s="21">
        <f>EXP(-LN(2)/25)*FR159+(1-EXP(-LN(2)/25))/(LN(2)/25)*Calculateur!FM160*Calculateur!FO160*VLOOKUP('Données projet'!$B$16,Paramètres!$A$1:$I$89,3,0)*0.475*44/12</f>
        <v>24.973198632953313</v>
      </c>
      <c r="FS160" s="21">
        <f>EXP(-LN(2)/2)*FS159+(1-EXP(-LN(2)/2))/(LN(2)/2)*FM160*FP160*VLOOKUP('Données projet'!$B$16,Paramètres!$A$1:$I$89,3,0)*0.475*44/12</f>
        <v>7.3288018571639205E-2</v>
      </c>
      <c r="FT160" s="22">
        <f t="shared" si="184"/>
        <v>71.369361588751616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287.56052422643398</v>
      </c>
      <c r="S161" s="59">
        <f ca="1">AVERAGE(OFFSET($R$3,0,0,'Données projet'!$E$9+1,1))-AVERAGE(OFFSET($H$3,0,0,'Données projet'!$E$9+1,1))</f>
        <v>318.50474972254085</v>
      </c>
      <c r="T161" s="59">
        <f t="shared" si="142"/>
        <v>326.45858332753562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19.939839621961593</v>
      </c>
      <c r="AA161" s="21">
        <f>EXP(-LN(2)/25)*AA160+(1-EXP(-LN(2)/25))/(LN(2)/25)*Calculateur!V161*Calculateur!X161*VLOOKUP('Données projet'!$B$9,Paramètres!$A$1:$I$89,3,0)*0.475*44/12</f>
        <v>3.2001563231578656</v>
      </c>
      <c r="AB161" s="21">
        <f>EXP(-LN(2)/2)*AB160+(1-EXP(-LN(2)/2))/(LN(2)/2)*V161*Y161*VLOOKUP('Données projet'!$B$9,Paramètres!$A$1:$I$89,3,0)*0.475*44/12</f>
        <v>1.0651291905957104E-13</v>
      </c>
      <c r="AC161" s="22">
        <f t="shared" si="163"/>
        <v>23.139995945119566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1.7053025658242404E-13</v>
      </c>
      <c r="AJ161" s="13">
        <f>AI161*VLOOKUP('Données projet'!$B$10,Paramètres!$A$1:$I$89,3,0)*VLOOKUP('Données projet'!$B$10,Paramètres!$A$1:$I$89,5,0)</f>
        <v>7.9808160080574461E-14</v>
      </c>
      <c r="AK161" s="13">
        <f t="shared" si="164"/>
        <v>1.2308384591775343E-12</v>
      </c>
      <c r="AL161" s="20">
        <f t="shared" si="165"/>
        <v>2.282709528541206E-12</v>
      </c>
      <c r="AM161" s="59">
        <f t="shared" si="113"/>
        <v>287.56052422643427</v>
      </c>
      <c r="AN161" s="59">
        <f ca="1">AVERAGE(OFFSET($AM$3,0,0,'Données projet'!$E$10+1,1))-AVERAGE(OFFSET($H$3,0,0,'Données projet'!$E$10+1,1))</f>
        <v>374.38106339726073</v>
      </c>
      <c r="AO161" s="59">
        <f t="shared" si="144"/>
        <v>296.53283288925957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85.211015337393917</v>
      </c>
      <c r="AV161" s="21">
        <f>EXP(-LN(2)/25)*AV160+(1-EXP(-LN(2)/25))/(LN(2)/25)*Calculateur!AQ161*Calculateur!AS161*VLOOKUP('Données projet'!$B$10,Paramètres!$A$1:$I$89,3,0)*0.475*44/12</f>
        <v>21.245189916194509</v>
      </c>
      <c r="AW161" s="21">
        <f>EXP(-LN(2)/2)*AW160+(1-EXP(-LN(2)/2))/(LN(2)/2)*AQ161*AT161*VLOOKUP('Données projet'!$B$10,Paramètres!$A$1:$I$89,3,0)*0.475*44/12</f>
        <v>2.7974095193385013E-3</v>
      </c>
      <c r="AX161" s="21">
        <f t="shared" si="166"/>
        <v>106.45900266310775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9.4880000000000049</v>
      </c>
      <c r="BD161" s="12">
        <f>IF('Données projet'!$A$88&gt;35,BD160+BC161-BL160,IF(A161&lt;'Données projet'!$A$88,$BA$205^A161,IF(A161='Données projet'!$A$88,'Données projet'!$B$88,BD160+BC161-BL160)))</f>
        <v>523.39200000000108</v>
      </c>
      <c r="BE161" s="13">
        <f>BD161*VLOOKUP('Données projet'!$B$11,Paramètres!$A$1:$I$89,3,0)*VLOOKUP('Données projet'!$B$11,Paramètres!$A$1:$I$89,5,0)</f>
        <v>473.56508160000089</v>
      </c>
      <c r="BF161" s="13">
        <f t="shared" si="167"/>
        <v>106.54118996921356</v>
      </c>
      <c r="BG161" s="20">
        <f t="shared" si="168"/>
        <v>1010.3517563163817</v>
      </c>
      <c r="BH161" s="59">
        <f t="shared" si="116"/>
        <v>1297.9122805428137</v>
      </c>
      <c r="BI161" s="59">
        <f ca="1">AVERAGE(OFFSET($BH$3,0,0,'Données projet'!$E$11+1,1))-AVERAGE(OFFSET($H$3,0,0,'Données projet'!$E$11+1,1))</f>
        <v>681.47578137804555</v>
      </c>
      <c r="BJ161" s="59">
        <f t="shared" si="146"/>
        <v>300.88511065995885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50.019516914055075</v>
      </c>
      <c r="BQ161" s="21">
        <f>EXP(-LN(2)/25)*BQ160+(1-EXP(-LN(2)/25))/(LN(2)/25)*Calculateur!BL161*Calculateur!BN161*VLOOKUP('Données projet'!$B$11,Paramètres!$A$1:$I$89,3,0)*0.475*44/12</f>
        <v>20.491888039786289</v>
      </c>
      <c r="BR161" s="21">
        <f>EXP(-LN(2)/2)*BR160+(1-EXP(-LN(2)/2))/(LN(2)/2)*BL161*BO161*VLOOKUP('Données projet'!$B$11,Paramètres!$A$1:$I$89,3,0)*0.475*44/12</f>
        <v>3.8955538463780463E-5</v>
      </c>
      <c r="BS161" s="22">
        <f t="shared" si="169"/>
        <v>70.511443909379821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8.5265128291212022E-14</v>
      </c>
      <c r="BZ161" s="13">
        <f>BY161*VLOOKUP('Données projet'!$B$12,Paramètres!$A$1:$I$89,3,0)*VLOOKUP('Données projet'!$B$12,Paramètres!$A$1:$I$89,5,0)</f>
        <v>8.9119112089974823E-14</v>
      </c>
      <c r="CA161" s="13">
        <f t="shared" si="170"/>
        <v>1.3568952080113142E-12</v>
      </c>
      <c r="CB161" s="20">
        <f t="shared" si="171"/>
        <v>2.5184749408430782E-12</v>
      </c>
      <c r="CC161" s="59">
        <f t="shared" si="119"/>
        <v>287.5605242264345</v>
      </c>
      <c r="CD161" s="59">
        <f ca="1">AVERAGE(OFFSET($CC$3,0,0,'Données projet'!$E$12+1,1))-AVERAGE(OFFSET($H$3,0,0,'Données projet'!$E$12+1,1))</f>
        <v>290.69667785754848</v>
      </c>
      <c r="CE161" s="59">
        <f t="shared" si="148"/>
        <v>256.28124185489082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5.6435546751286116</v>
      </c>
      <c r="CL161" s="21">
        <f>EXP(-LN(2)/25)*CL160+(1-EXP(-LN(2)/25))/(LN(2)/25)*Calculateur!CG161*Calculateur!CI161*VLOOKUP('Données projet'!$B$12,Paramètres!$A$1:$I$89,3,0)*0.475*44/12</f>
        <v>9.1015020718102271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14.74505674693884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408.246209980743</v>
      </c>
      <c r="CZ161" s="59">
        <f t="shared" si="150"/>
        <v>394.10236303013903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12.178806332356796</v>
      </c>
      <c r="DG161" s="21">
        <f>EXP(-LN(2)/25)*DG160+(1-EXP(-LN(2)/25))/(LN(2)/25)*Calculateur!DB161*Calculateur!DD161*VLOOKUP('Données projet'!$B$13,Paramètres!$A$1:$I$89,3,0)*0.475*44/12</f>
        <v>6.4822028667912228</v>
      </c>
      <c r="DH161" s="21">
        <f>EXP(-LN(2)/2)*DH160+(1-EXP(-LN(2)/2))/(LN(2)/2)*DB161*DE161*VLOOKUP('Données projet'!$B$13,Paramètres!$A$1:$I$89,3,0)*0.475*44/12</f>
        <v>1.24675459260073E-10</v>
      </c>
      <c r="DI161" s="22">
        <f t="shared" si="175"/>
        <v>18.661009199272694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5.6843418860808015E-13</v>
      </c>
      <c r="DP161" s="17">
        <f>DO161*VLOOKUP('Données projet'!$B$14,Paramètres!$A$1:$I$89,3,0)*VLOOKUP('Données projet'!$B$14,Paramètres!$A$1:$I$89,5,0)</f>
        <v>3.177547114319168E-13</v>
      </c>
      <c r="DQ161" s="13">
        <f t="shared" si="176"/>
        <v>4.1725404435445377E-12</v>
      </c>
      <c r="DR161" s="20">
        <f t="shared" si="177"/>
        <v>7.820597394917325E-12</v>
      </c>
      <c r="DS161" s="59">
        <f t="shared" si="125"/>
        <v>287.56052422643984</v>
      </c>
      <c r="DT161" s="59">
        <f ca="1">AVERAGE(OFFSET($DS$3,0,0,'Données projet'!$E$14+1,1))-AVERAGE(OFFSET($H$3,0,0,'Données projet'!$E$14+1,1))</f>
        <v>407.05634973057056</v>
      </c>
      <c r="DU161" s="59">
        <f t="shared" si="152"/>
        <v>375.32891954889965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40.389072368787701</v>
      </c>
      <c r="EB161" s="21">
        <f>EXP(-LN(2)/25)*EB160+(1-EXP(-LN(2)/25))/(LN(2)/25)*Calculateur!DW161*Calculateur!DY161*VLOOKUP('Données projet'!$B$14,Paramètres!$A$1:$I$89,3,0)*0.475*44/12</f>
        <v>6.6910513190363163</v>
      </c>
      <c r="EC161" s="21">
        <f>EXP(-LN(2)/2)*EC160+(1-EXP(-LN(2)/2))/(LN(2)/2)*DW161*DZ161*VLOOKUP('Données projet'!$B$14,Paramètres!$A$1:$I$89,3,0)*0.475*44/12</f>
        <v>4.2919921453869795E-12</v>
      </c>
      <c r="ED161" s="22">
        <f t="shared" si="178"/>
        <v>47.080123687828312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1.1368683772161603E-13</v>
      </c>
      <c r="EK161" s="17">
        <f>EJ161*VLOOKUP('Données projet'!$B$15,Paramètres!$A$1:$I$89,3,0)*VLOOKUP('Données projet'!$B$15,Paramètres!$A$1:$I$89,5,0)</f>
        <v>5.0249582272954292E-14</v>
      </c>
      <c r="EL161" s="13">
        <f t="shared" si="179"/>
        <v>8.1784820119191593E-13</v>
      </c>
      <c r="EM161" s="20">
        <f t="shared" si="180"/>
        <v>1.5119369728679821E-12</v>
      </c>
      <c r="EN161" s="59">
        <f t="shared" si="128"/>
        <v>287.56052422643353</v>
      </c>
      <c r="EO161" s="59">
        <f ca="1">AVERAGE(OFFSET($EN$3,0,0,'Données projet'!$E$15+1,1))-AVERAGE(OFFSET($H$3,0,0,'Données projet'!$E$15+1,1))</f>
        <v>418.28022549686278</v>
      </c>
      <c r="EP161" s="59">
        <f t="shared" si="154"/>
        <v>354.55070454517158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44.089396806904148</v>
      </c>
      <c r="EW161" s="21">
        <f>EXP(-LN(2)/25)*EW160+(1-EXP(-LN(2)/25))/(LN(2)/25)*Calculateur!ER161*Calculateur!ET161*VLOOKUP('Données projet'!$B$15,Paramètres!$A$1:$I$89,3,0)*0.475*44/12</f>
        <v>8.2697175051473266</v>
      </c>
      <c r="EX161" s="21">
        <f>EXP(-LN(2)/2)*EX160+(1-EXP(-LN(2)/2))/(LN(2)/2)*ER161*EU161*VLOOKUP('Données projet'!$B$15,Paramètres!$A$1:$I$89,3,0)*0.475*44/12</f>
        <v>1.4297964511265575E-10</v>
      </c>
      <c r="EY161" s="22">
        <f t="shared" si="181"/>
        <v>52.359114312194457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7.6783333333333319</v>
      </c>
      <c r="FE161" s="12">
        <f>IF('Données projet'!$A$218&gt;35,FE160+FD161-FM160,IF(A161&lt;'Données projet'!$A$218,$FB$205^A161,IF(A161='Données projet'!$A$218,'Données projet'!$B$218,FE160+FD161-FM160)))</f>
        <v>358.86666666666628</v>
      </c>
      <c r="FF161" s="17">
        <f>FE161*VLOOKUP('Données projet'!$B$16,Paramètres!$A$1:$I$89,3,0)*VLOOKUP('Données projet'!$B$16,Paramètres!$A$1:$I$89,5,0)</f>
        <v>408.67735999999957</v>
      </c>
      <c r="FG161" s="13">
        <f t="shared" si="182"/>
        <v>93.533663431059196</v>
      </c>
      <c r="FH161" s="20">
        <f t="shared" si="183"/>
        <v>874.68419914242725</v>
      </c>
      <c r="FI161" s="59">
        <f t="shared" si="131"/>
        <v>1162.2447233688592</v>
      </c>
      <c r="FJ161" s="59">
        <f ca="1">AVERAGE(OFFSET($FI$3,0,0,'Données projet'!$E$16+1,1))-AVERAGE(OFFSET($H$3,0,0,'Données projet'!$E$16+1,1))</f>
        <v>640.05156427113661</v>
      </c>
      <c r="FK161" s="59">
        <f t="shared" si="156"/>
        <v>308.77220155372902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45.414511613871497</v>
      </c>
      <c r="FR161" s="21">
        <f>EXP(-LN(2)/25)*FR160+(1-EXP(-LN(2)/25))/(LN(2)/25)*Calculateur!FM161*Calculateur!FO161*VLOOKUP('Données projet'!$B$16,Paramètres!$A$1:$I$89,3,0)*0.475*44/12</f>
        <v>24.290305203051766</v>
      </c>
      <c r="FS161" s="21">
        <f>EXP(-LN(2)/2)*FS160+(1-EXP(-LN(2)/2))/(LN(2)/2)*FM161*FP161*VLOOKUP('Données projet'!$B$16,Paramètres!$A$1:$I$89,3,0)*0.475*44/12</f>
        <v>5.1822454911731715E-2</v>
      </c>
      <c r="FT161" s="22">
        <f t="shared" si="184"/>
        <v>69.756639271834985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287.66066955837096</v>
      </c>
      <c r="S162" s="59">
        <f ca="1">AVERAGE(OFFSET($R$3,0,0,'Données projet'!$E$9+1,1))-AVERAGE(OFFSET($H$3,0,0,'Données projet'!$E$9+1,1))</f>
        <v>318.50474972254085</v>
      </c>
      <c r="T162" s="59">
        <f t="shared" si="142"/>
        <v>326.45858332753562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19.548831529076189</v>
      </c>
      <c r="AA162" s="21">
        <f>EXP(-LN(2)/25)*AA161+(1-EXP(-LN(2)/25))/(LN(2)/25)*Calculateur!V162*Calculateur!X162*VLOOKUP('Données projet'!$B$9,Paramètres!$A$1:$I$89,3,0)*0.475*44/12</f>
        <v>3.1126478802122066</v>
      </c>
      <c r="AB162" s="21">
        <f>EXP(-LN(2)/2)*AB161+(1-EXP(-LN(2)/2))/(LN(2)/2)*V162*Y162*VLOOKUP('Données projet'!$B$9,Paramètres!$A$1:$I$89,3,0)*0.475*44/12</f>
        <v>7.5316007350996548E-14</v>
      </c>
      <c r="AC162" s="22">
        <f t="shared" si="163"/>
        <v>22.661479409288471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1.7053025658242404E-13</v>
      </c>
      <c r="AJ162" s="13">
        <f>AI162*VLOOKUP('Données projet'!$B$10,Paramètres!$A$1:$I$89,3,0)*VLOOKUP('Données projet'!$B$10,Paramètres!$A$1:$I$89,5,0)</f>
        <v>7.9808160080574461E-14</v>
      </c>
      <c r="AK162" s="13">
        <f t="shared" si="164"/>
        <v>1.2308384591775343E-12</v>
      </c>
      <c r="AL162" s="20">
        <f t="shared" si="165"/>
        <v>2.282709528541206E-12</v>
      </c>
      <c r="AM162" s="59">
        <f t="shared" si="113"/>
        <v>287.66066955837124</v>
      </c>
      <c r="AN162" s="59">
        <f ca="1">AVERAGE(OFFSET($AM$3,0,0,'Données projet'!$E$10+1,1))-AVERAGE(OFFSET($H$3,0,0,'Données projet'!$E$10+1,1))</f>
        <v>374.38106339726073</v>
      </c>
      <c r="AO162" s="59">
        <f t="shared" si="144"/>
        <v>296.53283288925957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83.540079300215012</v>
      </c>
      <c r="AV162" s="21">
        <f>EXP(-LN(2)/25)*AV161+(1-EXP(-LN(2)/25))/(LN(2)/25)*Calculateur!AQ162*Calculateur!AS162*VLOOKUP('Données projet'!$B$10,Paramètres!$A$1:$I$89,3,0)*0.475*44/12</f>
        <v>20.664239080700188</v>
      </c>
      <c r="AW162" s="21">
        <f>EXP(-LN(2)/2)*AW161+(1-EXP(-LN(2)/2))/(LN(2)/2)*AQ162*AT162*VLOOKUP('Données projet'!$B$10,Paramètres!$A$1:$I$89,3,0)*0.475*44/12</f>
        <v>1.9780672408800546E-3</v>
      </c>
      <c r="AX162" s="21">
        <f t="shared" si="166"/>
        <v>104.20629644815608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9.4880000000000049</v>
      </c>
      <c r="BD162" s="12">
        <f>IF('Données projet'!$A$88&gt;35,BD161+BC162-BL161,IF(A162&lt;'Données projet'!$A$88,$BA$205^A162,IF(A162='Données projet'!$A$88,'Données projet'!$B$88,BD161+BC162-BL161)))</f>
        <v>532.88000000000113</v>
      </c>
      <c r="BE162" s="13">
        <f>BD162*VLOOKUP('Données projet'!$B$11,Paramètres!$A$1:$I$89,3,0)*VLOOKUP('Données projet'!$B$11,Paramètres!$A$1:$I$89,5,0)</f>
        <v>482.14982400000099</v>
      </c>
      <c r="BF162" s="13">
        <f t="shared" si="167"/>
        <v>108.24595869432409</v>
      </c>
      <c r="BG162" s="20">
        <f t="shared" si="168"/>
        <v>1028.272654859283</v>
      </c>
      <c r="BH162" s="59">
        <f t="shared" si="116"/>
        <v>1315.9333244176519</v>
      </c>
      <c r="BI162" s="59">
        <f ca="1">AVERAGE(OFFSET($BH$3,0,0,'Données projet'!$E$11+1,1))-AVERAGE(OFFSET($H$3,0,0,'Données projet'!$E$11+1,1))</f>
        <v>681.47578137804555</v>
      </c>
      <c r="BJ162" s="59">
        <f t="shared" si="146"/>
        <v>300.88511065995885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49.038664696263268</v>
      </c>
      <c r="BQ162" s="21">
        <f>EXP(-LN(2)/25)*BQ161+(1-EXP(-LN(2)/25))/(LN(2)/25)*Calculateur!BL162*Calculateur!BN162*VLOOKUP('Données projet'!$B$11,Paramètres!$A$1:$I$89,3,0)*0.475*44/12</f>
        <v>19.931536283716778</v>
      </c>
      <c r="BR162" s="21">
        <f>EXP(-LN(2)/2)*BR161+(1-EXP(-LN(2)/2))/(LN(2)/2)*BL162*BO162*VLOOKUP('Données projet'!$B$11,Paramètres!$A$1:$I$89,3,0)*0.475*44/12</f>
        <v>2.7545725412512548E-5</v>
      </c>
      <c r="BS162" s="22">
        <f t="shared" si="169"/>
        <v>68.970228525705465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8.5265128291212022E-14</v>
      </c>
      <c r="BZ162" s="13">
        <f>BY162*VLOOKUP('Données projet'!$B$12,Paramètres!$A$1:$I$89,3,0)*VLOOKUP('Données projet'!$B$12,Paramètres!$A$1:$I$89,5,0)</f>
        <v>8.9119112089974823E-14</v>
      </c>
      <c r="CA162" s="13">
        <f t="shared" si="170"/>
        <v>1.3568952080113142E-12</v>
      </c>
      <c r="CB162" s="20">
        <f t="shared" si="171"/>
        <v>2.5184749408430782E-12</v>
      </c>
      <c r="CC162" s="59">
        <f t="shared" si="119"/>
        <v>287.66066955837147</v>
      </c>
      <c r="CD162" s="59">
        <f ca="1">AVERAGE(OFFSET($CC$3,0,0,'Données projet'!$E$12+1,1))-AVERAGE(OFFSET($H$3,0,0,'Données projet'!$E$12+1,1))</f>
        <v>290.69667785754848</v>
      </c>
      <c r="CE162" s="59">
        <f t="shared" si="148"/>
        <v>256.28124185489082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5.5328880101777997</v>
      </c>
      <c r="CL162" s="21">
        <f>EXP(-LN(2)/25)*CL161+(1-EXP(-LN(2)/25))/(LN(2)/25)*Calculateur!CG162*Calculateur!CI162*VLOOKUP('Données projet'!$B$12,Paramètres!$A$1:$I$89,3,0)*0.475*44/12</f>
        <v>8.8526210190293835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14.385509029207183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408.246209980743</v>
      </c>
      <c r="CZ162" s="59">
        <f t="shared" si="150"/>
        <v>394.10236303013903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11.939987368517654</v>
      </c>
      <c r="DG162" s="21">
        <f>EXP(-LN(2)/25)*DG161+(1-EXP(-LN(2)/25))/(LN(2)/25)*Calculateur!DB162*Calculateur!DD162*VLOOKUP('Données projet'!$B$13,Paramètres!$A$1:$I$89,3,0)*0.475*44/12</f>
        <v>6.3049466885145833</v>
      </c>
      <c r="DH162" s="21">
        <f>EXP(-LN(2)/2)*DH161+(1-EXP(-LN(2)/2))/(LN(2)/2)*DB162*DE162*VLOOKUP('Données projet'!$B$13,Paramètres!$A$1:$I$89,3,0)*0.475*44/12</f>
        <v>8.8158862690344762E-11</v>
      </c>
      <c r="DI162" s="22">
        <f t="shared" si="175"/>
        <v>18.2449340571204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5.6843418860808015E-13</v>
      </c>
      <c r="DP162" s="17">
        <f>DO162*VLOOKUP('Données projet'!$B$14,Paramètres!$A$1:$I$89,3,0)*VLOOKUP('Données projet'!$B$14,Paramètres!$A$1:$I$89,5,0)</f>
        <v>3.177547114319168E-13</v>
      </c>
      <c r="DQ162" s="13">
        <f t="shared" si="176"/>
        <v>4.1725404435445377E-12</v>
      </c>
      <c r="DR162" s="20">
        <f t="shared" si="177"/>
        <v>7.820597394917325E-12</v>
      </c>
      <c r="DS162" s="59">
        <f t="shared" si="125"/>
        <v>287.66066955837681</v>
      </c>
      <c r="DT162" s="59">
        <f ca="1">AVERAGE(OFFSET($DS$3,0,0,'Données projet'!$E$14+1,1))-AVERAGE(OFFSET($H$3,0,0,'Données projet'!$E$14+1,1))</f>
        <v>407.05634973057056</v>
      </c>
      <c r="DU162" s="59">
        <f t="shared" si="152"/>
        <v>375.32891954889965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39.597067294537425</v>
      </c>
      <c r="EB162" s="21">
        <f>EXP(-LN(2)/25)*EB161+(1-EXP(-LN(2)/25))/(LN(2)/25)*Calculateur!DW162*Calculateur!DY162*VLOOKUP('Données projet'!$B$14,Paramètres!$A$1:$I$89,3,0)*0.475*44/12</f>
        <v>6.5080841688501723</v>
      </c>
      <c r="EC162" s="21">
        <f>EXP(-LN(2)/2)*EC161+(1-EXP(-LN(2)/2))/(LN(2)/2)*DW162*DZ162*VLOOKUP('Données projet'!$B$14,Paramètres!$A$1:$I$89,3,0)*0.475*44/12</f>
        <v>3.0348967508025317E-12</v>
      </c>
      <c r="ED162" s="22">
        <f t="shared" si="178"/>
        <v>46.105151463390634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1.1368683772161603E-13</v>
      </c>
      <c r="EK162" s="17">
        <f>EJ162*VLOOKUP('Données projet'!$B$15,Paramètres!$A$1:$I$89,3,0)*VLOOKUP('Données projet'!$B$15,Paramètres!$A$1:$I$89,5,0)</f>
        <v>5.0249582272954292E-14</v>
      </c>
      <c r="EL162" s="13">
        <f t="shared" si="179"/>
        <v>8.1784820119191593E-13</v>
      </c>
      <c r="EM162" s="20">
        <f t="shared" si="180"/>
        <v>1.5119369728679821E-12</v>
      </c>
      <c r="EN162" s="59">
        <f t="shared" si="128"/>
        <v>287.6606695583705</v>
      </c>
      <c r="EO162" s="59">
        <f ca="1">AVERAGE(OFFSET($EN$3,0,0,'Données projet'!$E$15+1,1))-AVERAGE(OFFSET($H$3,0,0,'Données projet'!$E$15+1,1))</f>
        <v>418.28022549686278</v>
      </c>
      <c r="EP162" s="59">
        <f t="shared" si="154"/>
        <v>354.55070454517158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43.224830627397459</v>
      </c>
      <c r="EW162" s="21">
        <f>EXP(-LN(2)/25)*EW161+(1-EXP(-LN(2)/25))/(LN(2)/25)*Calculateur!ER162*Calculateur!ET162*VLOOKUP('Données projet'!$B$15,Paramètres!$A$1:$I$89,3,0)*0.475*44/12</f>
        <v>8.0435816450835294</v>
      </c>
      <c r="EX162" s="21">
        <f>EXP(-LN(2)/2)*EX161+(1-EXP(-LN(2)/2))/(LN(2)/2)*ER162*EU162*VLOOKUP('Données projet'!$B$15,Paramètres!$A$1:$I$89,3,0)*0.475*44/12</f>
        <v>1.0110187663080489E-10</v>
      </c>
      <c r="EY162" s="22">
        <f t="shared" si="181"/>
        <v>51.26841227258209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7.6783333333333319</v>
      </c>
      <c r="FE162" s="12">
        <f>IF('Données projet'!$A$218&gt;35,FE161+FD162-FM161,IF(A162&lt;'Données projet'!$A$218,$FB$205^A162,IF(A162='Données projet'!$A$218,'Données projet'!$B$218,FE161+FD162-FM161)))</f>
        <v>366.54499999999962</v>
      </c>
      <c r="FF162" s="17">
        <f>FE162*VLOOKUP('Données projet'!$B$16,Paramètres!$A$1:$I$89,3,0)*VLOOKUP('Données projet'!$B$16,Paramètres!$A$1:$I$89,5,0)</f>
        <v>417.42144599999961</v>
      </c>
      <c r="FG162" s="13">
        <f t="shared" si="182"/>
        <v>95.299785078044607</v>
      </c>
      <c r="FH162" s="20">
        <f t="shared" si="183"/>
        <v>892.98947746092699</v>
      </c>
      <c r="FI162" s="59">
        <f t="shared" si="131"/>
        <v>1180.6501470192959</v>
      </c>
      <c r="FJ162" s="59">
        <f ca="1">AVERAGE(OFFSET($FI$3,0,0,'Données projet'!$E$16+1,1))-AVERAGE(OFFSET($H$3,0,0,'Données projet'!$E$16+1,1))</f>
        <v>640.05156427113661</v>
      </c>
      <c r="FK162" s="59">
        <f t="shared" si="156"/>
        <v>308.77220155372902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44.523960741240401</v>
      </c>
      <c r="FR162" s="21">
        <f>EXP(-LN(2)/25)*FR161+(1-EXP(-LN(2)/25))/(LN(2)/25)*Calculateur!FM162*Calculateur!FO162*VLOOKUP('Données projet'!$B$16,Paramètres!$A$1:$I$89,3,0)*0.475*44/12</f>
        <v>23.626085529902682</v>
      </c>
      <c r="FS162" s="21">
        <f>EXP(-LN(2)/2)*FS161+(1-EXP(-LN(2)/2))/(LN(2)/2)*FM162*FP162*VLOOKUP('Données projet'!$B$16,Paramètres!$A$1:$I$89,3,0)*0.475*44/12</f>
        <v>3.6644009285819602E-2</v>
      </c>
      <c r="FT162" s="22">
        <f t="shared" si="184"/>
        <v>68.186690280428905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287.75907759269035</v>
      </c>
      <c r="S163" s="59">
        <f ca="1">AVERAGE(OFFSET($R$3,0,0,'Données projet'!$E$9+1,1))-AVERAGE(OFFSET($H$3,0,0,'Données projet'!$E$9+1,1))</f>
        <v>318.50474972254085</v>
      </c>
      <c r="T163" s="59">
        <f t="shared" si="142"/>
        <v>326.45858332753562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19.16549086640088</v>
      </c>
      <c r="AA163" s="21">
        <f>EXP(-LN(2)/25)*AA162+(1-EXP(-LN(2)/25))/(LN(2)/25)*Calculateur!V163*Calculateur!X163*VLOOKUP('Données projet'!$B$9,Paramètres!$A$1:$I$89,3,0)*0.475*44/12</f>
        <v>3.027532360240766</v>
      </c>
      <c r="AB163" s="21">
        <f>EXP(-LN(2)/2)*AB162+(1-EXP(-LN(2)/2))/(LN(2)/2)*V163*Y163*VLOOKUP('Données projet'!$B$9,Paramètres!$A$1:$I$89,3,0)*0.475*44/12</f>
        <v>5.3256459529785521E-14</v>
      </c>
      <c r="AC163" s="22">
        <f t="shared" si="163"/>
        <v>22.193023226641699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1.7053025658242404E-13</v>
      </c>
      <c r="AJ163" s="13">
        <f>AI163*VLOOKUP('Données projet'!$B$10,Paramètres!$A$1:$I$89,3,0)*VLOOKUP('Données projet'!$B$10,Paramètres!$A$1:$I$89,5,0)</f>
        <v>7.9808160080574461E-14</v>
      </c>
      <c r="AK163" s="13">
        <f t="shared" si="164"/>
        <v>1.2308384591775343E-12</v>
      </c>
      <c r="AL163" s="20">
        <f t="shared" si="165"/>
        <v>2.282709528541206E-12</v>
      </c>
      <c r="AM163" s="59">
        <f t="shared" si="113"/>
        <v>287.75907759269063</v>
      </c>
      <c r="AN163" s="59">
        <f ca="1">AVERAGE(OFFSET($AM$3,0,0,'Données projet'!$E$10+1,1))-AVERAGE(OFFSET($H$3,0,0,'Données projet'!$E$10+1,1))</f>
        <v>374.38106339726073</v>
      </c>
      <c r="AO163" s="59">
        <f t="shared" si="144"/>
        <v>296.53283288925957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81.901909299554845</v>
      </c>
      <c r="AV163" s="21">
        <f>EXP(-LN(2)/25)*AV162+(1-EXP(-LN(2)/25))/(LN(2)/25)*Calculateur!AQ163*Calculateur!AS163*VLOOKUP('Données projet'!$B$10,Paramètres!$A$1:$I$89,3,0)*0.475*44/12</f>
        <v>20.099174376353336</v>
      </c>
      <c r="AW163" s="21">
        <f>EXP(-LN(2)/2)*AW162+(1-EXP(-LN(2)/2))/(LN(2)/2)*AQ163*AT163*VLOOKUP('Données projet'!$B$10,Paramètres!$A$1:$I$89,3,0)*0.475*44/12</f>
        <v>1.3987047596692506E-3</v>
      </c>
      <c r="AX163" s="21">
        <f t="shared" si="166"/>
        <v>102.00248238066784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9.4880000000000049</v>
      </c>
      <c r="BD163" s="12">
        <f>IF('Données projet'!$A$88&gt;35,BD162+BC163-BL162,IF(A163&lt;'Données projet'!$A$88,$BA$205^A163,IF(A163='Données projet'!$A$88,'Données projet'!$B$88,BD162+BC163-BL162)))</f>
        <v>542.36800000000119</v>
      </c>
      <c r="BE163" s="13">
        <f>BD163*VLOOKUP('Données projet'!$B$11,Paramètres!$A$1:$I$89,3,0)*VLOOKUP('Données projet'!$B$11,Paramètres!$A$1:$I$89,5,0)</f>
        <v>490.73456640000109</v>
      </c>
      <c r="BF163" s="13">
        <f t="shared" si="167"/>
        <v>109.94719771775897</v>
      </c>
      <c r="BG163" s="20">
        <f t="shared" si="168"/>
        <v>1046.1874058384321</v>
      </c>
      <c r="BH163" s="59">
        <f t="shared" si="116"/>
        <v>1333.9464834311204</v>
      </c>
      <c r="BI163" s="59">
        <f ca="1">AVERAGE(OFFSET($BH$3,0,0,'Données projet'!$E$11+1,1))-AVERAGE(OFFSET($H$3,0,0,'Données projet'!$E$11+1,1))</f>
        <v>681.47578137804555</v>
      </c>
      <c r="BJ163" s="59">
        <f t="shared" si="146"/>
        <v>300.88511065995885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48.077046392201581</v>
      </c>
      <c r="BQ163" s="21">
        <f>EXP(-LN(2)/25)*BQ162+(1-EXP(-LN(2)/25))/(LN(2)/25)*Calculateur!BL163*Calculateur!BN163*VLOOKUP('Données projet'!$B$11,Paramètres!$A$1:$I$89,3,0)*0.475*44/12</f>
        <v>19.386507375884602</v>
      </c>
      <c r="BR163" s="21">
        <f>EXP(-LN(2)/2)*BR162+(1-EXP(-LN(2)/2))/(LN(2)/2)*BL163*BO163*VLOOKUP('Données projet'!$B$11,Paramètres!$A$1:$I$89,3,0)*0.475*44/12</f>
        <v>1.9477769231890232E-5</v>
      </c>
      <c r="BS163" s="22">
        <f t="shared" si="169"/>
        <v>67.463573245855414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8.5265128291212022E-14</v>
      </c>
      <c r="BZ163" s="13">
        <f>BY163*VLOOKUP('Données projet'!$B$12,Paramètres!$A$1:$I$89,3,0)*VLOOKUP('Données projet'!$B$12,Paramètres!$A$1:$I$89,5,0)</f>
        <v>8.9119112089974823E-14</v>
      </c>
      <c r="CA163" s="13">
        <f t="shared" si="170"/>
        <v>1.3568952080113142E-12</v>
      </c>
      <c r="CB163" s="20">
        <f t="shared" si="171"/>
        <v>2.5184749408430782E-12</v>
      </c>
      <c r="CC163" s="59">
        <f t="shared" si="119"/>
        <v>287.75907759269086</v>
      </c>
      <c r="CD163" s="59">
        <f ca="1">AVERAGE(OFFSET($CC$3,0,0,'Données projet'!$E$12+1,1))-AVERAGE(OFFSET($H$3,0,0,'Données projet'!$E$12+1,1))</f>
        <v>290.69667785754848</v>
      </c>
      <c r="CE163" s="59">
        <f t="shared" si="148"/>
        <v>256.28124185489082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5.4243914510266729</v>
      </c>
      <c r="CL163" s="21">
        <f>EXP(-LN(2)/25)*CL162+(1-EXP(-LN(2)/25))/(LN(2)/25)*Calculateur!CG163*Calculateur!CI163*VLOOKUP('Données projet'!$B$12,Paramètres!$A$1:$I$89,3,0)*0.475*44/12</f>
        <v>8.6105456317249178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14.03493708275159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408.246209980743</v>
      </c>
      <c r="CZ163" s="59">
        <f t="shared" si="150"/>
        <v>394.10236303013903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11.705851498894214</v>
      </c>
      <c r="DG163" s="21">
        <f>EXP(-LN(2)/25)*DG162+(1-EXP(-LN(2)/25))/(LN(2)/25)*Calculateur!DB163*Calculateur!DD163*VLOOKUP('Données projet'!$B$13,Paramètres!$A$1:$I$89,3,0)*0.475*44/12</f>
        <v>6.1325375897544161</v>
      </c>
      <c r="DH163" s="21">
        <f>EXP(-LN(2)/2)*DH162+(1-EXP(-LN(2)/2))/(LN(2)/2)*DB163*DE163*VLOOKUP('Données projet'!$B$13,Paramètres!$A$1:$I$89,3,0)*0.475*44/12</f>
        <v>6.2337729630036501E-11</v>
      </c>
      <c r="DI163" s="22">
        <f t="shared" si="175"/>
        <v>17.838389088710969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5.6843418860808015E-13</v>
      </c>
      <c r="DP163" s="17">
        <f>DO163*VLOOKUP('Données projet'!$B$14,Paramètres!$A$1:$I$89,3,0)*VLOOKUP('Données projet'!$B$14,Paramètres!$A$1:$I$89,5,0)</f>
        <v>3.177547114319168E-13</v>
      </c>
      <c r="DQ163" s="13">
        <f t="shared" si="176"/>
        <v>4.1725404435445377E-12</v>
      </c>
      <c r="DR163" s="20">
        <f t="shared" si="177"/>
        <v>7.820597394917325E-12</v>
      </c>
      <c r="DS163" s="59">
        <f t="shared" si="125"/>
        <v>287.7590775926962</v>
      </c>
      <c r="DT163" s="59">
        <f ca="1">AVERAGE(OFFSET($DS$3,0,0,'Données projet'!$E$14+1,1))-AVERAGE(OFFSET($H$3,0,0,'Données projet'!$E$14+1,1))</f>
        <v>407.05634973057056</v>
      </c>
      <c r="DU163" s="59">
        <f t="shared" si="152"/>
        <v>375.32891954889965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38.820592956717803</v>
      </c>
      <c r="EB163" s="21">
        <f>EXP(-LN(2)/25)*EB162+(1-EXP(-LN(2)/25))/(LN(2)/25)*Calculateur!DW163*Calculateur!DY163*VLOOKUP('Données projet'!$B$14,Paramètres!$A$1:$I$89,3,0)*0.475*44/12</f>
        <v>6.3301202650076922</v>
      </c>
      <c r="EC163" s="21">
        <f>EXP(-LN(2)/2)*EC162+(1-EXP(-LN(2)/2))/(LN(2)/2)*DW163*DZ163*VLOOKUP('Données projet'!$B$14,Paramètres!$A$1:$I$89,3,0)*0.475*44/12</f>
        <v>2.1459960726934898E-12</v>
      </c>
      <c r="ED163" s="22">
        <f t="shared" si="178"/>
        <v>45.150713221727642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1.1368683772161603E-13</v>
      </c>
      <c r="EK163" s="17">
        <f>EJ163*VLOOKUP('Données projet'!$B$15,Paramètres!$A$1:$I$89,3,0)*VLOOKUP('Données projet'!$B$15,Paramètres!$A$1:$I$89,5,0)</f>
        <v>5.0249582272954292E-14</v>
      </c>
      <c r="EL163" s="13">
        <f t="shared" si="179"/>
        <v>8.1784820119191593E-13</v>
      </c>
      <c r="EM163" s="20">
        <f t="shared" si="180"/>
        <v>1.5119369728679821E-12</v>
      </c>
      <c r="EN163" s="59">
        <f t="shared" si="128"/>
        <v>287.75907759268989</v>
      </c>
      <c r="EO163" s="59">
        <f ca="1">AVERAGE(OFFSET($EN$3,0,0,'Données projet'!$E$15+1,1))-AVERAGE(OFFSET($H$3,0,0,'Données projet'!$E$15+1,1))</f>
        <v>418.28022549686278</v>
      </c>
      <c r="EP163" s="59">
        <f t="shared" si="154"/>
        <v>354.55070454517158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42.377218063337594</v>
      </c>
      <c r="EW163" s="21">
        <f>EXP(-LN(2)/25)*EW162+(1-EXP(-LN(2)/25))/(LN(2)/25)*Calculateur!ER163*Calculateur!ET163*VLOOKUP('Données projet'!$B$15,Paramètres!$A$1:$I$89,3,0)*0.475*44/12</f>
        <v>7.8236294820051455</v>
      </c>
      <c r="EX163" s="21">
        <f>EXP(-LN(2)/2)*EX162+(1-EXP(-LN(2)/2))/(LN(2)/2)*ER163*EU163*VLOOKUP('Données projet'!$B$15,Paramètres!$A$1:$I$89,3,0)*0.475*44/12</f>
        <v>7.1489822556327873E-11</v>
      </c>
      <c r="EY163" s="22">
        <f t="shared" si="181"/>
        <v>50.200847545414227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7.6783333333333319</v>
      </c>
      <c r="FE163" s="12">
        <f>IF('Données projet'!$A$218&gt;35,FE162+FD163-FM162,IF(A163&lt;'Données projet'!$A$218,$FB$205^A163,IF(A163='Données projet'!$A$218,'Données projet'!$B$218,FE162+FD163-FM162)))</f>
        <v>374.22333333333296</v>
      </c>
      <c r="FF163" s="17">
        <f>FE163*VLOOKUP('Données projet'!$B$16,Paramètres!$A$1:$I$89,3,0)*VLOOKUP('Données projet'!$B$16,Paramètres!$A$1:$I$89,5,0)</f>
        <v>426.16553199999959</v>
      </c>
      <c r="FG163" s="13">
        <f t="shared" si="182"/>
        <v>97.061605249450551</v>
      </c>
      <c r="FH163" s="20">
        <f t="shared" si="183"/>
        <v>911.28726404279223</v>
      </c>
      <c r="FI163" s="59">
        <f t="shared" si="131"/>
        <v>1199.0463416354805</v>
      </c>
      <c r="FJ163" s="59">
        <f ca="1">AVERAGE(OFFSET($FI$3,0,0,'Données projet'!$E$16+1,1))-AVERAGE(OFFSET($H$3,0,0,'Données projet'!$E$16+1,1))</f>
        <v>640.05156427113661</v>
      </c>
      <c r="FK163" s="59">
        <f t="shared" si="156"/>
        <v>308.77220155372902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43.650873028039207</v>
      </c>
      <c r="FR163" s="21">
        <f>EXP(-LN(2)/25)*FR162+(1-EXP(-LN(2)/25))/(LN(2)/25)*Calculateur!FM163*Calculateur!FO163*VLOOKUP('Données projet'!$B$16,Paramètres!$A$1:$I$89,3,0)*0.475*44/12</f>
        <v>22.980028978645652</v>
      </c>
      <c r="FS163" s="21">
        <f>EXP(-LN(2)/2)*FS162+(1-EXP(-LN(2)/2))/(LN(2)/2)*FM163*FP163*VLOOKUP('Données projet'!$B$16,Paramètres!$A$1:$I$89,3,0)*0.475*44/12</f>
        <v>2.5911227455865857E-2</v>
      </c>
      <c r="FT163" s="22">
        <f t="shared" si="184"/>
        <v>66.656813234140728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287.85577846762169</v>
      </c>
      <c r="S164" s="59">
        <f ca="1">AVERAGE(OFFSET($R$3,0,0,'Données projet'!$E$9+1,1))-AVERAGE(OFFSET($H$3,0,0,'Données projet'!$E$9+1,1))</f>
        <v>318.50474972254085</v>
      </c>
      <c r="T164" s="59">
        <f t="shared" si="142"/>
        <v>326.45858332753562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18.789667280305917</v>
      </c>
      <c r="AA164" s="21">
        <f>EXP(-LN(2)/25)*AA163+(1-EXP(-LN(2)/25))/(LN(2)/25)*Calculateur!V164*Calculateur!X164*VLOOKUP('Données projet'!$B$9,Paramètres!$A$1:$I$89,3,0)*0.475*44/12</f>
        <v>2.9447443286389747</v>
      </c>
      <c r="AB164" s="21">
        <f>EXP(-LN(2)/2)*AB163+(1-EXP(-LN(2)/2))/(LN(2)/2)*V164*Y164*VLOOKUP('Données projet'!$B$9,Paramètres!$A$1:$I$89,3,0)*0.475*44/12</f>
        <v>3.7658003675498274E-14</v>
      </c>
      <c r="AC164" s="22">
        <f t="shared" si="163"/>
        <v>21.734411608944932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1.7053025658242404E-13</v>
      </c>
      <c r="AJ164" s="13">
        <f>AI164*VLOOKUP('Données projet'!$B$10,Paramètres!$A$1:$I$89,3,0)*VLOOKUP('Données projet'!$B$10,Paramètres!$A$1:$I$89,5,0)</f>
        <v>7.9808160080574461E-14</v>
      </c>
      <c r="AK164" s="13">
        <f t="shared" si="164"/>
        <v>1.2308384591775343E-12</v>
      </c>
      <c r="AL164" s="20">
        <f t="shared" si="165"/>
        <v>2.282709528541206E-12</v>
      </c>
      <c r="AM164" s="59">
        <f t="shared" si="113"/>
        <v>287.85577846762197</v>
      </c>
      <c r="AN164" s="59">
        <f ca="1">AVERAGE(OFFSET($AM$3,0,0,'Données projet'!$E$10+1,1))-AVERAGE(OFFSET($H$3,0,0,'Données projet'!$E$10+1,1))</f>
        <v>374.38106339726073</v>
      </c>
      <c r="AO164" s="59">
        <f t="shared" si="144"/>
        <v>296.53283288925957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80.295862813422573</v>
      </c>
      <c r="AV164" s="21">
        <f>EXP(-LN(2)/25)*AV163+(1-EXP(-LN(2)/25))/(LN(2)/25)*Calculateur!AQ164*Calculateur!AS164*VLOOKUP('Données projet'!$B$10,Paramètres!$A$1:$I$89,3,0)*0.475*44/12</f>
        <v>19.549561396062309</v>
      </c>
      <c r="AW164" s="21">
        <f>EXP(-LN(2)/2)*AW163+(1-EXP(-LN(2)/2))/(LN(2)/2)*AQ164*AT164*VLOOKUP('Données projet'!$B$10,Paramètres!$A$1:$I$89,3,0)*0.475*44/12</f>
        <v>9.8903362044002732E-4</v>
      </c>
      <c r="AX164" s="21">
        <f t="shared" si="166"/>
        <v>99.846413243105332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9.4880000000000049</v>
      </c>
      <c r="BD164" s="12">
        <f>IF('Données projet'!$A$88&gt;35,BD163+BC164-BL163,IF(A164&lt;'Données projet'!$A$88,$BA$205^A164,IF(A164='Données projet'!$A$88,'Données projet'!$B$88,BD163+BC164-BL163)))</f>
        <v>551.85600000000125</v>
      </c>
      <c r="BE164" s="13">
        <f>BD164*VLOOKUP('Données projet'!$B$11,Paramètres!$A$1:$I$89,3,0)*VLOOKUP('Données projet'!$B$11,Paramètres!$A$1:$I$89,5,0)</f>
        <v>499.31930880000107</v>
      </c>
      <c r="BF164" s="13">
        <f t="shared" si="167"/>
        <v>111.64497591125094</v>
      </c>
      <c r="BG164" s="20">
        <f t="shared" si="168"/>
        <v>1064.0961292054305</v>
      </c>
      <c r="BH164" s="59">
        <f t="shared" si="116"/>
        <v>1351.9519076730503</v>
      </c>
      <c r="BI164" s="59">
        <f ca="1">AVERAGE(OFFSET($BH$3,0,0,'Données projet'!$E$11+1,1))-AVERAGE(OFFSET($H$3,0,0,'Données projet'!$E$11+1,1))</f>
        <v>681.47578137804555</v>
      </c>
      <c r="BJ164" s="59">
        <f t="shared" si="146"/>
        <v>300.88511065995885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47.134284836553292</v>
      </c>
      <c r="BQ164" s="21">
        <f>EXP(-LN(2)/25)*BQ163+(1-EXP(-LN(2)/25))/(LN(2)/25)*Calculateur!BL164*Calculateur!BN164*VLOOKUP('Données projet'!$B$11,Paramètres!$A$1:$I$89,3,0)*0.475*44/12</f>
        <v>18.856382312198924</v>
      </c>
      <c r="BR164" s="21">
        <f>EXP(-LN(2)/2)*BR163+(1-EXP(-LN(2)/2))/(LN(2)/2)*BL164*BO164*VLOOKUP('Données projet'!$B$11,Paramètres!$A$1:$I$89,3,0)*0.475*44/12</f>
        <v>1.3772862706256274E-5</v>
      </c>
      <c r="BS164" s="22">
        <f t="shared" si="169"/>
        <v>65.99068092161491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8.5265128291212022E-14</v>
      </c>
      <c r="BZ164" s="13">
        <f>BY164*VLOOKUP('Données projet'!$B$12,Paramètres!$A$1:$I$89,3,0)*VLOOKUP('Données projet'!$B$12,Paramètres!$A$1:$I$89,5,0)</f>
        <v>8.9119112089974823E-14</v>
      </c>
      <c r="CA164" s="13">
        <f t="shared" si="170"/>
        <v>1.3568952080113142E-12</v>
      </c>
      <c r="CB164" s="20">
        <f t="shared" si="171"/>
        <v>2.5184749408430782E-12</v>
      </c>
      <c r="CC164" s="59">
        <f t="shared" si="119"/>
        <v>287.8557784676222</v>
      </c>
      <c r="CD164" s="59">
        <f ca="1">AVERAGE(OFFSET($CC$3,0,0,'Données projet'!$E$12+1,1))-AVERAGE(OFFSET($H$3,0,0,'Données projet'!$E$12+1,1))</f>
        <v>290.69667785754848</v>
      </c>
      <c r="CE164" s="59">
        <f t="shared" si="148"/>
        <v>256.28124185489082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5.318022443224133</v>
      </c>
      <c r="CL164" s="21">
        <f>EXP(-LN(2)/25)*CL163+(1-EXP(-LN(2)/25))/(LN(2)/25)*Calculateur!CG164*Calculateur!CI164*VLOOKUP('Données projet'!$B$12,Paramètres!$A$1:$I$89,3,0)*0.475*44/12</f>
        <v>8.3750898086164849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13.693112251840617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408.246209980743</v>
      </c>
      <c r="CZ164" s="59">
        <f t="shared" si="150"/>
        <v>394.10236303013903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11.47630689086531</v>
      </c>
      <c r="DG164" s="21">
        <f>EXP(-LN(2)/25)*DG163+(1-EXP(-LN(2)/25))/(LN(2)/25)*Calculateur!DB164*Calculateur!DD164*VLOOKUP('Données projet'!$B$13,Paramètres!$A$1:$I$89,3,0)*0.475*44/12</f>
        <v>5.9648430268664461</v>
      </c>
      <c r="DH164" s="21">
        <f>EXP(-LN(2)/2)*DH163+(1-EXP(-LN(2)/2))/(LN(2)/2)*DB164*DE164*VLOOKUP('Données projet'!$B$13,Paramètres!$A$1:$I$89,3,0)*0.475*44/12</f>
        <v>4.4079431345172381E-11</v>
      </c>
      <c r="DI164" s="22">
        <f t="shared" si="175"/>
        <v>17.441149917775835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5.6843418860808015E-13</v>
      </c>
      <c r="DP164" s="17">
        <f>DO164*VLOOKUP('Données projet'!$B$14,Paramètres!$A$1:$I$89,3,0)*VLOOKUP('Données projet'!$B$14,Paramètres!$A$1:$I$89,5,0)</f>
        <v>3.177547114319168E-13</v>
      </c>
      <c r="DQ164" s="13">
        <f t="shared" si="176"/>
        <v>4.1725404435445377E-12</v>
      </c>
      <c r="DR164" s="20">
        <f t="shared" si="177"/>
        <v>7.820597394917325E-12</v>
      </c>
      <c r="DS164" s="59">
        <f t="shared" si="125"/>
        <v>287.85577846762754</v>
      </c>
      <c r="DT164" s="59">
        <f ca="1">AVERAGE(OFFSET($DS$3,0,0,'Données projet'!$E$14+1,1))-AVERAGE(OFFSET($H$3,0,0,'Données projet'!$E$14+1,1))</f>
        <v>407.05634973057056</v>
      </c>
      <c r="DU164" s="59">
        <f t="shared" si="152"/>
        <v>375.32891954889965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38.059344807060242</v>
      </c>
      <c r="EB164" s="21">
        <f>EXP(-LN(2)/25)*EB163+(1-EXP(-LN(2)/25))/(LN(2)/25)*Calculateur!DW164*Calculateur!DY164*VLOOKUP('Données projet'!$B$14,Paramètres!$A$1:$I$89,3,0)*0.475*44/12</f>
        <v>6.1570227934744999</v>
      </c>
      <c r="EC164" s="21">
        <f>EXP(-LN(2)/2)*EC163+(1-EXP(-LN(2)/2))/(LN(2)/2)*DW164*DZ164*VLOOKUP('Données projet'!$B$14,Paramètres!$A$1:$I$89,3,0)*0.475*44/12</f>
        <v>1.5174483754012658E-12</v>
      </c>
      <c r="ED164" s="22">
        <f t="shared" si="178"/>
        <v>44.216367600536259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1.1368683772161603E-13</v>
      </c>
      <c r="EK164" s="17">
        <f>EJ164*VLOOKUP('Données projet'!$B$15,Paramètres!$A$1:$I$89,3,0)*VLOOKUP('Données projet'!$B$15,Paramètres!$A$1:$I$89,5,0)</f>
        <v>5.0249582272954292E-14</v>
      </c>
      <c r="EL164" s="13">
        <f t="shared" si="179"/>
        <v>8.1784820119191593E-13</v>
      </c>
      <c r="EM164" s="20">
        <f t="shared" si="180"/>
        <v>1.5119369728679821E-12</v>
      </c>
      <c r="EN164" s="59">
        <f t="shared" si="128"/>
        <v>287.85577846762123</v>
      </c>
      <c r="EO164" s="59">
        <f ca="1">AVERAGE(OFFSET($EN$3,0,0,'Données projet'!$E$15+1,1))-AVERAGE(OFFSET($H$3,0,0,'Données projet'!$E$15+1,1))</f>
        <v>418.28022549686278</v>
      </c>
      <c r="EP164" s="59">
        <f t="shared" si="154"/>
        <v>354.55070454517158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41.546226664666328</v>
      </c>
      <c r="EW164" s="21">
        <f>EXP(-LN(2)/25)*EW163+(1-EXP(-LN(2)/25))/(LN(2)/25)*Calculateur!ER164*Calculateur!ET164*VLOOKUP('Données projet'!$B$15,Paramètres!$A$1:$I$89,3,0)*0.475*44/12</f>
        <v>7.6096919223929218</v>
      </c>
      <c r="EX164" s="21">
        <f>EXP(-LN(2)/2)*EX163+(1-EXP(-LN(2)/2))/(LN(2)/2)*ER164*EU164*VLOOKUP('Données projet'!$B$15,Paramètres!$A$1:$I$89,3,0)*0.475*44/12</f>
        <v>5.0550938315402444E-11</v>
      </c>
      <c r="EY164" s="22">
        <f t="shared" si="181"/>
        <v>49.155918587109795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7.6783333333333319</v>
      </c>
      <c r="FE164" s="12">
        <f>IF('Données projet'!$A$218&gt;35,FE163+FD164-FM163,IF(A164&lt;'Données projet'!$A$218,$FB$205^A164,IF(A164='Données projet'!$A$218,'Données projet'!$B$218,FE163+FD164-FM163)))</f>
        <v>381.9016666666663</v>
      </c>
      <c r="FF164" s="17">
        <f>FE164*VLOOKUP('Données projet'!$B$16,Paramètres!$A$1:$I$89,3,0)*VLOOKUP('Données projet'!$B$16,Paramètres!$A$1:$I$89,5,0)</f>
        <v>434.90961799999963</v>
      </c>
      <c r="FG164" s="13">
        <f t="shared" si="182"/>
        <v>98.819222372764287</v>
      </c>
      <c r="FH164" s="20">
        <f t="shared" si="183"/>
        <v>929.57773031589704</v>
      </c>
      <c r="FI164" s="59">
        <f t="shared" si="131"/>
        <v>1217.4335087835168</v>
      </c>
      <c r="FJ164" s="59">
        <f ca="1">AVERAGE(OFFSET($FI$3,0,0,'Données projet'!$E$16+1,1))-AVERAGE(OFFSET($H$3,0,0,'Données projet'!$E$16+1,1))</f>
        <v>640.05156427113661</v>
      </c>
      <c r="FK164" s="59">
        <f t="shared" si="156"/>
        <v>308.77220155372902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42.794906032362967</v>
      </c>
      <c r="FR164" s="21">
        <f>EXP(-LN(2)/25)*FR163+(1-EXP(-LN(2)/25))/(LN(2)/25)*Calculateur!FM164*Calculateur!FO164*VLOOKUP('Données projet'!$B$16,Paramètres!$A$1:$I$89,3,0)*0.475*44/12</f>
        <v>22.351638877757384</v>
      </c>
      <c r="FS164" s="21">
        <f>EXP(-LN(2)/2)*FS163+(1-EXP(-LN(2)/2))/(LN(2)/2)*FM164*FP164*VLOOKUP('Données projet'!$B$16,Paramètres!$A$1:$I$89,3,0)*0.475*44/12</f>
        <v>1.8322004642909801E-2</v>
      </c>
      <c r="FT164" s="22">
        <f t="shared" si="184"/>
        <v>65.164866914763266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287.9508017985637</v>
      </c>
      <c r="S165" s="59">
        <f ca="1">AVERAGE(OFFSET($R$3,0,0,'Données projet'!$E$9+1,1))-AVERAGE(OFFSET($H$3,0,0,'Données projet'!$E$9+1,1))</f>
        <v>318.50474972254085</v>
      </c>
      <c r="T165" s="59">
        <f t="shared" si="142"/>
        <v>326.45858332753562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18.421213365504521</v>
      </c>
      <c r="AA165" s="21">
        <f>EXP(-LN(2)/25)*AA164+(1-EXP(-LN(2)/25))/(LN(2)/25)*Calculateur!V165*Calculateur!X165*VLOOKUP('Données projet'!$B$9,Paramètres!$A$1:$I$89,3,0)*0.475*44/12</f>
        <v>2.8642201401149681</v>
      </c>
      <c r="AB165" s="21">
        <f>EXP(-LN(2)/2)*AB164+(1-EXP(-LN(2)/2))/(LN(2)/2)*V165*Y165*VLOOKUP('Données projet'!$B$9,Paramètres!$A$1:$I$89,3,0)*0.475*44/12</f>
        <v>2.6628229764892761E-14</v>
      </c>
      <c r="AC165" s="22">
        <f t="shared" si="163"/>
        <v>21.285433505619512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1.7053025658242404E-13</v>
      </c>
      <c r="AJ165" s="13">
        <f>AI165*VLOOKUP('Données projet'!$B$10,Paramètres!$A$1:$I$89,3,0)*VLOOKUP('Données projet'!$B$10,Paramètres!$A$1:$I$89,5,0)</f>
        <v>7.9808160080574461E-14</v>
      </c>
      <c r="AK165" s="13">
        <f t="shared" si="164"/>
        <v>1.2308384591775343E-12</v>
      </c>
      <c r="AL165" s="20">
        <f t="shared" si="165"/>
        <v>2.282709528541206E-12</v>
      </c>
      <c r="AM165" s="59">
        <f t="shared" si="113"/>
        <v>287.95080179856399</v>
      </c>
      <c r="AN165" s="59">
        <f ca="1">AVERAGE(OFFSET($AM$3,0,0,'Données projet'!$E$10+1,1))-AVERAGE(OFFSET($H$3,0,0,'Données projet'!$E$10+1,1))</f>
        <v>374.38106339726073</v>
      </c>
      <c r="AO165" s="59">
        <f t="shared" si="144"/>
        <v>296.53283288925957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78.721309919291727</v>
      </c>
      <c r="AV165" s="21">
        <f>EXP(-LN(2)/25)*AV164+(1-EXP(-LN(2)/25))/(LN(2)/25)*Calculateur!AQ165*Calculateur!AS165*VLOOKUP('Données projet'!$B$10,Paramètres!$A$1:$I$89,3,0)*0.475*44/12</f>
        <v>19.014977611620232</v>
      </c>
      <c r="AW165" s="21">
        <f>EXP(-LN(2)/2)*AW164+(1-EXP(-LN(2)/2))/(LN(2)/2)*AQ165*AT165*VLOOKUP('Données projet'!$B$10,Paramètres!$A$1:$I$89,3,0)*0.475*44/12</f>
        <v>6.9935237983462532E-4</v>
      </c>
      <c r="AX165" s="21">
        <f t="shared" si="166"/>
        <v>97.736986883291806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9.4880000000000049</v>
      </c>
      <c r="BD165" s="12">
        <f>IF('Données projet'!$A$88&gt;35,BD164+BC165-BL164,IF(A165&lt;'Données projet'!$A$88,$BA$205^A165,IF(A165='Données projet'!$A$88,'Données projet'!$B$88,BD164+BC165-BL164)))</f>
        <v>561.3440000000013</v>
      </c>
      <c r="BE165" s="13">
        <f>BD165*VLOOKUP('Données projet'!$B$11,Paramètres!$A$1:$I$89,3,0)*VLOOKUP('Données projet'!$B$11,Paramètres!$A$1:$I$89,5,0)</f>
        <v>507.90405120000116</v>
      </c>
      <c r="BF165" s="13">
        <f t="shared" si="167"/>
        <v>113.33935964263163</v>
      </c>
      <c r="BG165" s="20">
        <f t="shared" si="168"/>
        <v>1081.9989405509189</v>
      </c>
      <c r="BH165" s="59">
        <f t="shared" si="116"/>
        <v>1369.9497423494806</v>
      </c>
      <c r="BI165" s="59">
        <f ca="1">AVERAGE(OFFSET($BH$3,0,0,'Données projet'!$E$11+1,1))-AVERAGE(OFFSET($H$3,0,0,'Données projet'!$E$11+1,1))</f>
        <v>681.47578137804555</v>
      </c>
      <c r="BJ165" s="59">
        <f t="shared" si="146"/>
        <v>300.88511065995885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46.210010259983498</v>
      </c>
      <c r="BQ165" s="21">
        <f>EXP(-LN(2)/25)*BQ164+(1-EXP(-LN(2)/25))/(LN(2)/25)*Calculateur!BL165*Calculateur!BN165*VLOOKUP('Données projet'!$B$11,Paramètres!$A$1:$I$89,3,0)*0.475*44/12</f>
        <v>18.340753546257798</v>
      </c>
      <c r="BR165" s="21">
        <f>EXP(-LN(2)/2)*BR164+(1-EXP(-LN(2)/2))/(LN(2)/2)*BL165*BO165*VLOOKUP('Données projet'!$B$11,Paramètres!$A$1:$I$89,3,0)*0.475*44/12</f>
        <v>9.7388846159451158E-6</v>
      </c>
      <c r="BS165" s="22">
        <f t="shared" si="169"/>
        <v>64.550773545125907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8.5265128291212022E-14</v>
      </c>
      <c r="BZ165" s="13">
        <f>BY165*VLOOKUP('Données projet'!$B$12,Paramètres!$A$1:$I$89,3,0)*VLOOKUP('Données projet'!$B$12,Paramètres!$A$1:$I$89,5,0)</f>
        <v>8.9119112089974823E-14</v>
      </c>
      <c r="CA165" s="13">
        <f t="shared" si="170"/>
        <v>1.3568952080113142E-12</v>
      </c>
      <c r="CB165" s="20">
        <f t="shared" si="171"/>
        <v>2.5184749408430782E-12</v>
      </c>
      <c r="CC165" s="59">
        <f t="shared" si="119"/>
        <v>287.95080179856421</v>
      </c>
      <c r="CD165" s="59">
        <f ca="1">AVERAGE(OFFSET($CC$3,0,0,'Données projet'!$E$12+1,1))-AVERAGE(OFFSET($H$3,0,0,'Données projet'!$E$12+1,1))</f>
        <v>290.69667785754848</v>
      </c>
      <c r="CE165" s="59">
        <f t="shared" si="148"/>
        <v>256.28124185489082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5.2137392667859119</v>
      </c>
      <c r="CL165" s="21">
        <f>EXP(-LN(2)/25)*CL164+(1-EXP(-LN(2)/25))/(LN(2)/25)*Calculateur!CG165*Calculateur!CI165*VLOOKUP('Données projet'!$B$12,Paramètres!$A$1:$I$89,3,0)*0.475*44/12</f>
        <v>8.1460725373730352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13.359811804158948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408.246209980743</v>
      </c>
      <c r="CZ165" s="59">
        <f t="shared" si="150"/>
        <v>394.10236303013903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11.251263512591466</v>
      </c>
      <c r="DG165" s="21">
        <f>EXP(-LN(2)/25)*DG164+(1-EXP(-LN(2)/25))/(LN(2)/25)*Calculateur!DB165*Calculateur!DD165*VLOOKUP('Données projet'!$B$13,Paramètres!$A$1:$I$89,3,0)*0.475*44/12</f>
        <v>5.8017340806193207</v>
      </c>
      <c r="DH165" s="21">
        <f>EXP(-LN(2)/2)*DH164+(1-EXP(-LN(2)/2))/(LN(2)/2)*DB165*DE165*VLOOKUP('Données projet'!$B$13,Paramètres!$A$1:$I$89,3,0)*0.475*44/12</f>
        <v>3.116886481501825E-11</v>
      </c>
      <c r="DI165" s="22">
        <f t="shared" si="175"/>
        <v>17.052997593241955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5.6843418860808015E-13</v>
      </c>
      <c r="DP165" s="17">
        <f>DO165*VLOOKUP('Données projet'!$B$14,Paramètres!$A$1:$I$89,3,0)*VLOOKUP('Données projet'!$B$14,Paramètres!$A$1:$I$89,5,0)</f>
        <v>3.177547114319168E-13</v>
      </c>
      <c r="DQ165" s="13">
        <f t="shared" si="176"/>
        <v>4.1725404435445377E-12</v>
      </c>
      <c r="DR165" s="20">
        <f t="shared" si="177"/>
        <v>7.820597394917325E-12</v>
      </c>
      <c r="DS165" s="59">
        <f t="shared" si="125"/>
        <v>287.95080179856956</v>
      </c>
      <c r="DT165" s="59">
        <f ca="1">AVERAGE(OFFSET($DS$3,0,0,'Données projet'!$E$14+1,1))-AVERAGE(OFFSET($H$3,0,0,'Données projet'!$E$14+1,1))</f>
        <v>407.05634973057056</v>
      </c>
      <c r="DU165" s="59">
        <f t="shared" si="152"/>
        <v>375.32891954889965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37.313024269301941</v>
      </c>
      <c r="EB165" s="21">
        <f>EXP(-LN(2)/25)*EB164+(1-EXP(-LN(2)/25))/(LN(2)/25)*Calculateur!DW165*Calculateur!DY165*VLOOKUP('Données projet'!$B$14,Paramètres!$A$1:$I$89,3,0)*0.475*44/12</f>
        <v>5.9886586814031828</v>
      </c>
      <c r="EC165" s="21">
        <f>EXP(-LN(2)/2)*EC164+(1-EXP(-LN(2)/2))/(LN(2)/2)*DW165*DZ165*VLOOKUP('Données projet'!$B$14,Paramètres!$A$1:$I$89,3,0)*0.475*44/12</f>
        <v>1.0729980363467449E-12</v>
      </c>
      <c r="ED165" s="22">
        <f t="shared" si="178"/>
        <v>43.301682950706194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1.1368683772161603E-13</v>
      </c>
      <c r="EK165" s="17">
        <f>EJ165*VLOOKUP('Données projet'!$B$15,Paramètres!$A$1:$I$89,3,0)*VLOOKUP('Données projet'!$B$15,Paramètres!$A$1:$I$89,5,0)</f>
        <v>5.0249582272954292E-14</v>
      </c>
      <c r="EL165" s="13">
        <f t="shared" si="179"/>
        <v>8.1784820119191593E-13</v>
      </c>
      <c r="EM165" s="20">
        <f t="shared" si="180"/>
        <v>1.5119369728679821E-12</v>
      </c>
      <c r="EN165" s="59">
        <f t="shared" si="128"/>
        <v>287.95080179856325</v>
      </c>
      <c r="EO165" s="59">
        <f ca="1">AVERAGE(OFFSET($EN$3,0,0,'Données projet'!$E$15+1,1))-AVERAGE(OFFSET($H$3,0,0,'Données projet'!$E$15+1,1))</f>
        <v>418.28022549686278</v>
      </c>
      <c r="EP165" s="59">
        <f t="shared" si="154"/>
        <v>354.55070454517158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40.731530500468303</v>
      </c>
      <c r="EW165" s="21">
        <f>EXP(-LN(2)/25)*EW164+(1-EXP(-LN(2)/25))/(LN(2)/25)*Calculateur!ER165*Calculateur!ET165*VLOOKUP('Données projet'!$B$15,Paramètres!$A$1:$I$89,3,0)*0.475*44/12</f>
        <v>7.4016044965987815</v>
      </c>
      <c r="EX165" s="21">
        <f>EXP(-LN(2)/2)*EX164+(1-EXP(-LN(2)/2))/(LN(2)/2)*ER165*EU165*VLOOKUP('Données projet'!$B$15,Paramètres!$A$1:$I$89,3,0)*0.475*44/12</f>
        <v>3.5744911278163936E-11</v>
      </c>
      <c r="EY165" s="22">
        <f t="shared" si="181"/>
        <v>48.133134997102829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7.6783333333333319</v>
      </c>
      <c r="FE165" s="12">
        <f>IF('Données projet'!$A$218&gt;35,FE164+FD165-FM164,IF(A165&lt;'Données projet'!$A$218,$FB$205^A165,IF(A165='Données projet'!$A$218,'Données projet'!$B$218,FE164+FD165-FM164)))</f>
        <v>389.57999999999964</v>
      </c>
      <c r="FF165" s="17">
        <f>FE165*VLOOKUP('Données projet'!$B$16,Paramètres!$A$1:$I$89,3,0)*VLOOKUP('Données projet'!$B$16,Paramètres!$A$1:$I$89,5,0)</f>
        <v>443.65370399999966</v>
      </c>
      <c r="FG165" s="13">
        <f t="shared" si="182"/>
        <v>100.57273069130399</v>
      </c>
      <c r="FH165" s="20">
        <f t="shared" si="183"/>
        <v>947.86104042068712</v>
      </c>
      <c r="FI165" s="59">
        <f t="shared" si="131"/>
        <v>1235.8118422192488</v>
      </c>
      <c r="FJ165" s="59">
        <f ca="1">AVERAGE(OFFSET($FI$3,0,0,'Données projet'!$E$16+1,1))-AVERAGE(OFFSET($H$3,0,0,'Données projet'!$E$16+1,1))</f>
        <v>640.05156427113661</v>
      </c>
      <c r="FK165" s="59">
        <f t="shared" si="156"/>
        <v>308.77220155372902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41.955724027383617</v>
      </c>
      <c r="FR165" s="21">
        <f>EXP(-LN(2)/25)*FR164+(1-EXP(-LN(2)/25))/(LN(2)/25)*Calculateur!FM165*Calculateur!FO165*VLOOKUP('Données projet'!$B$16,Paramètres!$A$1:$I$89,3,0)*0.475*44/12</f>
        <v>21.740432137223504</v>
      </c>
      <c r="FS165" s="21">
        <f>EXP(-LN(2)/2)*FS164+(1-EXP(-LN(2)/2))/(LN(2)/2)*FM165*FP165*VLOOKUP('Données projet'!$B$16,Paramètres!$A$1:$I$89,3,0)*0.475*44/12</f>
        <v>1.2955613727932929E-2</v>
      </c>
      <c r="FT165" s="22">
        <f t="shared" si="184"/>
        <v>63.70911177833505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288.04417668715422</v>
      </c>
      <c r="S166" s="59">
        <f ca="1">AVERAGE(OFFSET($R$3,0,0,'Données projet'!$E$9+1,1))-AVERAGE(OFFSET($H$3,0,0,'Données projet'!$E$9+1,1))</f>
        <v>318.50474972254085</v>
      </c>
      <c r="T166" s="59">
        <f t="shared" si="142"/>
        <v>326.45858332753562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18.059984607237684</v>
      </c>
      <c r="AA166" s="21">
        <f>EXP(-LN(2)/25)*AA165+(1-EXP(-LN(2)/25))/(LN(2)/25)*Calculateur!V166*Calculateur!X166*VLOOKUP('Données projet'!$B$9,Paramètres!$A$1:$I$89,3,0)*0.475*44/12</f>
        <v>2.7858978897607334</v>
      </c>
      <c r="AB166" s="21">
        <f>EXP(-LN(2)/2)*AB165+(1-EXP(-LN(2)/2))/(LN(2)/2)*V166*Y166*VLOOKUP('Données projet'!$B$9,Paramètres!$A$1:$I$89,3,0)*0.475*44/12</f>
        <v>1.8829001837749137E-14</v>
      </c>
      <c r="AC166" s="22">
        <f t="shared" si="163"/>
        <v>20.845882496998435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1.7053025658242404E-13</v>
      </c>
      <c r="AJ166" s="13">
        <f>AI166*VLOOKUP('Données projet'!$B$10,Paramètres!$A$1:$I$89,3,0)*VLOOKUP('Données projet'!$B$10,Paramètres!$A$1:$I$89,5,0)</f>
        <v>7.9808160080574461E-14</v>
      </c>
      <c r="AK166" s="13">
        <f t="shared" si="164"/>
        <v>1.2308384591775343E-12</v>
      </c>
      <c r="AL166" s="20">
        <f t="shared" si="165"/>
        <v>2.282709528541206E-12</v>
      </c>
      <c r="AM166" s="59">
        <f t="shared" si="113"/>
        <v>288.0441766871545</v>
      </c>
      <c r="AN166" s="59">
        <f ca="1">AVERAGE(OFFSET($AM$3,0,0,'Données projet'!$E$10+1,1))-AVERAGE(OFFSET($H$3,0,0,'Données projet'!$E$10+1,1))</f>
        <v>374.38106339726073</v>
      </c>
      <c r="AO166" s="59">
        <f t="shared" si="144"/>
        <v>296.53283288925957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77.177633047032359</v>
      </c>
      <c r="AV166" s="21">
        <f>EXP(-LN(2)/25)*AV165+(1-EXP(-LN(2)/25))/(LN(2)/25)*Calculateur!AQ166*Calculateur!AS166*VLOOKUP('Données projet'!$B$10,Paramètres!$A$1:$I$89,3,0)*0.475*44/12</f>
        <v>18.495012048876262</v>
      </c>
      <c r="AW166" s="21">
        <f>EXP(-LN(2)/2)*AW165+(1-EXP(-LN(2)/2))/(LN(2)/2)*AQ166*AT166*VLOOKUP('Données projet'!$B$10,Paramètres!$A$1:$I$89,3,0)*0.475*44/12</f>
        <v>4.9451681022001366E-4</v>
      </c>
      <c r="AX166" s="21">
        <f t="shared" si="166"/>
        <v>95.673139612718842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9.4880000000000049</v>
      </c>
      <c r="BD166" s="12">
        <f>IF('Données projet'!$A$88&gt;35,BD165+BC166-BL165,IF(A166&lt;'Données projet'!$A$88,$BA$205^A166,IF(A166='Données projet'!$A$88,'Données projet'!$B$88,BD165+BC166-BL165)))</f>
        <v>570.83200000000136</v>
      </c>
      <c r="BE166" s="13">
        <f>BD166*VLOOKUP('Données projet'!$B$11,Paramètres!$A$1:$I$89,3,0)*VLOOKUP('Données projet'!$B$11,Paramètres!$A$1:$I$89,5,0)</f>
        <v>516.48879360000115</v>
      </c>
      <c r="BF166" s="13">
        <f t="shared" si="167"/>
        <v>115.03041290761819</v>
      </c>
      <c r="BG166" s="20">
        <f t="shared" si="168"/>
        <v>1099.8959513341035</v>
      </c>
      <c r="BH166" s="59">
        <f t="shared" si="116"/>
        <v>1387.9401280212558</v>
      </c>
      <c r="BI166" s="59">
        <f ca="1">AVERAGE(OFFSET($BH$3,0,0,'Données projet'!$E$11+1,1))-AVERAGE(OFFSET($H$3,0,0,'Données projet'!$E$11+1,1))</f>
        <v>681.47578137804555</v>
      </c>
      <c r="BJ166" s="59">
        <f t="shared" si="146"/>
        <v>300.88511065995885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45.303860144108413</v>
      </c>
      <c r="BQ166" s="21">
        <f>EXP(-LN(2)/25)*BQ165+(1-EXP(-LN(2)/25))/(LN(2)/25)*Calculateur!BL166*Calculateur!BN166*VLOOKUP('Données projet'!$B$11,Paramètres!$A$1:$I$89,3,0)*0.475*44/12</f>
        <v>17.839224676037066</v>
      </c>
      <c r="BR166" s="21">
        <f>EXP(-LN(2)/2)*BR165+(1-EXP(-LN(2)/2))/(LN(2)/2)*BL166*BO166*VLOOKUP('Données projet'!$B$11,Paramètres!$A$1:$I$89,3,0)*0.475*44/12</f>
        <v>6.886431353128137E-6</v>
      </c>
      <c r="BS166" s="22">
        <f t="shared" si="169"/>
        <v>63.143091706576826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8.5265128291212022E-14</v>
      </c>
      <c r="BZ166" s="13">
        <f>BY166*VLOOKUP('Données projet'!$B$12,Paramètres!$A$1:$I$89,3,0)*VLOOKUP('Données projet'!$B$12,Paramètres!$A$1:$I$89,5,0)</f>
        <v>8.9119112089974823E-14</v>
      </c>
      <c r="CA166" s="13">
        <f t="shared" si="170"/>
        <v>1.3568952080113142E-12</v>
      </c>
      <c r="CB166" s="20">
        <f t="shared" si="171"/>
        <v>2.5184749408430782E-12</v>
      </c>
      <c r="CC166" s="59">
        <f t="shared" si="119"/>
        <v>288.04417668715473</v>
      </c>
      <c r="CD166" s="59">
        <f ca="1">AVERAGE(OFFSET($CC$3,0,0,'Données projet'!$E$12+1,1))-AVERAGE(OFFSET($H$3,0,0,'Données projet'!$E$12+1,1))</f>
        <v>290.69667785754848</v>
      </c>
      <c r="CE166" s="59">
        <f t="shared" si="148"/>
        <v>256.28124185489082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5.111501019831187</v>
      </c>
      <c r="CL166" s="21">
        <f>EXP(-LN(2)/25)*CL165+(1-EXP(-LN(2)/25))/(LN(2)/25)*Calculateur!CG166*Calculateur!CI166*VLOOKUP('Données projet'!$B$12,Paramètres!$A$1:$I$89,3,0)*0.475*44/12</f>
        <v>7.9233177554552325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13.03481877528642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408.246209980743</v>
      </c>
      <c r="CZ166" s="59">
        <f t="shared" si="150"/>
        <v>394.10236303013903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11.030633097702665</v>
      </c>
      <c r="DG166" s="21">
        <f>EXP(-LN(2)/25)*DG165+(1-EXP(-LN(2)/25))/(LN(2)/25)*Calculateur!DB166*Calculateur!DD166*VLOOKUP('Données projet'!$B$13,Paramètres!$A$1:$I$89,3,0)*0.475*44/12</f>
        <v>5.6430853570848498</v>
      </c>
      <c r="DH166" s="21">
        <f>EXP(-LN(2)/2)*DH165+(1-EXP(-LN(2)/2))/(LN(2)/2)*DB166*DE166*VLOOKUP('Données projet'!$B$13,Paramètres!$A$1:$I$89,3,0)*0.475*44/12</f>
        <v>2.203971567258619E-11</v>
      </c>
      <c r="DI166" s="22">
        <f t="shared" si="175"/>
        <v>16.673718454809556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5.6843418860808015E-13</v>
      </c>
      <c r="DP166" s="17">
        <f>DO166*VLOOKUP('Données projet'!$B$14,Paramètres!$A$1:$I$89,3,0)*VLOOKUP('Données projet'!$B$14,Paramètres!$A$1:$I$89,5,0)</f>
        <v>3.177547114319168E-13</v>
      </c>
      <c r="DQ166" s="13">
        <f t="shared" si="176"/>
        <v>4.1725404435445377E-12</v>
      </c>
      <c r="DR166" s="20">
        <f t="shared" si="177"/>
        <v>7.820597394917325E-12</v>
      </c>
      <c r="DS166" s="59">
        <f t="shared" si="125"/>
        <v>288.04417668716007</v>
      </c>
      <c r="DT166" s="59">
        <f ca="1">AVERAGE(OFFSET($DS$3,0,0,'Données projet'!$E$14+1,1))-AVERAGE(OFFSET($H$3,0,0,'Données projet'!$E$14+1,1))</f>
        <v>407.05634973057056</v>
      </c>
      <c r="DU166" s="59">
        <f t="shared" si="152"/>
        <v>375.32891954889965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36.581338622078498</v>
      </c>
      <c r="EB166" s="21">
        <f>EXP(-LN(2)/25)*EB165+(1-EXP(-LN(2)/25))/(LN(2)/25)*Calculateur!DW166*Calculateur!DY166*VLOOKUP('Données projet'!$B$14,Paramètres!$A$1:$I$89,3,0)*0.475*44/12</f>
        <v>5.8248984948303404</v>
      </c>
      <c r="EC166" s="21">
        <f>EXP(-LN(2)/2)*EC165+(1-EXP(-LN(2)/2))/(LN(2)/2)*DW166*DZ166*VLOOKUP('Données projet'!$B$14,Paramètres!$A$1:$I$89,3,0)*0.475*44/12</f>
        <v>7.5872418770063292E-13</v>
      </c>
      <c r="ED166" s="22">
        <f t="shared" si="178"/>
        <v>42.406237116909601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1.1368683772161603E-13</v>
      </c>
      <c r="EK166" s="17">
        <f>EJ166*VLOOKUP('Données projet'!$B$15,Paramètres!$A$1:$I$89,3,0)*VLOOKUP('Données projet'!$B$15,Paramètres!$A$1:$I$89,5,0)</f>
        <v>5.0249582272954292E-14</v>
      </c>
      <c r="EL166" s="13">
        <f t="shared" si="179"/>
        <v>8.1784820119191593E-13</v>
      </c>
      <c r="EM166" s="20">
        <f t="shared" si="180"/>
        <v>1.5119369728679821E-12</v>
      </c>
      <c r="EN166" s="59">
        <f t="shared" si="128"/>
        <v>288.04417668715377</v>
      </c>
      <c r="EO166" s="59">
        <f ca="1">AVERAGE(OFFSET($EN$3,0,0,'Données projet'!$E$15+1,1))-AVERAGE(OFFSET($H$3,0,0,'Données projet'!$E$15+1,1))</f>
        <v>418.28022549686278</v>
      </c>
      <c r="EP166" s="59">
        <f t="shared" si="154"/>
        <v>354.55070454517158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39.932810031134608</v>
      </c>
      <c r="EW166" s="21">
        <f>EXP(-LN(2)/25)*EW165+(1-EXP(-LN(2)/25))/(LN(2)/25)*Calculateur!ER166*Calculateur!ET166*VLOOKUP('Données projet'!$B$15,Paramètres!$A$1:$I$89,3,0)*0.475*44/12</f>
        <v>7.1992072324058238</v>
      </c>
      <c r="EX166" s="21">
        <f>EXP(-LN(2)/2)*EX165+(1-EXP(-LN(2)/2))/(LN(2)/2)*ER166*EU166*VLOOKUP('Données projet'!$B$15,Paramètres!$A$1:$I$89,3,0)*0.475*44/12</f>
        <v>2.5275469157701222E-11</v>
      </c>
      <c r="EY166" s="22">
        <f t="shared" si="181"/>
        <v>47.132017263565707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7.6783333333333319</v>
      </c>
      <c r="FE166" s="12">
        <f>IF('Données projet'!$A$218&gt;35,FE165+FD166-FM165,IF(A166&lt;'Données projet'!$A$218,$FB$205^A166,IF(A166='Données projet'!$A$218,'Données projet'!$B$218,FE165+FD166-FM165)))</f>
        <v>397.25833333333298</v>
      </c>
      <c r="FF166" s="17">
        <f>FE166*VLOOKUP('Données projet'!$B$16,Paramètres!$A$1:$I$89,3,0)*VLOOKUP('Données projet'!$B$16,Paramètres!$A$1:$I$89,5,0)</f>
        <v>452.39778999999959</v>
      </c>
      <c r="FG166" s="13">
        <f t="shared" si="182"/>
        <v>102.32222052098986</v>
      </c>
      <c r="FH166" s="20">
        <f t="shared" si="183"/>
        <v>966.13735165739001</v>
      </c>
      <c r="FI166" s="59">
        <f t="shared" si="131"/>
        <v>1254.1815283445421</v>
      </c>
      <c r="FJ166" s="59">
        <f ca="1">AVERAGE(OFFSET($FI$3,0,0,'Données projet'!$E$16+1,1))-AVERAGE(OFFSET($H$3,0,0,'Données projet'!$E$16+1,1))</f>
        <v>640.05156427113661</v>
      </c>
      <c r="FK166" s="59">
        <f t="shared" si="156"/>
        <v>308.77220155372902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41.132997869671435</v>
      </c>
      <c r="FR166" s="21">
        <f>EXP(-LN(2)/25)*FR165+(1-EXP(-LN(2)/25))/(LN(2)/25)*Calculateur!FM166*Calculateur!FO166*VLOOKUP('Données projet'!$B$16,Paramètres!$A$1:$I$89,3,0)*0.475*44/12</f>
        <v>21.14593887715149</v>
      </c>
      <c r="FS166" s="21">
        <f>EXP(-LN(2)/2)*FS165+(1-EXP(-LN(2)/2))/(LN(2)/2)*FM166*FP166*VLOOKUP('Données projet'!$B$16,Paramètres!$A$1:$I$89,3,0)*0.475*44/12</f>
        <v>9.1610023214549006E-3</v>
      </c>
      <c r="FT166" s="22">
        <f t="shared" si="184"/>
        <v>62.288097749144377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288.13593173018268</v>
      </c>
      <c r="S167" s="59">
        <f ca="1">AVERAGE(OFFSET($R$3,0,0,'Données projet'!$E$9+1,1))-AVERAGE(OFFSET($H$3,0,0,'Données projet'!$E$9+1,1))</f>
        <v>318.50474972254085</v>
      </c>
      <c r="T167" s="59">
        <f t="shared" si="142"/>
        <v>326.45858332753562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17.705839324592674</v>
      </c>
      <c r="AA167" s="21">
        <f>EXP(-LN(2)/25)*AA166+(1-EXP(-LN(2)/25))/(LN(2)/25)*Calculateur!V167*Calculateur!X167*VLOOKUP('Données projet'!$B$9,Paramètres!$A$1:$I$89,3,0)*0.475*44/12</f>
        <v>2.7097173654612234</v>
      </c>
      <c r="AB167" s="21">
        <f>EXP(-LN(2)/2)*AB166+(1-EXP(-LN(2)/2))/(LN(2)/2)*V167*Y167*VLOOKUP('Données projet'!$B$9,Paramètres!$A$1:$I$89,3,0)*0.475*44/12</f>
        <v>1.331411488244638E-14</v>
      </c>
      <c r="AC167" s="22">
        <f t="shared" si="163"/>
        <v>20.415556690053911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1.7053025658242404E-13</v>
      </c>
      <c r="AJ167" s="13">
        <f>AI167*VLOOKUP('Données projet'!$B$10,Paramètres!$A$1:$I$89,3,0)*VLOOKUP('Données projet'!$B$10,Paramètres!$A$1:$I$89,5,0)</f>
        <v>7.9808160080574461E-14</v>
      </c>
      <c r="AK167" s="13">
        <f t="shared" si="164"/>
        <v>1.2308384591775343E-12</v>
      </c>
      <c r="AL167" s="20">
        <f t="shared" si="165"/>
        <v>2.282709528541206E-12</v>
      </c>
      <c r="AM167" s="59">
        <f t="shared" si="113"/>
        <v>288.13593173018296</v>
      </c>
      <c r="AN167" s="59">
        <f ca="1">AVERAGE(OFFSET($AM$3,0,0,'Données projet'!$E$10+1,1))-AVERAGE(OFFSET($H$3,0,0,'Données projet'!$E$10+1,1))</f>
        <v>374.38106339726073</v>
      </c>
      <c r="AO167" s="59">
        <f t="shared" si="144"/>
        <v>296.53283288925957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75.664226736688065</v>
      </c>
      <c r="AV167" s="21">
        <f>EXP(-LN(2)/25)*AV166+(1-EXP(-LN(2)/25))/(LN(2)/25)*Calculateur!AQ167*Calculateur!AS167*VLOOKUP('Données projet'!$B$10,Paramètres!$A$1:$I$89,3,0)*0.475*44/12</f>
        <v>17.989264971789328</v>
      </c>
      <c r="AW167" s="21">
        <f>EXP(-LN(2)/2)*AW166+(1-EXP(-LN(2)/2))/(LN(2)/2)*AQ167*AT167*VLOOKUP('Données projet'!$B$10,Paramètres!$A$1:$I$89,3,0)*0.475*44/12</f>
        <v>3.4967618991731266E-4</v>
      </c>
      <c r="AX167" s="21">
        <f t="shared" si="166"/>
        <v>93.653841384667302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9.4880000000000049</v>
      </c>
      <c r="BC167" s="12">
        <f t="array" ref="BC167">INDEX(BB:BB,MIN(IF(ISNUMBER(BB167:BB363),ROW(BB167:BB363),"")))</f>
        <v>9.4880000000000049</v>
      </c>
      <c r="BD167" s="12">
        <f>IF('Données projet'!$A$88&gt;35,BD166+BC167-BL166,IF(A167&lt;'Données projet'!$A$88,$BA$205^A167,IF(A167='Données projet'!$A$88,'Données projet'!$B$88,BD166+BC167-BL166)))</f>
        <v>580.32000000000141</v>
      </c>
      <c r="BE167" s="13">
        <f>BD167*VLOOKUP('Données projet'!$B$11,Paramètres!$A$1:$I$89,3,0)*VLOOKUP('Données projet'!$B$11,Paramètres!$A$1:$I$89,5,0)</f>
        <v>525.07353600000124</v>
      </c>
      <c r="BF167" s="13">
        <f t="shared" si="167"/>
        <v>116.71819745258949</v>
      </c>
      <c r="BG167" s="20">
        <f t="shared" si="168"/>
        <v>1117.7872690965953</v>
      </c>
      <c r="BH167" s="59">
        <f t="shared" si="116"/>
        <v>1405.9232008267759</v>
      </c>
      <c r="BI167" s="59">
        <f ca="1">AVERAGE(OFFSET($BH$3,0,0,'Données projet'!$E$11+1,1))-AVERAGE(OFFSET($H$3,0,0,'Données projet'!$E$11+1,1))</f>
        <v>681.47578137804555</v>
      </c>
      <c r="BJ167" s="59">
        <f t="shared" si="146"/>
        <v>300.88511065995885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66.020000000000095</v>
      </c>
      <c r="BM167" s="16">
        <f>IF(ISNA(VLOOKUP(A167,'Données projet'!$A$87:$I$107,5,0)),0%,VLOOKUP(A167,'Données projet'!$A$87:$I$107,5,0)*VLOOKUP('Données projet'!$B$11,Paramètres!$A$1:$I$89,7,0))</f>
        <v>0.215</v>
      </c>
      <c r="BN167" s="16">
        <f>IF(ISNA(VLOOKUP(A167,'Données projet'!$A$87:$I$107,6,0)),0%,VLOOKUP(A167,'Données projet'!$A$87:$I$107,6,0)*VLOOKUP('Données projet'!$B$11,Paramètres!$A$1:$I$89,7,0))</f>
        <v>8.6000000000000007E-2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58.613038082092139</v>
      </c>
      <c r="BQ167" s="21">
        <f>EXP(-LN(2)/25)*BQ166+(1-EXP(-LN(2)/25))/(LN(2)/25)*Calculateur!BL167*Calculateur!BN167*VLOOKUP('Données projet'!$B$11,Paramètres!$A$1:$I$89,3,0)*0.475*44/12</f>
        <v>23.008073260464958</v>
      </c>
      <c r="BR167" s="21">
        <f>EXP(-LN(2)/2)*BR166+(1-EXP(-LN(2)/2))/(LN(2)/2)*BL167*BO167*VLOOKUP('Données projet'!$B$11,Paramètres!$A$1:$I$89,3,0)*0.475*44/12</f>
        <v>4.8694423079725579E-6</v>
      </c>
      <c r="BS167" s="22">
        <f t="shared" si="169"/>
        <v>81.621116211999407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8.5265128291212022E-14</v>
      </c>
      <c r="BZ167" s="13">
        <f>BY167*VLOOKUP('Données projet'!$B$12,Paramètres!$A$1:$I$89,3,0)*VLOOKUP('Données projet'!$B$12,Paramètres!$A$1:$I$89,5,0)</f>
        <v>8.9119112089974823E-14</v>
      </c>
      <c r="CA167" s="13">
        <f t="shared" si="170"/>
        <v>1.3568952080113142E-12</v>
      </c>
      <c r="CB167" s="20">
        <f t="shared" si="171"/>
        <v>2.5184749408430782E-12</v>
      </c>
      <c r="CC167" s="59">
        <f t="shared" si="119"/>
        <v>288.13593173018319</v>
      </c>
      <c r="CD167" s="59">
        <f ca="1">AVERAGE(OFFSET($CC$3,0,0,'Données projet'!$E$12+1,1))-AVERAGE(OFFSET($H$3,0,0,'Données projet'!$E$12+1,1))</f>
        <v>290.69667785754848</v>
      </c>
      <c r="CE167" s="59">
        <f t="shared" si="148"/>
        <v>256.28124185489082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5.0112676025400713</v>
      </c>
      <c r="CL167" s="21">
        <f>EXP(-LN(2)/25)*CL166+(1-EXP(-LN(2)/25))/(LN(2)/25)*Calculateur!CG167*Calculateur!CI167*VLOOKUP('Données projet'!$B$12,Paramètres!$A$1:$I$89,3,0)*0.475*44/12</f>
        <v>7.7066542147631374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12.717921817303209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408.246209980743</v>
      </c>
      <c r="CZ167" s="59">
        <f t="shared" si="150"/>
        <v>394.10236303013903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10.814329110678569</v>
      </c>
      <c r="DG167" s="21">
        <f>EXP(-LN(2)/25)*DG166+(1-EXP(-LN(2)/25))/(LN(2)/25)*Calculateur!DB167*Calculateur!DD167*VLOOKUP('Données projet'!$B$13,Paramètres!$A$1:$I$89,3,0)*0.475*44/12</f>
        <v>5.4887748912384033</v>
      </c>
      <c r="DH167" s="21">
        <f>EXP(-LN(2)/2)*DH166+(1-EXP(-LN(2)/2))/(LN(2)/2)*DB167*DE167*VLOOKUP('Données projet'!$B$13,Paramètres!$A$1:$I$89,3,0)*0.475*44/12</f>
        <v>1.5584432407509125E-11</v>
      </c>
      <c r="DI167" s="22">
        <f t="shared" si="175"/>
        <v>16.303104001932557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5.6843418860808015E-13</v>
      </c>
      <c r="DP167" s="17">
        <f>DO167*VLOOKUP('Données projet'!$B$14,Paramètres!$A$1:$I$89,3,0)*VLOOKUP('Données projet'!$B$14,Paramètres!$A$1:$I$89,5,0)</f>
        <v>3.177547114319168E-13</v>
      </c>
      <c r="DQ167" s="13">
        <f t="shared" si="176"/>
        <v>4.1725404435445377E-12</v>
      </c>
      <c r="DR167" s="20">
        <f t="shared" si="177"/>
        <v>7.820597394917325E-12</v>
      </c>
      <c r="DS167" s="59">
        <f t="shared" si="125"/>
        <v>288.13593173018853</v>
      </c>
      <c r="DT167" s="59">
        <f ca="1">AVERAGE(OFFSET($DS$3,0,0,'Données projet'!$E$14+1,1))-AVERAGE(OFFSET($H$3,0,0,'Données projet'!$E$14+1,1))</f>
        <v>407.05634973057056</v>
      </c>
      <c r="DU167" s="59">
        <f t="shared" si="152"/>
        <v>375.32891954889965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35.864000884112933</v>
      </c>
      <c r="EB167" s="21">
        <f>EXP(-LN(2)/25)*EB166+(1-EXP(-LN(2)/25))/(LN(2)/25)*Calculateur!DW167*Calculateur!DY167*VLOOKUP('Données projet'!$B$14,Paramètres!$A$1:$I$89,3,0)*0.475*44/12</f>
        <v>5.6656163391711063</v>
      </c>
      <c r="EC167" s="21">
        <f>EXP(-LN(2)/2)*EC166+(1-EXP(-LN(2)/2))/(LN(2)/2)*DW167*DZ167*VLOOKUP('Données projet'!$B$14,Paramètres!$A$1:$I$89,3,0)*0.475*44/12</f>
        <v>5.3649901817337244E-13</v>
      </c>
      <c r="ED167" s="22">
        <f t="shared" si="178"/>
        <v>41.529617223284582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1.1368683772161603E-13</v>
      </c>
      <c r="EK167" s="17">
        <f>EJ167*VLOOKUP('Données projet'!$B$15,Paramètres!$A$1:$I$89,3,0)*VLOOKUP('Données projet'!$B$15,Paramètres!$A$1:$I$89,5,0)</f>
        <v>5.0249582272954292E-14</v>
      </c>
      <c r="EL167" s="13">
        <f t="shared" si="179"/>
        <v>8.1784820119191593E-13</v>
      </c>
      <c r="EM167" s="20">
        <f t="shared" si="180"/>
        <v>1.5119369728679821E-12</v>
      </c>
      <c r="EN167" s="59">
        <f t="shared" si="128"/>
        <v>288.13593173018222</v>
      </c>
      <c r="EO167" s="59">
        <f ca="1">AVERAGE(OFFSET($EN$3,0,0,'Données projet'!$E$15+1,1))-AVERAGE(OFFSET($H$3,0,0,'Données projet'!$E$15+1,1))</f>
        <v>418.28022549686278</v>
      </c>
      <c r="EP167" s="59">
        <f t="shared" si="154"/>
        <v>354.55070454517158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39.149751983033163</v>
      </c>
      <c r="EW167" s="21">
        <f>EXP(-LN(2)/25)*EW166+(1-EXP(-LN(2)/25))/(LN(2)/25)*Calculateur!ER167*Calculateur!ET167*VLOOKUP('Données projet'!$B$15,Paramètres!$A$1:$I$89,3,0)*0.475*44/12</f>
        <v>7.0023445320458322</v>
      </c>
      <c r="EX167" s="21">
        <f>EXP(-LN(2)/2)*EX166+(1-EXP(-LN(2)/2))/(LN(2)/2)*ER167*EU167*VLOOKUP('Données projet'!$B$15,Paramètres!$A$1:$I$89,3,0)*0.475*44/12</f>
        <v>1.7872455639081968E-11</v>
      </c>
      <c r="EY167" s="22">
        <f t="shared" si="181"/>
        <v>46.152096515096865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7.6783333333333319</v>
      </c>
      <c r="FE167" s="12">
        <f>IF('Données projet'!$A$218&gt;35,FE166+FD167-FM166,IF(A167&lt;'Données projet'!$A$218,$FB$205^A167,IF(A167='Données projet'!$A$218,'Données projet'!$B$218,FE166+FD167-FM166)))</f>
        <v>404.93666666666633</v>
      </c>
      <c r="FF167" s="17">
        <f>FE167*VLOOKUP('Données projet'!$B$16,Paramètres!$A$1:$I$89,3,0)*VLOOKUP('Données projet'!$B$16,Paramètres!$A$1:$I$89,5,0)</f>
        <v>461.14187599999957</v>
      </c>
      <c r="FG167" s="13">
        <f t="shared" si="182"/>
        <v>104.06777848670333</v>
      </c>
      <c r="FH167" s="20">
        <f t="shared" si="183"/>
        <v>984.40681489767428</v>
      </c>
      <c r="FI167" s="59">
        <f t="shared" si="131"/>
        <v>1272.542746627855</v>
      </c>
      <c r="FJ167" s="59">
        <f ca="1">AVERAGE(OFFSET($FI$3,0,0,'Données projet'!$E$16+1,1))-AVERAGE(OFFSET($H$3,0,0,'Données projet'!$E$16+1,1))</f>
        <v>640.05156427113661</v>
      </c>
      <c r="FK167" s="59">
        <f t="shared" si="156"/>
        <v>308.77220155372902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40.326404870098578</v>
      </c>
      <c r="FR167" s="21">
        <f>EXP(-LN(2)/25)*FR166+(1-EXP(-LN(2)/25))/(LN(2)/25)*Calculateur!FM167*Calculateur!FO167*VLOOKUP('Données projet'!$B$16,Paramètres!$A$1:$I$89,3,0)*0.475*44/12</f>
        <v>20.567702066539187</v>
      </c>
      <c r="FS167" s="21">
        <f>EXP(-LN(2)/2)*FS166+(1-EXP(-LN(2)/2))/(LN(2)/2)*FM167*FP167*VLOOKUP('Données projet'!$B$16,Paramètres!$A$1:$I$89,3,0)*0.475*44/12</f>
        <v>6.4778068639664644E-3</v>
      </c>
      <c r="FT167" s="22">
        <f t="shared" si="184"/>
        <v>60.900584743501739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288.22609502834814</v>
      </c>
      <c r="S168" s="59">
        <f ca="1">AVERAGE(OFFSET($R$3,0,0,'Données projet'!$E$9+1,1))-AVERAGE(OFFSET($H$3,0,0,'Données projet'!$E$9+1,1))</f>
        <v>318.50474972254085</v>
      </c>
      <c r="T168" s="59">
        <f t="shared" si="142"/>
        <v>326.45858332753562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17.358638614933039</v>
      </c>
      <c r="AA168" s="21">
        <f>EXP(-LN(2)/25)*AA167+(1-EXP(-LN(2)/25))/(LN(2)/25)*Calculateur!V168*Calculateur!X168*VLOOKUP('Données projet'!$B$9,Paramètres!$A$1:$I$89,3,0)*0.475*44/12</f>
        <v>2.6356200016048432</v>
      </c>
      <c r="AB168" s="21">
        <f>EXP(-LN(2)/2)*AB167+(1-EXP(-LN(2)/2))/(LN(2)/2)*V168*Y168*VLOOKUP('Données projet'!$B$9,Paramètres!$A$1:$I$89,3,0)*0.475*44/12</f>
        <v>9.4145009188745685E-15</v>
      </c>
      <c r="AC168" s="22">
        <f t="shared" si="163"/>
        <v>19.994258616537891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1.7053025658242404E-13</v>
      </c>
      <c r="AJ168" s="13">
        <f>AI168*VLOOKUP('Données projet'!$B$10,Paramètres!$A$1:$I$89,3,0)*VLOOKUP('Données projet'!$B$10,Paramètres!$A$1:$I$89,5,0)</f>
        <v>7.9808160080574461E-14</v>
      </c>
      <c r="AK168" s="13">
        <f t="shared" si="164"/>
        <v>1.2308384591775343E-12</v>
      </c>
      <c r="AL168" s="20">
        <f t="shared" si="165"/>
        <v>2.282709528541206E-12</v>
      </c>
      <c r="AM168" s="59">
        <f t="shared" si="113"/>
        <v>288.22609502834842</v>
      </c>
      <c r="AN168" s="59">
        <f ca="1">AVERAGE(OFFSET($AM$3,0,0,'Données projet'!$E$10+1,1))-AVERAGE(OFFSET($H$3,0,0,'Données projet'!$E$10+1,1))</f>
        <v>374.38106339726073</v>
      </c>
      <c r="AO168" s="59">
        <f t="shared" si="144"/>
        <v>296.53283288925957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74.180497401002924</v>
      </c>
      <c r="AV168" s="21">
        <f>EXP(-LN(2)/25)*AV167+(1-EXP(-LN(2)/25))/(LN(2)/25)*Calculateur!AQ168*Calculateur!AS168*VLOOKUP('Données projet'!$B$10,Paramètres!$A$1:$I$89,3,0)*0.475*44/12</f>
        <v>17.49734757512142</v>
      </c>
      <c r="AW168" s="21">
        <f>EXP(-LN(2)/2)*AW167+(1-EXP(-LN(2)/2))/(LN(2)/2)*AQ168*AT168*VLOOKUP('Données projet'!$B$10,Paramètres!$A$1:$I$89,3,0)*0.475*44/12</f>
        <v>2.4725840511000683E-4</v>
      </c>
      <c r="AX168" s="21">
        <f t="shared" si="166"/>
        <v>91.678092234529458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9.6220000000000034</v>
      </c>
      <c r="BD168" s="12">
        <f>IF('Données projet'!$A$88&gt;35,BD167+BC168-BL167,IF(A168&lt;'Données projet'!$A$88,$BA$205^A168,IF(A168='Données projet'!$A$88,'Données projet'!$B$88,BD167+BC168-BL167)))</f>
        <v>523.92200000000128</v>
      </c>
      <c r="BE168" s="13">
        <f>BD168*VLOOKUP('Données projet'!$B$11,Paramètres!$A$1:$I$89,3,0)*VLOOKUP('Données projet'!$B$11,Paramètres!$A$1:$I$89,5,0)</f>
        <v>474.04462560000115</v>
      </c>
      <c r="BF168" s="13">
        <f t="shared" si="167"/>
        <v>106.63651269520395</v>
      </c>
      <c r="BG168" s="20">
        <f t="shared" si="168"/>
        <v>1011.3529825308154</v>
      </c>
      <c r="BH168" s="59">
        <f t="shared" si="116"/>
        <v>1299.5790775591615</v>
      </c>
      <c r="BI168" s="59">
        <f ca="1">AVERAGE(OFFSET($BH$3,0,0,'Données projet'!$E$11+1,1))-AVERAGE(OFFSET($H$3,0,0,'Données projet'!$E$11+1,1))</f>
        <v>681.47578137804555</v>
      </c>
      <c r="BJ168" s="59">
        <f t="shared" si="146"/>
        <v>300.88511065995885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57.463672155725483</v>
      </c>
      <c r="BQ168" s="21">
        <f>EXP(-LN(2)/25)*BQ167+(1-EXP(-LN(2)/25))/(LN(2)/25)*Calculateur!BL168*Calculateur!BN168*VLOOKUP('Données projet'!$B$11,Paramètres!$A$1:$I$89,3,0)*0.475*44/12</f>
        <v>22.378916287215556</v>
      </c>
      <c r="BR168" s="21">
        <f>EXP(-LN(2)/2)*BR167+(1-EXP(-LN(2)/2))/(LN(2)/2)*BL168*BO168*VLOOKUP('Données projet'!$B$11,Paramètres!$A$1:$I$89,3,0)*0.475*44/12</f>
        <v>3.4432156765640685E-6</v>
      </c>
      <c r="BS168" s="22">
        <f t="shared" si="169"/>
        <v>79.842591886156711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8.5265128291212022E-14</v>
      </c>
      <c r="BZ168" s="13">
        <f>BY168*VLOOKUP('Données projet'!$B$12,Paramètres!$A$1:$I$89,3,0)*VLOOKUP('Données projet'!$B$12,Paramètres!$A$1:$I$89,5,0)</f>
        <v>8.9119112089974823E-14</v>
      </c>
      <c r="CA168" s="13">
        <f t="shared" si="170"/>
        <v>1.3568952080113142E-12</v>
      </c>
      <c r="CB168" s="20">
        <f t="shared" si="171"/>
        <v>2.5184749408430782E-12</v>
      </c>
      <c r="CC168" s="59">
        <f t="shared" si="119"/>
        <v>288.22609502834865</v>
      </c>
      <c r="CD168" s="59">
        <f ca="1">AVERAGE(OFFSET($CC$3,0,0,'Données projet'!$E$12+1,1))-AVERAGE(OFFSET($H$3,0,0,'Données projet'!$E$12+1,1))</f>
        <v>290.69667785754848</v>
      </c>
      <c r="CE168" s="59">
        <f t="shared" si="148"/>
        <v>256.28124185489082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4.9129997014256865</v>
      </c>
      <c r="CL168" s="21">
        <f>EXP(-LN(2)/25)*CL167+(1-EXP(-LN(2)/25))/(LN(2)/25)*Calculateur!CG168*Calculateur!CI168*VLOOKUP('Données projet'!$B$12,Paramètres!$A$1:$I$89,3,0)*0.475*44/12</f>
        <v>7.4959153499851077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12.408915051410794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408.246209980743</v>
      </c>
      <c r="CZ168" s="59">
        <f t="shared" si="150"/>
        <v>394.10236303013903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10.60226671290761</v>
      </c>
      <c r="DG168" s="21">
        <f>EXP(-LN(2)/25)*DG167+(1-EXP(-LN(2)/25))/(LN(2)/25)*Calculateur!DB168*Calculateur!DD168*VLOOKUP('Données projet'!$B$13,Paramètres!$A$1:$I$89,3,0)*0.475*44/12</f>
        <v>5.3386840531953625</v>
      </c>
      <c r="DH168" s="21">
        <f>EXP(-LN(2)/2)*DH167+(1-EXP(-LN(2)/2))/(LN(2)/2)*DB168*DE168*VLOOKUP('Données projet'!$B$13,Paramètres!$A$1:$I$89,3,0)*0.475*44/12</f>
        <v>1.1019857836293095E-11</v>
      </c>
      <c r="DI168" s="22">
        <f t="shared" si="175"/>
        <v>15.940950766113993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5.6843418860808015E-13</v>
      </c>
      <c r="DP168" s="17">
        <f>DO168*VLOOKUP('Données projet'!$B$14,Paramètres!$A$1:$I$89,3,0)*VLOOKUP('Données projet'!$B$14,Paramètres!$A$1:$I$89,5,0)</f>
        <v>3.177547114319168E-13</v>
      </c>
      <c r="DQ168" s="13">
        <f t="shared" si="176"/>
        <v>4.1725404435445377E-12</v>
      </c>
      <c r="DR168" s="20">
        <f t="shared" si="177"/>
        <v>7.820597394917325E-12</v>
      </c>
      <c r="DS168" s="59">
        <f t="shared" si="125"/>
        <v>288.226095028354</v>
      </c>
      <c r="DT168" s="59">
        <f ca="1">AVERAGE(OFFSET($DS$3,0,0,'Données projet'!$E$14+1,1))-AVERAGE(OFFSET($H$3,0,0,'Données projet'!$E$14+1,1))</f>
        <v>407.05634973057056</v>
      </c>
      <c r="DU168" s="59">
        <f t="shared" si="152"/>
        <v>375.32891954889965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35.160729701656052</v>
      </c>
      <c r="EB168" s="21">
        <f>EXP(-LN(2)/25)*EB167+(1-EXP(-LN(2)/25))/(LN(2)/25)*Calculateur!DW168*Calculateur!DY168*VLOOKUP('Données projet'!$B$14,Paramètres!$A$1:$I$89,3,0)*0.475*44/12</f>
        <v>5.5106897624346578</v>
      </c>
      <c r="EC168" s="21">
        <f>EXP(-LN(2)/2)*EC167+(1-EXP(-LN(2)/2))/(LN(2)/2)*DW168*DZ168*VLOOKUP('Données projet'!$B$14,Paramètres!$A$1:$I$89,3,0)*0.475*44/12</f>
        <v>3.7936209385031646E-13</v>
      </c>
      <c r="ED168" s="22">
        <f t="shared" si="178"/>
        <v>40.671419464091088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1.1368683772161603E-13</v>
      </c>
      <c r="EK168" s="17">
        <f>EJ168*VLOOKUP('Données projet'!$B$15,Paramètres!$A$1:$I$89,3,0)*VLOOKUP('Données projet'!$B$15,Paramètres!$A$1:$I$89,5,0)</f>
        <v>5.0249582272954292E-14</v>
      </c>
      <c r="EL168" s="13">
        <f t="shared" si="179"/>
        <v>8.1784820119191593E-13</v>
      </c>
      <c r="EM168" s="20">
        <f t="shared" si="180"/>
        <v>1.5119369728679821E-12</v>
      </c>
      <c r="EN168" s="59">
        <f t="shared" si="128"/>
        <v>288.22609502834769</v>
      </c>
      <c r="EO168" s="59">
        <f ca="1">AVERAGE(OFFSET($EN$3,0,0,'Données projet'!$E$15+1,1))-AVERAGE(OFFSET($H$3,0,0,'Données projet'!$E$15+1,1))</f>
        <v>418.28022549686278</v>
      </c>
      <c r="EP168" s="59">
        <f t="shared" si="154"/>
        <v>354.55070454517158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38.382049225636734</v>
      </c>
      <c r="EW168" s="21">
        <f>EXP(-LN(2)/25)*EW167+(1-EXP(-LN(2)/25))/(LN(2)/25)*Calculateur!ER168*Calculateur!ET168*VLOOKUP('Données projet'!$B$15,Paramètres!$A$1:$I$89,3,0)*0.475*44/12</f>
        <v>6.8108650525797438</v>
      </c>
      <c r="EX168" s="21">
        <f>EXP(-LN(2)/2)*EX167+(1-EXP(-LN(2)/2))/(LN(2)/2)*ER168*EU168*VLOOKUP('Données projet'!$B$15,Paramètres!$A$1:$I$89,3,0)*0.475*44/12</f>
        <v>1.2637734578850611E-11</v>
      </c>
      <c r="EY168" s="22">
        <f t="shared" si="181"/>
        <v>45.192914278229118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7.6783333333333319</v>
      </c>
      <c r="FE168" s="12">
        <f>IF('Données projet'!$A$218&gt;35,FE167+FD168-FM167,IF(A168&lt;'Données projet'!$A$218,$FB$205^A168,IF(A168='Données projet'!$A$218,'Données projet'!$B$218,FE167+FD168-FM167)))</f>
        <v>412.61499999999967</v>
      </c>
      <c r="FF168" s="17">
        <f>FE168*VLOOKUP('Données projet'!$B$16,Paramètres!$A$1:$I$89,3,0)*VLOOKUP('Données projet'!$B$16,Paramètres!$A$1:$I$89,5,0)</f>
        <v>469.88596199999961</v>
      </c>
      <c r="FG168" s="13">
        <f t="shared" si="182"/>
        <v>105.80948774021181</v>
      </c>
      <c r="FH168" s="20">
        <f t="shared" si="183"/>
        <v>1002.6695749642014</v>
      </c>
      <c r="FI168" s="59">
        <f t="shared" si="131"/>
        <v>1290.8956699925475</v>
      </c>
      <c r="FJ168" s="59">
        <f ca="1">AVERAGE(OFFSET($FI$3,0,0,'Données projet'!$E$16+1,1))-AVERAGE(OFFSET($H$3,0,0,'Données projet'!$E$16+1,1))</f>
        <v>640.05156427113661</v>
      </c>
      <c r="FK168" s="59">
        <f t="shared" si="156"/>
        <v>308.77220155372902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39.535628667274196</v>
      </c>
      <c r="FR168" s="21">
        <f>EXP(-LN(2)/25)*FR167+(1-EXP(-LN(2)/25))/(LN(2)/25)*Calculateur!FM168*Calculateur!FO168*VLOOKUP('Données projet'!$B$16,Paramètres!$A$1:$I$89,3,0)*0.475*44/12</f>
        <v>20.005277171921229</v>
      </c>
      <c r="FS168" s="21">
        <f>EXP(-LN(2)/2)*FS167+(1-EXP(-LN(2)/2))/(LN(2)/2)*FM168*FP168*VLOOKUP('Données projet'!$B$16,Paramètres!$A$1:$I$89,3,0)*0.475*44/12</f>
        <v>4.5805011607274503E-3</v>
      </c>
      <c r="FT168" s="22">
        <f t="shared" si="184"/>
        <v>59.545486340356149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288.31469419486541</v>
      </c>
      <c r="S169" s="59">
        <f ca="1">AVERAGE(OFFSET($R$3,0,0,'Données projet'!$E$9+1,1))-AVERAGE(OFFSET($H$3,0,0,'Données projet'!$E$9+1,1))</f>
        <v>318.50474972254085</v>
      </c>
      <c r="T169" s="59">
        <f t="shared" si="142"/>
        <v>326.45858332753562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17.018246299418305</v>
      </c>
      <c r="AA169" s="21">
        <f>EXP(-LN(2)/25)*AA168+(1-EXP(-LN(2)/25))/(LN(2)/25)*Calculateur!V169*Calculateur!X169*VLOOKUP('Données projet'!$B$9,Paramètres!$A$1:$I$89,3,0)*0.475*44/12</f>
        <v>2.5635488340597266</v>
      </c>
      <c r="AB169" s="21">
        <f>EXP(-LN(2)/2)*AB168+(1-EXP(-LN(2)/2))/(LN(2)/2)*V169*Y169*VLOOKUP('Données projet'!$B$9,Paramètres!$A$1:$I$89,3,0)*0.475*44/12</f>
        <v>6.6570574412231902E-15</v>
      </c>
      <c r="AC169" s="22">
        <f t="shared" si="163"/>
        <v>19.581795133478039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1.7053025658242404E-13</v>
      </c>
      <c r="AJ169" s="13">
        <f>AI169*VLOOKUP('Données projet'!$B$10,Paramètres!$A$1:$I$89,3,0)*VLOOKUP('Données projet'!$B$10,Paramètres!$A$1:$I$89,5,0)</f>
        <v>7.9808160080574461E-14</v>
      </c>
      <c r="AK169" s="13">
        <f t="shared" si="164"/>
        <v>1.2308384591775343E-12</v>
      </c>
      <c r="AL169" s="20">
        <f t="shared" si="165"/>
        <v>2.282709528541206E-12</v>
      </c>
      <c r="AM169" s="59">
        <f t="shared" si="113"/>
        <v>288.31469419486569</v>
      </c>
      <c r="AN169" s="59">
        <f ca="1">AVERAGE(OFFSET($AM$3,0,0,'Données projet'!$E$10+1,1))-AVERAGE(OFFSET($H$3,0,0,'Données projet'!$E$10+1,1))</f>
        <v>374.38106339726073</v>
      </c>
      <c r="AO169" s="59">
        <f t="shared" si="144"/>
        <v>296.53283288925957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72.725863092605039</v>
      </c>
      <c r="AV169" s="21">
        <f>EXP(-LN(2)/25)*AV168+(1-EXP(-LN(2)/25))/(LN(2)/25)*Calculateur!AQ169*Calculateur!AS169*VLOOKUP('Données projet'!$B$10,Paramètres!$A$1:$I$89,3,0)*0.475*44/12</f>
        <v>17.018881685534208</v>
      </c>
      <c r="AW169" s="21">
        <f>EXP(-LN(2)/2)*AW168+(1-EXP(-LN(2)/2))/(LN(2)/2)*AQ169*AT169*VLOOKUP('Données projet'!$B$10,Paramètres!$A$1:$I$89,3,0)*0.475*44/12</f>
        <v>1.7483809495865633E-4</v>
      </c>
      <c r="AX169" s="21">
        <f t="shared" si="166"/>
        <v>89.744919616234213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9.6220000000000034</v>
      </c>
      <c r="BD169" s="12">
        <f>IF('Données projet'!$A$88&gt;35,BD168+BC169-BL168,IF(A169&lt;'Données projet'!$A$88,$BA$205^A169,IF(A169='Données projet'!$A$88,'Données projet'!$B$88,BD168+BC169-BL168)))</f>
        <v>533.54400000000123</v>
      </c>
      <c r="BE169" s="13">
        <f>BD169*VLOOKUP('Données projet'!$B$11,Paramètres!$A$1:$I$89,3,0)*VLOOKUP('Données projet'!$B$11,Paramètres!$A$1:$I$89,5,0)</f>
        <v>482.75061120000112</v>
      </c>
      <c r="BF169" s="13">
        <f t="shared" si="167"/>
        <v>108.36513078962237</v>
      </c>
      <c r="BG169" s="20">
        <f t="shared" si="168"/>
        <v>1029.5265839652609</v>
      </c>
      <c r="BH169" s="59">
        <f t="shared" si="116"/>
        <v>1317.8412781601244</v>
      </c>
      <c r="BI169" s="59">
        <f ca="1">AVERAGE(OFFSET($BH$3,0,0,'Données projet'!$E$11+1,1))-AVERAGE(OFFSET($H$3,0,0,'Données projet'!$E$11+1,1))</f>
        <v>681.47578137804555</v>
      </c>
      <c r="BJ169" s="59">
        <f t="shared" si="146"/>
        <v>300.88511065995885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56.336844594130881</v>
      </c>
      <c r="BQ169" s="21">
        <f>EXP(-LN(2)/25)*BQ168+(1-EXP(-LN(2)/25))/(LN(2)/25)*Calculateur!BL169*Calculateur!BN169*VLOOKUP('Données projet'!$B$11,Paramètres!$A$1:$I$89,3,0)*0.475*44/12</f>
        <v>21.766963644485589</v>
      </c>
      <c r="BR169" s="21">
        <f>EXP(-LN(2)/2)*BR168+(1-EXP(-LN(2)/2))/(LN(2)/2)*BL169*BO169*VLOOKUP('Données projet'!$B$11,Paramètres!$A$1:$I$89,3,0)*0.475*44/12</f>
        <v>2.434721153986279E-6</v>
      </c>
      <c r="BS169" s="22">
        <f t="shared" si="169"/>
        <v>78.10381067333762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8.5265128291212022E-14</v>
      </c>
      <c r="BZ169" s="13">
        <f>BY169*VLOOKUP('Données projet'!$B$12,Paramètres!$A$1:$I$89,3,0)*VLOOKUP('Données projet'!$B$12,Paramètres!$A$1:$I$89,5,0)</f>
        <v>8.9119112089974823E-14</v>
      </c>
      <c r="CA169" s="13">
        <f t="shared" si="170"/>
        <v>1.3568952080113142E-12</v>
      </c>
      <c r="CB169" s="20">
        <f t="shared" si="171"/>
        <v>2.5184749408430782E-12</v>
      </c>
      <c r="CC169" s="59">
        <f t="shared" si="119"/>
        <v>288.31469419486592</v>
      </c>
      <c r="CD169" s="59">
        <f ca="1">AVERAGE(OFFSET($CC$3,0,0,'Données projet'!$E$12+1,1))-AVERAGE(OFFSET($H$3,0,0,'Données projet'!$E$12+1,1))</f>
        <v>290.69667785754848</v>
      </c>
      <c r="CE169" s="59">
        <f t="shared" si="148"/>
        <v>256.28124185489082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4.8166587739146536</v>
      </c>
      <c r="CL169" s="21">
        <f>EXP(-LN(2)/25)*CL168+(1-EXP(-LN(2)/25))/(LN(2)/25)*Calculateur!CG169*Calculateur!CI169*VLOOKUP('Données projet'!$B$12,Paramètres!$A$1:$I$89,3,0)*0.475*44/12</f>
        <v>7.2909391505467092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12.107597924461363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408.246209980743</v>
      </c>
      <c r="CZ169" s="59">
        <f t="shared" si="150"/>
        <v>394.10236303013903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10.394362729411649</v>
      </c>
      <c r="DG169" s="21">
        <f>EXP(-LN(2)/25)*DG168+(1-EXP(-LN(2)/25))/(LN(2)/25)*Calculateur!DB169*Calculateur!DD169*VLOOKUP('Données projet'!$B$13,Paramètres!$A$1:$I$89,3,0)*0.475*44/12</f>
        <v>5.1926974570115423</v>
      </c>
      <c r="DH169" s="21">
        <f>EXP(-LN(2)/2)*DH168+(1-EXP(-LN(2)/2))/(LN(2)/2)*DB169*DE169*VLOOKUP('Données projet'!$B$13,Paramètres!$A$1:$I$89,3,0)*0.475*44/12</f>
        <v>7.7922162037545626E-12</v>
      </c>
      <c r="DI169" s="22">
        <f t="shared" si="175"/>
        <v>15.587060186430984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5.6843418860808015E-13</v>
      </c>
      <c r="DP169" s="17">
        <f>DO169*VLOOKUP('Données projet'!$B$14,Paramètres!$A$1:$I$89,3,0)*VLOOKUP('Données projet'!$B$14,Paramètres!$A$1:$I$89,5,0)</f>
        <v>3.177547114319168E-13</v>
      </c>
      <c r="DQ169" s="13">
        <f t="shared" si="176"/>
        <v>4.1725404435445377E-12</v>
      </c>
      <c r="DR169" s="20">
        <f t="shared" si="177"/>
        <v>7.820597394917325E-12</v>
      </c>
      <c r="DS169" s="59">
        <f t="shared" si="125"/>
        <v>288.31469419487127</v>
      </c>
      <c r="DT169" s="59">
        <f ca="1">AVERAGE(OFFSET($DS$3,0,0,'Données projet'!$E$14+1,1))-AVERAGE(OFFSET($H$3,0,0,'Données projet'!$E$14+1,1))</f>
        <v>407.05634973057056</v>
      </c>
      <c r="DU169" s="59">
        <f t="shared" si="152"/>
        <v>375.32891954889965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34.471249238134085</v>
      </c>
      <c r="EB169" s="21">
        <f>EXP(-LN(2)/25)*EB168+(1-EXP(-LN(2)/25))/(LN(2)/25)*Calculateur!DW169*Calculateur!DY169*VLOOKUP('Données projet'!$B$14,Paramètres!$A$1:$I$89,3,0)*0.475*44/12</f>
        <v>5.3599996610863023</v>
      </c>
      <c r="EC169" s="21">
        <f>EXP(-LN(2)/2)*EC168+(1-EXP(-LN(2)/2))/(LN(2)/2)*DW169*DZ169*VLOOKUP('Données projet'!$B$14,Paramètres!$A$1:$I$89,3,0)*0.475*44/12</f>
        <v>2.6824950908668622E-13</v>
      </c>
      <c r="ED169" s="22">
        <f t="shared" si="178"/>
        <v>39.831248899220654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1.1368683772161603E-13</v>
      </c>
      <c r="EK169" s="17">
        <f>EJ169*VLOOKUP('Données projet'!$B$15,Paramètres!$A$1:$I$89,3,0)*VLOOKUP('Données projet'!$B$15,Paramètres!$A$1:$I$89,5,0)</f>
        <v>5.0249582272954292E-14</v>
      </c>
      <c r="EL169" s="13">
        <f t="shared" si="179"/>
        <v>8.1784820119191593E-13</v>
      </c>
      <c r="EM169" s="20">
        <f t="shared" si="180"/>
        <v>1.5119369728679821E-12</v>
      </c>
      <c r="EN169" s="59">
        <f t="shared" si="128"/>
        <v>288.31469419486496</v>
      </c>
      <c r="EO169" s="59">
        <f ca="1">AVERAGE(OFFSET($EN$3,0,0,'Données projet'!$E$15+1,1))-AVERAGE(OFFSET($H$3,0,0,'Données projet'!$E$15+1,1))</f>
        <v>418.28022549686278</v>
      </c>
      <c r="EP169" s="59">
        <f t="shared" si="154"/>
        <v>354.55070454517158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37.629400651060408</v>
      </c>
      <c r="EW169" s="21">
        <f>EXP(-LN(2)/25)*EW168+(1-EXP(-LN(2)/25))/(LN(2)/25)*Calculateur!ER169*Calculateur!ET169*VLOOKUP('Données projet'!$B$15,Paramètres!$A$1:$I$89,3,0)*0.475*44/12</f>
        <v>6.6246215895491245</v>
      </c>
      <c r="EX169" s="21">
        <f>EXP(-LN(2)/2)*EX168+(1-EXP(-LN(2)/2))/(LN(2)/2)*ER169*EU169*VLOOKUP('Données projet'!$B$15,Paramètres!$A$1:$I$89,3,0)*0.475*44/12</f>
        <v>8.9362278195409841E-12</v>
      </c>
      <c r="EY169" s="22">
        <f t="shared" si="181"/>
        <v>44.254022240618468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7.6783333333333319</v>
      </c>
      <c r="FE169" s="12">
        <f>IF('Données projet'!$A$218&gt;35,FE168+FD169-FM168,IF(A169&lt;'Données projet'!$A$218,$FB$205^A169,IF(A169='Données projet'!$A$218,'Données projet'!$B$218,FE168+FD169-FM168)))</f>
        <v>420.29333333333301</v>
      </c>
      <c r="FF169" s="17">
        <f>FE169*VLOOKUP('Données projet'!$B$16,Paramètres!$A$1:$I$89,3,0)*VLOOKUP('Données projet'!$B$16,Paramètres!$A$1:$I$89,5,0)</f>
        <v>478.63004799999959</v>
      </c>
      <c r="FG169" s="13">
        <f t="shared" si="182"/>
        <v>107.54742816141284</v>
      </c>
      <c r="FH169" s="20">
        <f t="shared" si="183"/>
        <v>1020.9257709811267</v>
      </c>
      <c r="FI169" s="59">
        <f t="shared" si="131"/>
        <v>1309.24046517599</v>
      </c>
      <c r="FJ169" s="59">
        <f ca="1">AVERAGE(OFFSET($FI$3,0,0,'Données projet'!$E$16+1,1))-AVERAGE(OFFSET($H$3,0,0,'Données projet'!$E$16+1,1))</f>
        <v>640.05156427113661</v>
      </c>
      <c r="FK169" s="59">
        <f t="shared" si="156"/>
        <v>308.77220155372902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38.76035910346134</v>
      </c>
      <c r="FR169" s="21">
        <f>EXP(-LN(2)/25)*FR168+(1-EXP(-LN(2)/25))/(LN(2)/25)*Calculateur!FM169*Calculateur!FO169*VLOOKUP('Données projet'!$B$16,Paramètres!$A$1:$I$89,3,0)*0.475*44/12</f>
        <v>19.45823181562324</v>
      </c>
      <c r="FS169" s="21">
        <f>EXP(-LN(2)/2)*FS168+(1-EXP(-LN(2)/2))/(LN(2)/2)*FM169*FP169*VLOOKUP('Données projet'!$B$16,Paramètres!$A$1:$I$89,3,0)*0.475*44/12</f>
        <v>3.2389034319832322E-3</v>
      </c>
      <c r="FT169" s="22">
        <f t="shared" si="184"/>
        <v>58.221829822516561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288.40175636392161</v>
      </c>
      <c r="S170" s="59">
        <f ca="1">AVERAGE(OFFSET($R$3,0,0,'Données projet'!$E$9+1,1))-AVERAGE(OFFSET($H$3,0,0,'Données projet'!$E$9+1,1))</f>
        <v>318.50474972254085</v>
      </c>
      <c r="T170" s="59">
        <f t="shared" si="142"/>
        <v>326.45858332753562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16.684528869592004</v>
      </c>
      <c r="AA170" s="21">
        <f>EXP(-LN(2)/25)*AA169+(1-EXP(-LN(2)/25))/(LN(2)/25)*Calculateur!V170*Calculateur!X170*VLOOKUP('Données projet'!$B$9,Paramètres!$A$1:$I$89,3,0)*0.475*44/12</f>
        <v>2.4934484563811892</v>
      </c>
      <c r="AB170" s="21">
        <f>EXP(-LN(2)/2)*AB169+(1-EXP(-LN(2)/2))/(LN(2)/2)*V170*Y170*VLOOKUP('Données projet'!$B$9,Paramètres!$A$1:$I$89,3,0)*0.475*44/12</f>
        <v>4.7072504594372843E-15</v>
      </c>
      <c r="AC170" s="22">
        <f t="shared" si="163"/>
        <v>19.177977325973195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1.7053025658242404E-13</v>
      </c>
      <c r="AJ170" s="13">
        <f>AI170*VLOOKUP('Données projet'!$B$10,Paramètres!$A$1:$I$89,3,0)*VLOOKUP('Données projet'!$B$10,Paramètres!$A$1:$I$89,5,0)</f>
        <v>7.9808160080574461E-14</v>
      </c>
      <c r="AK170" s="13">
        <f t="shared" si="164"/>
        <v>1.2308384591775343E-12</v>
      </c>
      <c r="AL170" s="20">
        <f t="shared" si="165"/>
        <v>2.282709528541206E-12</v>
      </c>
      <c r="AM170" s="59">
        <f t="shared" si="113"/>
        <v>288.40175636392189</v>
      </c>
      <c r="AN170" s="59">
        <f ca="1">AVERAGE(OFFSET($AM$3,0,0,'Données projet'!$E$10+1,1))-AVERAGE(OFFSET($H$3,0,0,'Données projet'!$E$10+1,1))</f>
        <v>374.38106339726073</v>
      </c>
      <c r="AO170" s="59">
        <f t="shared" si="144"/>
        <v>296.53283288925957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71.299753275755506</v>
      </c>
      <c r="AV170" s="21">
        <f>EXP(-LN(2)/25)*AV169+(1-EXP(-LN(2)/25))/(LN(2)/25)*Calculateur!AQ170*Calculateur!AS170*VLOOKUP('Données projet'!$B$10,Paramètres!$A$1:$I$89,3,0)*0.475*44/12</f>
        <v>16.553499470859183</v>
      </c>
      <c r="AW170" s="21">
        <f>EXP(-LN(2)/2)*AW169+(1-EXP(-LN(2)/2))/(LN(2)/2)*AQ170*AT170*VLOOKUP('Données projet'!$B$10,Paramètres!$A$1:$I$89,3,0)*0.475*44/12</f>
        <v>1.2362920255500341E-4</v>
      </c>
      <c r="AX170" s="21">
        <f t="shared" si="166"/>
        <v>87.853376375817234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9.6220000000000034</v>
      </c>
      <c r="BD170" s="12">
        <f>IF('Données projet'!$A$88&gt;35,BD169+BC170-BL169,IF(A170&lt;'Données projet'!$A$88,$BA$205^A170,IF(A170='Données projet'!$A$88,'Données projet'!$B$88,BD169+BC170-BL169)))</f>
        <v>543.16600000000119</v>
      </c>
      <c r="BE170" s="13">
        <f>BD170*VLOOKUP('Données projet'!$B$11,Paramètres!$A$1:$I$89,3,0)*VLOOKUP('Données projet'!$B$11,Paramètres!$A$1:$I$89,5,0)</f>
        <v>491.45659680000102</v>
      </c>
      <c r="BF170" s="13">
        <f t="shared" si="167"/>
        <v>110.09012381497753</v>
      </c>
      <c r="BG170" s="20">
        <f t="shared" si="168"/>
        <v>1047.6938717377543</v>
      </c>
      <c r="BH170" s="59">
        <f t="shared" si="116"/>
        <v>1336.0956281016738</v>
      </c>
      <c r="BI170" s="59">
        <f ca="1">AVERAGE(OFFSET($BH$3,0,0,'Données projet'!$E$11+1,1))-AVERAGE(OFFSET($H$3,0,0,'Données projet'!$E$11+1,1))</f>
        <v>681.47578137804555</v>
      </c>
      <c r="BJ170" s="59">
        <f t="shared" si="146"/>
        <v>300.88511065995885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55.232113433722205</v>
      </c>
      <c r="BQ170" s="21">
        <f>EXP(-LN(2)/25)*BQ169+(1-EXP(-LN(2)/25))/(LN(2)/25)*Calculateur!BL170*Calculateur!BN170*VLOOKUP('Données projet'!$B$11,Paramètres!$A$1:$I$89,3,0)*0.475*44/12</f>
        <v>21.171744878952261</v>
      </c>
      <c r="BR170" s="21">
        <f>EXP(-LN(2)/2)*BR169+(1-EXP(-LN(2)/2))/(LN(2)/2)*BL170*BO170*VLOOKUP('Données projet'!$B$11,Paramètres!$A$1:$I$89,3,0)*0.475*44/12</f>
        <v>1.7216078382820342E-6</v>
      </c>
      <c r="BS170" s="22">
        <f t="shared" si="169"/>
        <v>76.403860034282303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8.5265128291212022E-14</v>
      </c>
      <c r="BZ170" s="13">
        <f>BY170*VLOOKUP('Données projet'!$B$12,Paramètres!$A$1:$I$89,3,0)*VLOOKUP('Données projet'!$B$12,Paramètres!$A$1:$I$89,5,0)</f>
        <v>8.9119112089974823E-14</v>
      </c>
      <c r="CA170" s="13">
        <f t="shared" si="170"/>
        <v>1.3568952080113142E-12</v>
      </c>
      <c r="CB170" s="20">
        <f t="shared" si="171"/>
        <v>2.5184749408430782E-12</v>
      </c>
      <c r="CC170" s="59">
        <f t="shared" si="119"/>
        <v>288.40175636392212</v>
      </c>
      <c r="CD170" s="59">
        <f ca="1">AVERAGE(OFFSET($CC$3,0,0,'Données projet'!$E$12+1,1))-AVERAGE(OFFSET($H$3,0,0,'Données projet'!$E$12+1,1))</f>
        <v>290.69667785754848</v>
      </c>
      <c r="CE170" s="59">
        <f t="shared" si="148"/>
        <v>256.28124185489082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4.7222070332299486</v>
      </c>
      <c r="CL170" s="21">
        <f>EXP(-LN(2)/25)*CL169+(1-EXP(-LN(2)/25))/(LN(2)/25)*Calculateur!CG170*Calculateur!CI170*VLOOKUP('Données projet'!$B$12,Paramètres!$A$1:$I$89,3,0)*0.475*44/12</f>
        <v>7.091568036061183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11.813775069291133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408.246209980743</v>
      </c>
      <c r="CZ170" s="59">
        <f t="shared" si="150"/>
        <v>394.10236303013903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10.190535616223135</v>
      </c>
      <c r="DG170" s="21">
        <f>EXP(-LN(2)/25)*DG169+(1-EXP(-LN(2)/25))/(LN(2)/25)*Calculateur!DB170*Calculateur!DD170*VLOOKUP('Données projet'!$B$13,Paramètres!$A$1:$I$89,3,0)*0.475*44/12</f>
        <v>5.05070287197747</v>
      </c>
      <c r="DH170" s="21">
        <f>EXP(-LN(2)/2)*DH169+(1-EXP(-LN(2)/2))/(LN(2)/2)*DB170*DE170*VLOOKUP('Données projet'!$B$13,Paramètres!$A$1:$I$89,3,0)*0.475*44/12</f>
        <v>5.5099289181465476E-12</v>
      </c>
      <c r="DI170" s="22">
        <f t="shared" si="175"/>
        <v>15.241238488206115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5.6843418860808015E-13</v>
      </c>
      <c r="DP170" s="17">
        <f>DO170*VLOOKUP('Données projet'!$B$14,Paramètres!$A$1:$I$89,3,0)*VLOOKUP('Données projet'!$B$14,Paramètres!$A$1:$I$89,5,0)</f>
        <v>3.177547114319168E-13</v>
      </c>
      <c r="DQ170" s="13">
        <f t="shared" si="176"/>
        <v>4.1725404435445377E-12</v>
      </c>
      <c r="DR170" s="20">
        <f t="shared" si="177"/>
        <v>7.820597394917325E-12</v>
      </c>
      <c r="DS170" s="59">
        <f t="shared" si="125"/>
        <v>288.40175636392746</v>
      </c>
      <c r="DT170" s="59">
        <f ca="1">AVERAGE(OFFSET($DS$3,0,0,'Données projet'!$E$14+1,1))-AVERAGE(OFFSET($H$3,0,0,'Données projet'!$E$14+1,1))</f>
        <v>407.05634973057056</v>
      </c>
      <c r="DU170" s="59">
        <f t="shared" si="152"/>
        <v>375.32891954889965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33.795289065960226</v>
      </c>
      <c r="EB170" s="21">
        <f>EXP(-LN(2)/25)*EB169+(1-EXP(-LN(2)/25))/(LN(2)/25)*Calculateur!DW170*Calculateur!DY170*VLOOKUP('Données projet'!$B$14,Paramètres!$A$1:$I$89,3,0)*0.475*44/12</f>
        <v>5.2134301884837653</v>
      </c>
      <c r="EC170" s="21">
        <f>EXP(-LN(2)/2)*EC169+(1-EXP(-LN(2)/2))/(LN(2)/2)*DW170*DZ170*VLOOKUP('Données projet'!$B$14,Paramètres!$A$1:$I$89,3,0)*0.475*44/12</f>
        <v>1.8968104692515823E-13</v>
      </c>
      <c r="ED170" s="22">
        <f t="shared" si="178"/>
        <v>39.008719254444181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1.1368683772161603E-13</v>
      </c>
      <c r="EK170" s="17">
        <f>EJ170*VLOOKUP('Données projet'!$B$15,Paramètres!$A$1:$I$89,3,0)*VLOOKUP('Données projet'!$B$15,Paramètres!$A$1:$I$89,5,0)</f>
        <v>5.0249582272954292E-14</v>
      </c>
      <c r="EL170" s="13">
        <f t="shared" si="179"/>
        <v>8.1784820119191593E-13</v>
      </c>
      <c r="EM170" s="20">
        <f t="shared" si="180"/>
        <v>1.5119369728679821E-12</v>
      </c>
      <c r="EN170" s="59">
        <f t="shared" si="128"/>
        <v>288.40175636392115</v>
      </c>
      <c r="EO170" s="59">
        <f ca="1">AVERAGE(OFFSET($EN$3,0,0,'Données projet'!$E$15+1,1))-AVERAGE(OFFSET($H$3,0,0,'Données projet'!$E$15+1,1))</f>
        <v>418.28022549686278</v>
      </c>
      <c r="EP170" s="59">
        <f t="shared" si="154"/>
        <v>354.55070454517158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36.891511055961224</v>
      </c>
      <c r="EW170" s="21">
        <f>EXP(-LN(2)/25)*EW169+(1-EXP(-LN(2)/25))/(LN(2)/25)*Calculateur!ER170*Calculateur!ET170*VLOOKUP('Données projet'!$B$15,Paramètres!$A$1:$I$89,3,0)*0.475*44/12</f>
        <v>6.4434709638091947</v>
      </c>
      <c r="EX170" s="21">
        <f>EXP(-LN(2)/2)*EX169+(1-EXP(-LN(2)/2))/(LN(2)/2)*ER170*EU170*VLOOKUP('Données projet'!$B$15,Paramètres!$A$1:$I$89,3,0)*0.475*44/12</f>
        <v>6.3188672894253054E-12</v>
      </c>
      <c r="EY170" s="22">
        <f t="shared" si="181"/>
        <v>43.334982019776739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7.6783333333333319</v>
      </c>
      <c r="FE170" s="12">
        <f>IF('Données projet'!$A$218&gt;35,FE169+FD170-FM169,IF(A170&lt;'Données projet'!$A$218,$FB$205^A170,IF(A170='Données projet'!$A$218,'Données projet'!$B$218,FE169+FD170-FM169)))</f>
        <v>427.97166666666635</v>
      </c>
      <c r="FF170" s="17">
        <f>FE170*VLOOKUP('Données projet'!$B$16,Paramètres!$A$1:$I$89,3,0)*VLOOKUP('Données projet'!$B$16,Paramètres!$A$1:$I$89,5,0)</f>
        <v>487.37413399999963</v>
      </c>
      <c r="FG170" s="13">
        <f t="shared" si="182"/>
        <v>109.28167654445673</v>
      </c>
      <c r="FH170" s="20">
        <f t="shared" si="183"/>
        <v>1039.1755366982613</v>
      </c>
      <c r="FI170" s="59">
        <f t="shared" si="131"/>
        <v>1327.5772930621811</v>
      </c>
      <c r="FJ170" s="59">
        <f ca="1">AVERAGE(OFFSET($FI$3,0,0,'Données projet'!$E$16+1,1))-AVERAGE(OFFSET($H$3,0,0,'Données projet'!$E$16+1,1))</f>
        <v>640.05156427113661</v>
      </c>
      <c r="FK170" s="59">
        <f t="shared" si="156"/>
        <v>308.77220155372902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38.000292102927112</v>
      </c>
      <c r="FR170" s="21">
        <f>EXP(-LN(2)/25)*FR169+(1-EXP(-LN(2)/25))/(LN(2)/25)*Calculateur!FM170*Calculateur!FO170*VLOOKUP('Données projet'!$B$16,Paramètres!$A$1:$I$89,3,0)*0.475*44/12</f>
        <v>18.926145443361083</v>
      </c>
      <c r="FS170" s="21">
        <f>EXP(-LN(2)/2)*FS169+(1-EXP(-LN(2)/2))/(LN(2)/2)*FM170*FP170*VLOOKUP('Données projet'!$B$16,Paramètres!$A$1:$I$89,3,0)*0.475*44/12</f>
        <v>2.2902505803637251E-3</v>
      </c>
      <c r="FT170" s="22">
        <f t="shared" si="184"/>
        <v>56.928727796868564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288.48730819898651</v>
      </c>
      <c r="S171" s="59">
        <f ca="1">AVERAGE(OFFSET($R$3,0,0,'Données projet'!$E$9+1,1))-AVERAGE(OFFSET($H$3,0,0,'Données projet'!$E$9+1,1))</f>
        <v>318.50474972254085</v>
      </c>
      <c r="T171" s="59">
        <f t="shared" si="142"/>
        <v>326.45858332753562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16.357355435017062</v>
      </c>
      <c r="AA171" s="21">
        <f>EXP(-LN(2)/25)*AA170+(1-EXP(-LN(2)/25))/(LN(2)/25)*Calculateur!V171*Calculateur!X171*VLOOKUP('Données projet'!$B$9,Paramètres!$A$1:$I$89,3,0)*0.475*44/12</f>
        <v>2.4252649772166901</v>
      </c>
      <c r="AB171" s="21">
        <f>EXP(-LN(2)/2)*AB170+(1-EXP(-LN(2)/2))/(LN(2)/2)*V171*Y171*VLOOKUP('Données projet'!$B$9,Paramètres!$A$1:$I$89,3,0)*0.475*44/12</f>
        <v>3.3285287206115951E-15</v>
      </c>
      <c r="AC171" s="22">
        <f t="shared" si="163"/>
        <v>18.782620412233758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1.7053025658242404E-13</v>
      </c>
      <c r="AJ171" s="13">
        <f>AI171*VLOOKUP('Données projet'!$B$10,Paramètres!$A$1:$I$89,3,0)*VLOOKUP('Données projet'!$B$10,Paramètres!$A$1:$I$89,5,0)</f>
        <v>7.9808160080574461E-14</v>
      </c>
      <c r="AK171" s="13">
        <f t="shared" si="164"/>
        <v>1.2308384591775343E-12</v>
      </c>
      <c r="AL171" s="20">
        <f t="shared" si="165"/>
        <v>2.282709528541206E-12</v>
      </c>
      <c r="AM171" s="59">
        <f t="shared" si="113"/>
        <v>288.4873081989868</v>
      </c>
      <c r="AN171" s="59">
        <f ca="1">AVERAGE(OFFSET($AM$3,0,0,'Données projet'!$E$10+1,1))-AVERAGE(OFFSET($H$3,0,0,'Données projet'!$E$10+1,1))</f>
        <v>374.38106339726073</v>
      </c>
      <c r="AO171" s="59">
        <f t="shared" si="144"/>
        <v>296.53283288925957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69.901608602573305</v>
      </c>
      <c r="AV171" s="21">
        <f>EXP(-LN(2)/25)*AV170+(1-EXP(-LN(2)/25))/(LN(2)/25)*Calculateur!AQ171*Calculateur!AS171*VLOOKUP('Données projet'!$B$10,Paramètres!$A$1:$I$89,3,0)*0.475*44/12</f>
        <v>16.100843157317836</v>
      </c>
      <c r="AW171" s="21">
        <f>EXP(-LN(2)/2)*AW170+(1-EXP(-LN(2)/2))/(LN(2)/2)*AQ171*AT171*VLOOKUP('Données projet'!$B$10,Paramètres!$A$1:$I$89,3,0)*0.475*44/12</f>
        <v>8.7419047479328165E-5</v>
      </c>
      <c r="AX171" s="21">
        <f t="shared" si="166"/>
        <v>86.002539178938619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9.6220000000000034</v>
      </c>
      <c r="BD171" s="12">
        <f>IF('Données projet'!$A$88&gt;35,BD170+BC171-BL170,IF(A171&lt;'Données projet'!$A$88,$BA$205^A171,IF(A171='Données projet'!$A$88,'Données projet'!$B$88,BD170+BC171-BL170)))</f>
        <v>552.78800000000115</v>
      </c>
      <c r="BE171" s="13">
        <f>BD171*VLOOKUP('Données projet'!$B$11,Paramètres!$A$1:$I$89,3,0)*VLOOKUP('Données projet'!$B$11,Paramètres!$A$1:$I$89,5,0)</f>
        <v>500.16258240000104</v>
      </c>
      <c r="BF171" s="13">
        <f t="shared" si="167"/>
        <v>111.81156339666074</v>
      </c>
      <c r="BG171" s="20">
        <f t="shared" si="168"/>
        <v>1065.8549705958526</v>
      </c>
      <c r="BH171" s="59">
        <f t="shared" si="116"/>
        <v>1354.3422787948371</v>
      </c>
      <c r="BI171" s="59">
        <f ca="1">AVERAGE(OFFSET($BH$3,0,0,'Données projet'!$E$11+1,1))-AVERAGE(OFFSET($H$3,0,0,'Données projet'!$E$11+1,1))</f>
        <v>681.47578137804555</v>
      </c>
      <c r="BJ171" s="59">
        <f t="shared" si="146"/>
        <v>300.88511065995885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54.149045377549669</v>
      </c>
      <c r="BQ171" s="21">
        <f>EXP(-LN(2)/25)*BQ170+(1-EXP(-LN(2)/25))/(LN(2)/25)*Calculateur!BL171*Calculateur!BN171*VLOOKUP('Données projet'!$B$11,Paramètres!$A$1:$I$89,3,0)*0.475*44/12</f>
        <v>20.592802401863636</v>
      </c>
      <c r="BR171" s="21">
        <f>EXP(-LN(2)/2)*BR170+(1-EXP(-LN(2)/2))/(LN(2)/2)*BL171*BO171*VLOOKUP('Données projet'!$B$11,Paramètres!$A$1:$I$89,3,0)*0.475*44/12</f>
        <v>1.2173605769931395E-6</v>
      </c>
      <c r="BS171" s="22">
        <f t="shared" si="169"/>
        <v>74.741848996773882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8.5265128291212022E-14</v>
      </c>
      <c r="BZ171" s="13">
        <f>BY171*VLOOKUP('Données projet'!$B$12,Paramètres!$A$1:$I$89,3,0)*VLOOKUP('Données projet'!$B$12,Paramètres!$A$1:$I$89,5,0)</f>
        <v>8.9119112089974823E-14</v>
      </c>
      <c r="CA171" s="13">
        <f t="shared" si="170"/>
        <v>1.3568952080113142E-12</v>
      </c>
      <c r="CB171" s="20">
        <f t="shared" si="171"/>
        <v>2.5184749408430782E-12</v>
      </c>
      <c r="CC171" s="59">
        <f t="shared" si="119"/>
        <v>288.48730819898702</v>
      </c>
      <c r="CD171" s="59">
        <f ca="1">AVERAGE(OFFSET($CC$3,0,0,'Données projet'!$E$12+1,1))-AVERAGE(OFFSET($H$3,0,0,'Données projet'!$E$12+1,1))</f>
        <v>290.69667785754848</v>
      </c>
      <c r="CE171" s="59">
        <f t="shared" si="148"/>
        <v>256.28124185489082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4.6296074335701975</v>
      </c>
      <c r="CL171" s="21">
        <f>EXP(-LN(2)/25)*CL170+(1-EXP(-LN(2)/25))/(LN(2)/25)*Calculateur!CG171*Calculateur!CI171*VLOOKUP('Données projet'!$B$12,Paramètres!$A$1:$I$89,3,0)*0.475*44/12</f>
        <v>6.8976487351857347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11.527256168755933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408.246209980743</v>
      </c>
      <c r="CZ171" s="59">
        <f t="shared" si="150"/>
        <v>394.10236303013903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9.9907054284019843</v>
      </c>
      <c r="DG171" s="21">
        <f>EXP(-LN(2)/25)*DG170+(1-EXP(-LN(2)/25))/(LN(2)/25)*Calculateur!DB171*Calculateur!DD171*VLOOKUP('Données projet'!$B$13,Paramètres!$A$1:$I$89,3,0)*0.475*44/12</f>
        <v>4.9125911363383254</v>
      </c>
      <c r="DH171" s="21">
        <f>EXP(-LN(2)/2)*DH170+(1-EXP(-LN(2)/2))/(LN(2)/2)*DB171*DE171*VLOOKUP('Données projet'!$B$13,Paramètres!$A$1:$I$89,3,0)*0.475*44/12</f>
        <v>3.8961081018772813E-12</v>
      </c>
      <c r="DI171" s="22">
        <f t="shared" si="175"/>
        <v>14.903296564744204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5.6843418860808015E-13</v>
      </c>
      <c r="DP171" s="17">
        <f>DO171*VLOOKUP('Données projet'!$B$14,Paramètres!$A$1:$I$89,3,0)*VLOOKUP('Données projet'!$B$14,Paramètres!$A$1:$I$89,5,0)</f>
        <v>3.177547114319168E-13</v>
      </c>
      <c r="DQ171" s="13">
        <f t="shared" si="176"/>
        <v>4.1725404435445377E-12</v>
      </c>
      <c r="DR171" s="20">
        <f t="shared" si="177"/>
        <v>7.820597394917325E-12</v>
      </c>
      <c r="DS171" s="59">
        <f t="shared" si="125"/>
        <v>288.48730819899237</v>
      </c>
      <c r="DT171" s="59">
        <f ca="1">AVERAGE(OFFSET($DS$3,0,0,'Données projet'!$E$14+1,1))-AVERAGE(OFFSET($H$3,0,0,'Données projet'!$E$14+1,1))</f>
        <v>407.05634973057056</v>
      </c>
      <c r="DU171" s="59">
        <f t="shared" si="152"/>
        <v>375.32891954889965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33.1325840604677</v>
      </c>
      <c r="EB171" s="21">
        <f>EXP(-LN(2)/25)*EB170+(1-EXP(-LN(2)/25))/(LN(2)/25)*Calculateur!DW171*Calculateur!DY171*VLOOKUP('Données projet'!$B$14,Paramètres!$A$1:$I$89,3,0)*0.475*44/12</f>
        <v>5.0708686658172981</v>
      </c>
      <c r="EC171" s="21">
        <f>EXP(-LN(2)/2)*EC170+(1-EXP(-LN(2)/2))/(LN(2)/2)*DW171*DZ171*VLOOKUP('Données projet'!$B$14,Paramètres!$A$1:$I$89,3,0)*0.475*44/12</f>
        <v>1.3412475454334311E-13</v>
      </c>
      <c r="ED171" s="22">
        <f t="shared" si="178"/>
        <v>38.203452726285136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1.1368683772161603E-13</v>
      </c>
      <c r="EK171" s="17">
        <f>EJ171*VLOOKUP('Données projet'!$B$15,Paramètres!$A$1:$I$89,3,0)*VLOOKUP('Données projet'!$B$15,Paramètres!$A$1:$I$89,5,0)</f>
        <v>5.0249582272954292E-14</v>
      </c>
      <c r="EL171" s="13">
        <f t="shared" si="179"/>
        <v>8.1784820119191593E-13</v>
      </c>
      <c r="EM171" s="20">
        <f t="shared" si="180"/>
        <v>1.5119369728679821E-12</v>
      </c>
      <c r="EN171" s="59">
        <f t="shared" si="128"/>
        <v>288.48730819898606</v>
      </c>
      <c r="EO171" s="59">
        <f ca="1">AVERAGE(OFFSET($EN$3,0,0,'Données projet'!$E$15+1,1))-AVERAGE(OFFSET($H$3,0,0,'Données projet'!$E$15+1,1))</f>
        <v>418.28022549686278</v>
      </c>
      <c r="EP171" s="59">
        <f t="shared" si="154"/>
        <v>354.55070454517158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36.168091025753718</v>
      </c>
      <c r="EW171" s="21">
        <f>EXP(-LN(2)/25)*EW170+(1-EXP(-LN(2)/25))/(LN(2)/25)*Calculateur!ER171*Calculateur!ET171*VLOOKUP('Données projet'!$B$15,Paramètres!$A$1:$I$89,3,0)*0.475*44/12</f>
        <v>6.2672739114564209</v>
      </c>
      <c r="EX171" s="21">
        <f>EXP(-LN(2)/2)*EX170+(1-EXP(-LN(2)/2))/(LN(2)/2)*ER171*EU171*VLOOKUP('Données projet'!$B$15,Paramètres!$A$1:$I$89,3,0)*0.475*44/12</f>
        <v>4.4681139097704921E-12</v>
      </c>
      <c r="EY171" s="22">
        <f t="shared" si="181"/>
        <v>42.435364937214608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>
        <f>VLOOKUP(A171,'Données projet'!$A$217:$I$237,2,0)</f>
        <v>435.65</v>
      </c>
      <c r="FC171" s="12">
        <f>VLOOKUP(A171,'Données projet'!$A$217:$I$237,9,0)</f>
        <v>7.6783333333333319</v>
      </c>
      <c r="FD171" s="12">
        <f t="array" ref="FD171">INDEX(FC:FC,MIN(IF(ISNUMBER(FC171:FC367),ROW(FC171:FC367),"")))</f>
        <v>7.6783333333333319</v>
      </c>
      <c r="FE171" s="12">
        <f>IF('Données projet'!$A$218&gt;35,FE170+FD171-FM170,IF(A171&lt;'Données projet'!$A$218,$FB$205^A171,IF(A171='Données projet'!$A$218,'Données projet'!$B$218,FE170+FD171-FM170)))</f>
        <v>435.64999999999969</v>
      </c>
      <c r="FF171" s="17">
        <f>FE171*VLOOKUP('Données projet'!$B$16,Paramètres!$A$1:$I$89,3,0)*VLOOKUP('Données projet'!$B$16,Paramètres!$A$1:$I$89,5,0)</f>
        <v>496.11821999999967</v>
      </c>
      <c r="FG171" s="13">
        <f t="shared" si="182"/>
        <v>111.01230677013324</v>
      </c>
      <c r="FH171" s="20">
        <f t="shared" si="183"/>
        <v>1057.4190007913146</v>
      </c>
      <c r="FI171" s="59">
        <f t="shared" si="131"/>
        <v>1345.9063089902991</v>
      </c>
      <c r="FJ171" s="59">
        <f ca="1">AVERAGE(OFFSET($FI$3,0,0,'Données projet'!$E$16+1,1))-AVERAGE(OFFSET($H$3,0,0,'Données projet'!$E$16+1,1))</f>
        <v>640.05156427113661</v>
      </c>
      <c r="FK171" s="59">
        <f t="shared" si="156"/>
        <v>308.77220155372902</v>
      </c>
      <c r="FL171" s="15">
        <f>IF(ISNA(VLOOKUP(A171,'Données projet'!$A$217:$I$237,3,0)),0,VLOOKUP(A171,'Données projet'!$A$217:$I$237,3,0))</f>
        <v>12</v>
      </c>
      <c r="FM171" s="15">
        <f>IF(ISNA(VLOOKUP(A171,'Données projet'!$A$217:$I$237,4,0)),0,VLOOKUP(A171,'Données projet'!$A$217:$I$237,4,0))</f>
        <v>71.37</v>
      </c>
      <c r="FN171" s="16">
        <f>IF(ISNA(VLOOKUP(A171,'Données projet'!$A$217:$I$237,5,0)),0%,VLOOKUP(A171,'Données projet'!$A$217:$I$237,5,0)*VLOOKUP('Données projet'!$B$16,Paramètres!$A$1:$I$89,7,0))</f>
        <v>0.215</v>
      </c>
      <c r="FO171" s="16">
        <f>IF(ISNA(VLOOKUP(A171,'Données projet'!$A$217:$I$237,6,0)),0%,VLOOKUP(A171,'Données projet'!$A$217:$I$237,6,0)*VLOOKUP('Données projet'!$B$16,Paramètres!$A$1:$I$89,7,0))</f>
        <v>8.6000000000000007E-2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56.572531902042613</v>
      </c>
      <c r="FR171" s="21">
        <f>EXP(-LN(2)/25)*FR170+(1-EXP(-LN(2)/25))/(LN(2)/25)*Calculateur!FM171*Calculateur!FO171*VLOOKUP('Données projet'!$B$16,Paramètres!$A$1:$I$89,3,0)*0.475*44/12</f>
        <v>26.105145951252659</v>
      </c>
      <c r="FS171" s="21">
        <f>EXP(-LN(2)/2)*FS170+(1-EXP(-LN(2)/2))/(LN(2)/2)*FM171*FP171*VLOOKUP('Données projet'!$B$16,Paramètres!$A$1:$I$89,3,0)*0.475*44/12</f>
        <v>1.6194517159916161E-3</v>
      </c>
      <c r="FT171" s="22">
        <f t="shared" si="184"/>
        <v>82.679297305011275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288.57137590097841</v>
      </c>
      <c r="S172" s="59">
        <f ca="1">AVERAGE(OFFSET($R$3,0,0,'Données projet'!$E$9+1,1))-AVERAGE(OFFSET($H$3,0,0,'Données projet'!$E$9+1,1))</f>
        <v>318.50474972254085</v>
      </c>
      <c r="T172" s="59">
        <f t="shared" si="142"/>
        <v>326.45858332753562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16.036597671938047</v>
      </c>
      <c r="AA172" s="21">
        <f>EXP(-LN(2)/25)*AA171+(1-EXP(-LN(2)/25))/(LN(2)/25)*Calculateur!V172*Calculateur!X172*VLOOKUP('Données projet'!$B$9,Paramètres!$A$1:$I$89,3,0)*0.475*44/12</f>
        <v>2.3589459788755578</v>
      </c>
      <c r="AB172" s="21">
        <f>EXP(-LN(2)/2)*AB171+(1-EXP(-LN(2)/2))/(LN(2)/2)*V172*Y172*VLOOKUP('Données projet'!$B$9,Paramètres!$A$1:$I$89,3,0)*0.475*44/12</f>
        <v>2.3536252297186421E-15</v>
      </c>
      <c r="AC172" s="22">
        <f t="shared" si="163"/>
        <v>18.395543650813607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1.7053025658242404E-13</v>
      </c>
      <c r="AJ172" s="13">
        <f>AI172*VLOOKUP('Données projet'!$B$10,Paramètres!$A$1:$I$89,3,0)*VLOOKUP('Données projet'!$B$10,Paramètres!$A$1:$I$89,5,0)</f>
        <v>7.9808160080574461E-14</v>
      </c>
      <c r="AK172" s="13">
        <f t="shared" si="164"/>
        <v>1.2308384591775343E-12</v>
      </c>
      <c r="AL172" s="20">
        <f t="shared" si="165"/>
        <v>2.282709528541206E-12</v>
      </c>
      <c r="AM172" s="59">
        <f t="shared" si="113"/>
        <v>288.57137590097869</v>
      </c>
      <c r="AN172" s="59">
        <f ca="1">AVERAGE(OFFSET($AM$3,0,0,'Données projet'!$E$10+1,1))-AVERAGE(OFFSET($H$3,0,0,'Données projet'!$E$10+1,1))</f>
        <v>374.38106339726073</v>
      </c>
      <c r="AO172" s="59">
        <f t="shared" si="144"/>
        <v>296.53283288925957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68.530880693648157</v>
      </c>
      <c r="AV172" s="21">
        <f>EXP(-LN(2)/25)*AV171+(1-EXP(-LN(2)/25))/(LN(2)/25)*Calculateur!AQ172*Calculateur!AS172*VLOOKUP('Données projet'!$B$10,Paramètres!$A$1:$I$89,3,0)*0.475*44/12</f>
        <v>15.660564754474438</v>
      </c>
      <c r="AW172" s="21">
        <f>EXP(-LN(2)/2)*AW171+(1-EXP(-LN(2)/2))/(LN(2)/2)*AQ172*AT172*VLOOKUP('Données projet'!$B$10,Paramètres!$A$1:$I$89,3,0)*0.475*44/12</f>
        <v>6.1814601277501707E-5</v>
      </c>
      <c r="AX172" s="21">
        <f t="shared" si="166"/>
        <v>84.191507262723874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9.6220000000000034</v>
      </c>
      <c r="BD172" s="12">
        <f>IF('Données projet'!$A$88&gt;35,BD171+BC172-BL171,IF(A172&lt;'Données projet'!$A$88,$BA$205^A172,IF(A172='Données projet'!$A$88,'Données projet'!$B$88,BD171+BC172-BL171)))</f>
        <v>562.41000000000111</v>
      </c>
      <c r="BE172" s="13">
        <f>BD172*VLOOKUP('Données projet'!$B$11,Paramètres!$A$1:$I$89,3,0)*VLOOKUP('Données projet'!$B$11,Paramètres!$A$1:$I$89,5,0)</f>
        <v>508.86856800000095</v>
      </c>
      <c r="BF172" s="13">
        <f t="shared" si="167"/>
        <v>113.52951852374844</v>
      </c>
      <c r="BG172" s="20">
        <f t="shared" si="168"/>
        <v>1084.0100006955302</v>
      </c>
      <c r="BH172" s="59">
        <f t="shared" si="116"/>
        <v>1372.5813765965065</v>
      </c>
      <c r="BI172" s="59">
        <f ca="1">AVERAGE(OFFSET($BH$3,0,0,'Données projet'!$E$11+1,1))-AVERAGE(OFFSET($H$3,0,0,'Données projet'!$E$11+1,1))</f>
        <v>681.47578137804555</v>
      </c>
      <c r="BJ172" s="59">
        <f t="shared" si="146"/>
        <v>300.88511065995885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53.087215625352393</v>
      </c>
      <c r="BQ172" s="21">
        <f>EXP(-LN(2)/25)*BQ171+(1-EXP(-LN(2)/25))/(LN(2)/25)*Calculateur!BL172*Calculateur!BN172*VLOOKUP('Données projet'!$B$11,Paramètres!$A$1:$I$89,3,0)*0.475*44/12</f>
        <v>20.029691137256261</v>
      </c>
      <c r="BR172" s="21">
        <f>EXP(-LN(2)/2)*BR171+(1-EXP(-LN(2)/2))/(LN(2)/2)*BL172*BO172*VLOOKUP('Données projet'!$B$11,Paramètres!$A$1:$I$89,3,0)*0.475*44/12</f>
        <v>8.6080391914101712E-7</v>
      </c>
      <c r="BS172" s="22">
        <f t="shared" si="169"/>
        <v>73.116907623412573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8.5265128291212022E-14</v>
      </c>
      <c r="BZ172" s="13">
        <f>BY172*VLOOKUP('Données projet'!$B$12,Paramètres!$A$1:$I$89,3,0)*VLOOKUP('Données projet'!$B$12,Paramètres!$A$1:$I$89,5,0)</f>
        <v>8.9119112089974823E-14</v>
      </c>
      <c r="CA172" s="13">
        <f t="shared" si="170"/>
        <v>1.3568952080113142E-12</v>
      </c>
      <c r="CB172" s="20">
        <f t="shared" si="171"/>
        <v>2.5184749408430782E-12</v>
      </c>
      <c r="CC172" s="59">
        <f t="shared" si="119"/>
        <v>288.57137590097892</v>
      </c>
      <c r="CD172" s="59">
        <f ca="1">AVERAGE(OFFSET($CC$3,0,0,'Données projet'!$E$12+1,1))-AVERAGE(OFFSET($H$3,0,0,'Données projet'!$E$12+1,1))</f>
        <v>290.69667785754848</v>
      </c>
      <c r="CE172" s="59">
        <f t="shared" si="148"/>
        <v>256.28124185489082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4.5388236555795949</v>
      </c>
      <c r="CL172" s="21">
        <f>EXP(-LN(2)/25)*CL171+(1-EXP(-LN(2)/25))/(LN(2)/25)*Calculateur!CG172*Calculateur!CI172*VLOOKUP('Données projet'!$B$12,Paramètres!$A$1:$I$89,3,0)*0.475*44/12</f>
        <v>6.7090321677904985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11.247855823370093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408.246209980743</v>
      </c>
      <c r="CZ172" s="59">
        <f t="shared" si="150"/>
        <v>394.10236303013903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9.7947937886796268</v>
      </c>
      <c r="DG172" s="21">
        <f>EXP(-LN(2)/25)*DG171+(1-EXP(-LN(2)/25))/(LN(2)/25)*Calculateur!DB172*Calculateur!DD172*VLOOKUP('Données projet'!$B$13,Paramètres!$A$1:$I$89,3,0)*0.475*44/12</f>
        <v>4.778256073373214</v>
      </c>
      <c r="DH172" s="21">
        <f>EXP(-LN(2)/2)*DH171+(1-EXP(-LN(2)/2))/(LN(2)/2)*DB172*DE172*VLOOKUP('Données projet'!$B$13,Paramètres!$A$1:$I$89,3,0)*0.475*44/12</f>
        <v>2.7549644590732738E-12</v>
      </c>
      <c r="DI172" s="22">
        <f t="shared" si="175"/>
        <v>14.573049862055596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5.6843418860808015E-13</v>
      </c>
      <c r="DP172" s="17">
        <f>DO172*VLOOKUP('Données projet'!$B$14,Paramètres!$A$1:$I$89,3,0)*VLOOKUP('Données projet'!$B$14,Paramètres!$A$1:$I$89,5,0)</f>
        <v>3.177547114319168E-13</v>
      </c>
      <c r="DQ172" s="13">
        <f t="shared" si="176"/>
        <v>4.1725404435445377E-12</v>
      </c>
      <c r="DR172" s="20">
        <f t="shared" si="177"/>
        <v>7.820597394917325E-12</v>
      </c>
      <c r="DS172" s="59">
        <f t="shared" si="125"/>
        <v>288.57137590098426</v>
      </c>
      <c r="DT172" s="59">
        <f ca="1">AVERAGE(OFFSET($DS$3,0,0,'Données projet'!$E$14+1,1))-AVERAGE(OFFSET($H$3,0,0,'Données projet'!$E$14+1,1))</f>
        <v>407.05634973057056</v>
      </c>
      <c r="DU172" s="59">
        <f t="shared" si="152"/>
        <v>375.32891954889965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32.482874295922741</v>
      </c>
      <c r="EB172" s="21">
        <f>EXP(-LN(2)/25)*EB171+(1-EXP(-LN(2)/25))/(LN(2)/25)*Calculateur!DW172*Calculateur!DY172*VLOOKUP('Données projet'!$B$14,Paramètres!$A$1:$I$89,3,0)*0.475*44/12</f>
        <v>4.9322054954851309</v>
      </c>
      <c r="EC172" s="21">
        <f>EXP(-LN(2)/2)*EC171+(1-EXP(-LN(2)/2))/(LN(2)/2)*DW172*DZ172*VLOOKUP('Données projet'!$B$14,Paramètres!$A$1:$I$89,3,0)*0.475*44/12</f>
        <v>9.4840523462579115E-14</v>
      </c>
      <c r="ED172" s="22">
        <f t="shared" si="178"/>
        <v>37.415079791407962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1.1368683772161603E-13</v>
      </c>
      <c r="EK172" s="17">
        <f>EJ172*VLOOKUP('Données projet'!$B$15,Paramètres!$A$1:$I$89,3,0)*VLOOKUP('Données projet'!$B$15,Paramètres!$A$1:$I$89,5,0)</f>
        <v>5.0249582272954292E-14</v>
      </c>
      <c r="EL172" s="13">
        <f t="shared" si="179"/>
        <v>8.1784820119191593E-13</v>
      </c>
      <c r="EM172" s="20">
        <f t="shared" si="180"/>
        <v>1.5119369728679821E-12</v>
      </c>
      <c r="EN172" s="59">
        <f t="shared" si="128"/>
        <v>288.57137590097796</v>
      </c>
      <c r="EO172" s="59">
        <f ca="1">AVERAGE(OFFSET($EN$3,0,0,'Données projet'!$E$15+1,1))-AVERAGE(OFFSET($H$3,0,0,'Données projet'!$E$15+1,1))</f>
        <v>418.28022549686278</v>
      </c>
      <c r="EP172" s="59">
        <f t="shared" si="154"/>
        <v>354.55070454517158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35.458856821095935</v>
      </c>
      <c r="EW172" s="21">
        <f>EXP(-LN(2)/25)*EW171+(1-EXP(-LN(2)/25))/(LN(2)/25)*Calculateur!ER172*Calculateur!ET172*VLOOKUP('Données projet'!$B$15,Paramètres!$A$1:$I$89,3,0)*0.475*44/12</f>
        <v>6.0958949767660338</v>
      </c>
      <c r="EX172" s="21">
        <f>EXP(-LN(2)/2)*EX171+(1-EXP(-LN(2)/2))/(LN(2)/2)*ER172*EU172*VLOOKUP('Données projet'!$B$15,Paramètres!$A$1:$I$89,3,0)*0.475*44/12</f>
        <v>3.1594336447126527E-12</v>
      </c>
      <c r="EY172" s="22">
        <f t="shared" si="181"/>
        <v>41.55475179786513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7.688333333333337</v>
      </c>
      <c r="FE172" s="12">
        <f>IF('Données projet'!$A$218&gt;35,FE171+FD172-FM171,IF(A172&lt;'Données projet'!$A$218,$FB$205^A172,IF(A172='Données projet'!$A$218,'Données projet'!$B$218,FE171+FD172-FM171)))</f>
        <v>371.96833333333302</v>
      </c>
      <c r="FF172" s="17">
        <f>FE172*VLOOKUP('Données projet'!$B$16,Paramètres!$A$1:$I$89,3,0)*VLOOKUP('Données projet'!$B$16,Paramètres!$A$1:$I$89,5,0)</f>
        <v>423.59753799999964</v>
      </c>
      <c r="FG172" s="13">
        <f t="shared" si="182"/>
        <v>96.544627937527807</v>
      </c>
      <c r="FH172" s="20">
        <f t="shared" si="183"/>
        <v>905.91427234119362</v>
      </c>
      <c r="FI172" s="59">
        <f t="shared" si="131"/>
        <v>1194.4856482421701</v>
      </c>
      <c r="FJ172" s="59">
        <f ca="1">AVERAGE(OFFSET($FI$3,0,0,'Données projet'!$E$16+1,1))-AVERAGE(OFFSET($H$3,0,0,'Données projet'!$E$16+1,1))</f>
        <v>640.05156427113661</v>
      </c>
      <c r="FK172" s="59">
        <f t="shared" si="156"/>
        <v>308.77220155372902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55.463179057280847</v>
      </c>
      <c r="FR172" s="21">
        <f>EXP(-LN(2)/25)*FR171+(1-EXP(-LN(2)/25))/(LN(2)/25)*Calculateur!FM172*Calculateur!FO172*VLOOKUP('Données projet'!$B$16,Paramètres!$A$1:$I$89,3,0)*0.475*44/12</f>
        <v>25.391299362405693</v>
      </c>
      <c r="FS172" s="21">
        <f>EXP(-LN(2)/2)*FS171+(1-EXP(-LN(2)/2))/(LN(2)/2)*FM172*FP172*VLOOKUP('Données projet'!$B$16,Paramètres!$A$1:$I$89,3,0)*0.475*44/12</f>
        <v>1.1451252901818626E-3</v>
      </c>
      <c r="FT172" s="22">
        <f t="shared" si="184"/>
        <v>80.855623544976723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288.65398521628788</v>
      </c>
      <c r="S173" s="59">
        <f ca="1">AVERAGE(OFFSET($R$3,0,0,'Données projet'!$E$9+1,1))-AVERAGE(OFFSET($H$3,0,0,'Données projet'!$E$9+1,1))</f>
        <v>318.50474972254085</v>
      </c>
      <c r="T173" s="59">
        <f t="shared" si="142"/>
        <v>326.45858332753562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15.722129772950092</v>
      </c>
      <c r="AA173" s="21">
        <f>EXP(-LN(2)/25)*AA172+(1-EXP(-LN(2)/25))/(LN(2)/25)*Calculateur!V173*Calculateur!X173*VLOOKUP('Données projet'!$B$9,Paramètres!$A$1:$I$89,3,0)*0.475*44/12</f>
        <v>2.2944404770316282</v>
      </c>
      <c r="AB173" s="21">
        <f>EXP(-LN(2)/2)*AB172+(1-EXP(-LN(2)/2))/(LN(2)/2)*V173*Y173*VLOOKUP('Données projet'!$B$9,Paramètres!$A$1:$I$89,3,0)*0.475*44/12</f>
        <v>1.6642643603057975E-15</v>
      </c>
      <c r="AC173" s="22">
        <f t="shared" si="163"/>
        <v>18.016570249981719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1.7053025658242404E-13</v>
      </c>
      <c r="AJ173" s="13">
        <f>AI173*VLOOKUP('Données projet'!$B$10,Paramètres!$A$1:$I$89,3,0)*VLOOKUP('Données projet'!$B$10,Paramètres!$A$1:$I$89,5,0)</f>
        <v>7.9808160080574461E-14</v>
      </c>
      <c r="AK173" s="13">
        <f t="shared" si="164"/>
        <v>1.2308384591775343E-12</v>
      </c>
      <c r="AL173" s="20">
        <f t="shared" si="165"/>
        <v>2.282709528541206E-12</v>
      </c>
      <c r="AM173" s="59">
        <f t="shared" si="113"/>
        <v>288.65398521628816</v>
      </c>
      <c r="AN173" s="59">
        <f ca="1">AVERAGE(OFFSET($AM$3,0,0,'Données projet'!$E$10+1,1))-AVERAGE(OFFSET($H$3,0,0,'Données projet'!$E$10+1,1))</f>
        <v>374.38106339726073</v>
      </c>
      <c r="AO173" s="59">
        <f t="shared" si="144"/>
        <v>296.53283288925957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67.187031922955555</v>
      </c>
      <c r="AV173" s="21">
        <f>EXP(-LN(2)/25)*AV172+(1-EXP(-LN(2)/25))/(LN(2)/25)*Calculateur!AQ173*Calculateur!AS173*VLOOKUP('Données projet'!$B$10,Paramètres!$A$1:$I$89,3,0)*0.475*44/12</f>
        <v>15.232325787710026</v>
      </c>
      <c r="AW173" s="21">
        <f>EXP(-LN(2)/2)*AW172+(1-EXP(-LN(2)/2))/(LN(2)/2)*AQ173*AT173*VLOOKUP('Données projet'!$B$10,Paramètres!$A$1:$I$89,3,0)*0.475*44/12</f>
        <v>4.3709523739664083E-5</v>
      </c>
      <c r="AX173" s="21">
        <f t="shared" si="166"/>
        <v>82.419401420189317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9.6220000000000034</v>
      </c>
      <c r="BD173" s="12">
        <f>IF('Données projet'!$A$88&gt;35,BD172+BC173-BL172,IF(A173&lt;'Données projet'!$A$88,$BA$205^A173,IF(A173='Données projet'!$A$88,'Données projet'!$B$88,BD172+BC173-BL172)))</f>
        <v>572.03200000000106</v>
      </c>
      <c r="BE173" s="13">
        <f>BD173*VLOOKUP('Données projet'!$B$11,Paramètres!$A$1:$I$89,3,0)*VLOOKUP('Données projet'!$B$11,Paramètres!$A$1:$I$89,5,0)</f>
        <v>517.57455360000097</v>
      </c>
      <c r="BF173" s="13">
        <f t="shared" si="167"/>
        <v>115.24405568945055</v>
      </c>
      <c r="BG173" s="20">
        <f t="shared" si="168"/>
        <v>1102.1590778457946</v>
      </c>
      <c r="BH173" s="59">
        <f t="shared" si="116"/>
        <v>1390.8130630620806</v>
      </c>
      <c r="BI173" s="59">
        <f ca="1">AVERAGE(OFFSET($BH$3,0,0,'Données projet'!$E$11+1,1))-AVERAGE(OFFSET($H$3,0,0,'Données projet'!$E$11+1,1))</f>
        <v>681.47578137804555</v>
      </c>
      <c r="BJ173" s="59">
        <f t="shared" si="146"/>
        <v>300.88511065995885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52.046207706943505</v>
      </c>
      <c r="BQ173" s="21">
        <f>EXP(-LN(2)/25)*BQ172+(1-EXP(-LN(2)/25))/(LN(2)/25)*Calculateur!BL173*Calculateur!BN173*VLOOKUP('Données projet'!$B$11,Paramètres!$A$1:$I$89,3,0)*0.475*44/12</f>
        <v>19.481978179792311</v>
      </c>
      <c r="BR173" s="21">
        <f>EXP(-LN(2)/2)*BR172+(1-EXP(-LN(2)/2))/(LN(2)/2)*BL173*BO173*VLOOKUP('Données projet'!$B$11,Paramètres!$A$1:$I$89,3,0)*0.475*44/12</f>
        <v>6.0868028849656974E-7</v>
      </c>
      <c r="BS173" s="22">
        <f t="shared" si="169"/>
        <v>71.528186495416108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8.5265128291212022E-14</v>
      </c>
      <c r="BZ173" s="13">
        <f>BY173*VLOOKUP('Données projet'!$B$12,Paramètres!$A$1:$I$89,3,0)*VLOOKUP('Données projet'!$B$12,Paramètres!$A$1:$I$89,5,0)</f>
        <v>8.9119112089974823E-14</v>
      </c>
      <c r="CA173" s="13">
        <f t="shared" si="170"/>
        <v>1.3568952080113142E-12</v>
      </c>
      <c r="CB173" s="20">
        <f t="shared" si="171"/>
        <v>2.5184749408430782E-12</v>
      </c>
      <c r="CC173" s="59">
        <f t="shared" si="119"/>
        <v>288.65398521628839</v>
      </c>
      <c r="CD173" s="59">
        <f ca="1">AVERAGE(OFFSET($CC$3,0,0,'Données projet'!$E$12+1,1))-AVERAGE(OFFSET($H$3,0,0,'Données projet'!$E$12+1,1))</f>
        <v>290.69667785754848</v>
      </c>
      <c r="CE173" s="59">
        <f t="shared" si="148"/>
        <v>256.28124185489082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4.4498200921027511</v>
      </c>
      <c r="CL173" s="21">
        <f>EXP(-LN(2)/25)*CL172+(1-EXP(-LN(2)/25))/(LN(2)/25)*Calculateur!CG173*Calculateur!CI173*VLOOKUP('Données projet'!$B$12,Paramètres!$A$1:$I$89,3,0)*0.475*44/12</f>
        <v>6.5255733303495997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10.975393422452351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408.246209980743</v>
      </c>
      <c r="CZ173" s="59">
        <f t="shared" si="150"/>
        <v>394.10236303013903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9.6027238567179243</v>
      </c>
      <c r="DG173" s="21">
        <f>EXP(-LN(2)/25)*DG172+(1-EXP(-LN(2)/25))/(LN(2)/25)*Calculateur!DB173*Calculateur!DD173*VLOOKUP('Données projet'!$B$13,Paramètres!$A$1:$I$89,3,0)*0.475*44/12</f>
        <v>4.6475944097692574</v>
      </c>
      <c r="DH173" s="21">
        <f>EXP(-LN(2)/2)*DH172+(1-EXP(-LN(2)/2))/(LN(2)/2)*DB173*DE173*VLOOKUP('Données projet'!$B$13,Paramètres!$A$1:$I$89,3,0)*0.475*44/12</f>
        <v>1.9480540509386407E-12</v>
      </c>
      <c r="DI173" s="22">
        <f t="shared" si="175"/>
        <v>14.250318266489129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5.6843418860808015E-13</v>
      </c>
      <c r="DP173" s="17">
        <f>DO173*VLOOKUP('Données projet'!$B$14,Paramètres!$A$1:$I$89,3,0)*VLOOKUP('Données projet'!$B$14,Paramètres!$A$1:$I$89,5,0)</f>
        <v>3.177547114319168E-13</v>
      </c>
      <c r="DQ173" s="13">
        <f t="shared" si="176"/>
        <v>4.1725404435445377E-12</v>
      </c>
      <c r="DR173" s="20">
        <f t="shared" si="177"/>
        <v>7.820597394917325E-12</v>
      </c>
      <c r="DS173" s="59">
        <f t="shared" si="125"/>
        <v>288.65398521629373</v>
      </c>
      <c r="DT173" s="59">
        <f ca="1">AVERAGE(OFFSET($DS$3,0,0,'Données projet'!$E$14+1,1))-AVERAGE(OFFSET($H$3,0,0,'Données projet'!$E$14+1,1))</f>
        <v>407.05634973057056</v>
      </c>
      <c r="DU173" s="59">
        <f t="shared" si="152"/>
        <v>375.32891954889965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31.845904943576684</v>
      </c>
      <c r="EB173" s="21">
        <f>EXP(-LN(2)/25)*EB172+(1-EXP(-LN(2)/25))/(LN(2)/25)*Calculateur!DW173*Calculateur!DY173*VLOOKUP('Données projet'!$B$14,Paramètres!$A$1:$I$89,3,0)*0.475*44/12</f>
        <v>4.797334076837676</v>
      </c>
      <c r="EC173" s="21">
        <f>EXP(-LN(2)/2)*EC172+(1-EXP(-LN(2)/2))/(LN(2)/2)*DW173*DZ173*VLOOKUP('Données projet'!$B$14,Paramètres!$A$1:$I$89,3,0)*0.475*44/12</f>
        <v>6.7062377271671555E-14</v>
      </c>
      <c r="ED173" s="22">
        <f t="shared" si="178"/>
        <v>36.643239020414427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1.1368683772161603E-13</v>
      </c>
      <c r="EK173" s="17">
        <f>EJ173*VLOOKUP('Données projet'!$B$15,Paramètres!$A$1:$I$89,3,0)*VLOOKUP('Données projet'!$B$15,Paramètres!$A$1:$I$89,5,0)</f>
        <v>5.0249582272954292E-14</v>
      </c>
      <c r="EL173" s="13">
        <f t="shared" si="179"/>
        <v>8.1784820119191593E-13</v>
      </c>
      <c r="EM173" s="20">
        <f t="shared" si="180"/>
        <v>1.5119369728679821E-12</v>
      </c>
      <c r="EN173" s="59">
        <f t="shared" si="128"/>
        <v>288.65398521628742</v>
      </c>
      <c r="EO173" s="59">
        <f ca="1">AVERAGE(OFFSET($EN$3,0,0,'Données projet'!$E$15+1,1))-AVERAGE(OFFSET($H$3,0,0,'Données projet'!$E$15+1,1))</f>
        <v>418.28022549686278</v>
      </c>
      <c r="EP173" s="59">
        <f t="shared" si="154"/>
        <v>354.55070454517158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34.763530266601343</v>
      </c>
      <c r="EW173" s="21">
        <f>EXP(-LN(2)/25)*EW172+(1-EXP(-LN(2)/25))/(LN(2)/25)*Calculateur!ER173*Calculateur!ET173*VLOOKUP('Données projet'!$B$15,Paramètres!$A$1:$I$89,3,0)*0.475*44/12</f>
        <v>5.9292024080571819</v>
      </c>
      <c r="EX173" s="21">
        <f>EXP(-LN(2)/2)*EX172+(1-EXP(-LN(2)/2))/(LN(2)/2)*ER173*EU173*VLOOKUP('Données projet'!$B$15,Paramètres!$A$1:$I$89,3,0)*0.475*44/12</f>
        <v>2.234056954885246E-12</v>
      </c>
      <c r="EY173" s="22">
        <f t="shared" si="181"/>
        <v>40.692732674660753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7.688333333333337</v>
      </c>
      <c r="FE173" s="12">
        <f>IF('Données projet'!$A$218&gt;35,FE172+FD173-FM172,IF(A173&lt;'Données projet'!$A$218,$FB$205^A173,IF(A173='Données projet'!$A$218,'Données projet'!$B$218,FE172+FD173-FM172)))</f>
        <v>379.65666666666635</v>
      </c>
      <c r="FF173" s="17">
        <f>FE173*VLOOKUP('Données projet'!$B$16,Paramètres!$A$1:$I$89,3,0)*VLOOKUP('Données projet'!$B$16,Paramètres!$A$1:$I$89,5,0)</f>
        <v>432.35301199999964</v>
      </c>
      <c r="FG173" s="13">
        <f t="shared" si="182"/>
        <v>98.305757408394228</v>
      </c>
      <c r="FH173" s="20">
        <f t="shared" si="183"/>
        <v>924.23069005295258</v>
      </c>
      <c r="FI173" s="59">
        <f t="shared" si="131"/>
        <v>1212.8846752692384</v>
      </c>
      <c r="FJ173" s="59">
        <f ca="1">AVERAGE(OFFSET($FI$3,0,0,'Données projet'!$E$16+1,1))-AVERAGE(OFFSET($H$3,0,0,'Données projet'!$E$16+1,1))</f>
        <v>640.05156427113661</v>
      </c>
      <c r="FK173" s="59">
        <f t="shared" si="156"/>
        <v>308.77220155372902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54.375579945166436</v>
      </c>
      <c r="FR173" s="21">
        <f>EXP(-LN(2)/25)*FR172+(1-EXP(-LN(2)/25))/(LN(2)/25)*Calculateur!FM173*Calculateur!FO173*VLOOKUP('Données projet'!$B$16,Paramètres!$A$1:$I$89,3,0)*0.475*44/12</f>
        <v>24.696972946070307</v>
      </c>
      <c r="FS173" s="21">
        <f>EXP(-LN(2)/2)*FS172+(1-EXP(-LN(2)/2))/(LN(2)/2)*FM173*FP173*VLOOKUP('Données projet'!$B$16,Paramètres!$A$1:$I$89,3,0)*0.475*44/12</f>
        <v>8.0972585799580804E-4</v>
      </c>
      <c r="FT173" s="22">
        <f t="shared" si="184"/>
        <v>79.07336261709473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288.7351614446635</v>
      </c>
      <c r="S174" s="59">
        <f ca="1">AVERAGE(OFFSET($R$3,0,0,'Données projet'!$E$9+1,1))-AVERAGE(OFFSET($H$3,0,0,'Données projet'!$E$9+1,1))</f>
        <v>318.50474972254085</v>
      </c>
      <c r="T174" s="59">
        <f t="shared" si="142"/>
        <v>326.45858332753562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15.413828397654813</v>
      </c>
      <c r="AA174" s="21">
        <f>EXP(-LN(2)/25)*AA173+(1-EXP(-LN(2)/25))/(LN(2)/25)*Calculateur!V174*Calculateur!X174*VLOOKUP('Données projet'!$B$9,Paramètres!$A$1:$I$89,3,0)*0.475*44/12</f>
        <v>2.2316988815278176</v>
      </c>
      <c r="AB174" s="21">
        <f>EXP(-LN(2)/2)*AB173+(1-EXP(-LN(2)/2))/(LN(2)/2)*V174*Y174*VLOOKUP('Données projet'!$B$9,Paramètres!$A$1:$I$89,3,0)*0.475*44/12</f>
        <v>1.1768126148593211E-15</v>
      </c>
      <c r="AC174" s="22">
        <f t="shared" si="163"/>
        <v>17.64552727918263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1.7053025658242404E-13</v>
      </c>
      <c r="AJ174" s="13">
        <f>AI174*VLOOKUP('Données projet'!$B$10,Paramètres!$A$1:$I$89,3,0)*VLOOKUP('Données projet'!$B$10,Paramètres!$A$1:$I$89,5,0)</f>
        <v>7.9808160080574461E-14</v>
      </c>
      <c r="AK174" s="13">
        <f t="shared" si="164"/>
        <v>1.2308384591775343E-12</v>
      </c>
      <c r="AL174" s="20">
        <f t="shared" si="165"/>
        <v>2.282709528541206E-12</v>
      </c>
      <c r="AM174" s="59">
        <f t="shared" si="113"/>
        <v>288.73516144466379</v>
      </c>
      <c r="AN174" s="59">
        <f ca="1">AVERAGE(OFFSET($AM$3,0,0,'Données projet'!$E$10+1,1))-AVERAGE(OFFSET($H$3,0,0,'Données projet'!$E$10+1,1))</f>
        <v>374.38106339726073</v>
      </c>
      <c r="AO174" s="59">
        <f t="shared" si="144"/>
        <v>296.53283288925957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65.869535206989426</v>
      </c>
      <c r="AV174" s="21">
        <f>EXP(-LN(2)/25)*AV173+(1-EXP(-LN(2)/25))/(LN(2)/25)*Calculateur!AQ174*Calculateur!AS174*VLOOKUP('Données projet'!$B$10,Paramètres!$A$1:$I$89,3,0)*0.475*44/12</f>
        <v>14.815797038011896</v>
      </c>
      <c r="AW174" s="21">
        <f>EXP(-LN(2)/2)*AW173+(1-EXP(-LN(2)/2))/(LN(2)/2)*AQ174*AT174*VLOOKUP('Données projet'!$B$10,Paramètres!$A$1:$I$89,3,0)*0.475*44/12</f>
        <v>3.0907300638750854E-5</v>
      </c>
      <c r="AX174" s="21">
        <f t="shared" si="166"/>
        <v>80.68536315230196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9.6220000000000034</v>
      </c>
      <c r="BD174" s="12">
        <f>IF('Données projet'!$A$88&gt;35,BD173+BC174-BL173,IF(A174&lt;'Données projet'!$A$88,$BA$205^A174,IF(A174='Données projet'!$A$88,'Données projet'!$B$88,BD173+BC174-BL173)))</f>
        <v>581.65400000000102</v>
      </c>
      <c r="BE174" s="13">
        <f>BD174*VLOOKUP('Données projet'!$B$11,Paramètres!$A$1:$I$89,3,0)*VLOOKUP('Données projet'!$B$11,Paramètres!$A$1:$I$89,5,0)</f>
        <v>526.28053920000093</v>
      </c>
      <c r="BF174" s="13">
        <f t="shared" si="167"/>
        <v>116.95523902184036</v>
      </c>
      <c r="BG174" s="20">
        <f t="shared" si="168"/>
        <v>1120.3023137363737</v>
      </c>
      <c r="BH174" s="59">
        <f t="shared" si="116"/>
        <v>1409.0374751810352</v>
      </c>
      <c r="BI174" s="59">
        <f ca="1">AVERAGE(OFFSET($BH$3,0,0,'Données projet'!$E$11+1,1))-AVERAGE(OFFSET($H$3,0,0,'Données projet'!$E$11+1,1))</f>
        <v>681.47578137804555</v>
      </c>
      <c r="BJ174" s="59">
        <f t="shared" si="146"/>
        <v>300.88511065995885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51.025613318862483</v>
      </c>
      <c r="BQ174" s="21">
        <f>EXP(-LN(2)/25)*BQ173+(1-EXP(-LN(2)/25))/(LN(2)/25)*Calculateur!BL174*Calculateur!BN174*VLOOKUP('Données projet'!$B$11,Paramètres!$A$1:$I$89,3,0)*0.475*44/12</f>
        <v>18.949242461953183</v>
      </c>
      <c r="BR174" s="21">
        <f>EXP(-LN(2)/2)*BR173+(1-EXP(-LN(2)/2))/(LN(2)/2)*BL174*BO174*VLOOKUP('Données projet'!$B$11,Paramètres!$A$1:$I$89,3,0)*0.475*44/12</f>
        <v>4.3040195957050856E-7</v>
      </c>
      <c r="BS174" s="22">
        <f t="shared" si="169"/>
        <v>69.974856211217613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8.5265128291212022E-14</v>
      </c>
      <c r="BZ174" s="13">
        <f>BY174*VLOOKUP('Données projet'!$B$12,Paramètres!$A$1:$I$89,3,0)*VLOOKUP('Données projet'!$B$12,Paramètres!$A$1:$I$89,5,0)</f>
        <v>8.9119112089974823E-14</v>
      </c>
      <c r="CA174" s="13">
        <f t="shared" si="170"/>
        <v>1.3568952080113142E-12</v>
      </c>
      <c r="CB174" s="20">
        <f t="shared" si="171"/>
        <v>2.5184749408430782E-12</v>
      </c>
      <c r="CC174" s="59">
        <f t="shared" si="119"/>
        <v>288.73516144466402</v>
      </c>
      <c r="CD174" s="59">
        <f ca="1">AVERAGE(OFFSET($CC$3,0,0,'Données projet'!$E$12+1,1))-AVERAGE(OFFSET($H$3,0,0,'Données projet'!$E$12+1,1))</f>
        <v>290.69667785754848</v>
      </c>
      <c r="CE174" s="59">
        <f t="shared" si="148"/>
        <v>256.28124185489082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4.3625618342188748</v>
      </c>
      <c r="CL174" s="21">
        <f>EXP(-LN(2)/25)*CL173+(1-EXP(-LN(2)/25))/(LN(2)/25)*Calculateur!CG174*Calculateur!CI174*VLOOKUP('Données projet'!$B$12,Paramètres!$A$1:$I$89,3,0)*0.475*44/12</f>
        <v>6.3471311844662033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10.709693018685078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408.246209980743</v>
      </c>
      <c r="CZ174" s="59">
        <f t="shared" si="150"/>
        <v>394.10236303013903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9.4144202989708994</v>
      </c>
      <c r="DG174" s="21">
        <f>EXP(-LN(2)/25)*DG173+(1-EXP(-LN(2)/25))/(LN(2)/25)*Calculateur!DB174*Calculateur!DD174*VLOOKUP('Données projet'!$B$13,Paramètres!$A$1:$I$89,3,0)*0.475*44/12</f>
        <v>4.5205056962277492</v>
      </c>
      <c r="DH174" s="21">
        <f>EXP(-LN(2)/2)*DH173+(1-EXP(-LN(2)/2))/(LN(2)/2)*DB174*DE174*VLOOKUP('Données projet'!$B$13,Paramètres!$A$1:$I$89,3,0)*0.475*44/12</f>
        <v>1.3774822295366369E-12</v>
      </c>
      <c r="DI174" s="22">
        <f t="shared" si="175"/>
        <v>13.934925995200025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5.6843418860808015E-13</v>
      </c>
      <c r="DP174" s="17">
        <f>DO174*VLOOKUP('Données projet'!$B$14,Paramètres!$A$1:$I$89,3,0)*VLOOKUP('Données projet'!$B$14,Paramètres!$A$1:$I$89,5,0)</f>
        <v>3.177547114319168E-13</v>
      </c>
      <c r="DQ174" s="13">
        <f t="shared" si="176"/>
        <v>4.1725404435445377E-12</v>
      </c>
      <c r="DR174" s="20">
        <f t="shared" si="177"/>
        <v>7.820597394917325E-12</v>
      </c>
      <c r="DS174" s="59">
        <f t="shared" si="125"/>
        <v>288.73516144466936</v>
      </c>
      <c r="DT174" s="59">
        <f ca="1">AVERAGE(OFFSET($DS$3,0,0,'Données projet'!$E$14+1,1))-AVERAGE(OFFSET($H$3,0,0,'Données projet'!$E$14+1,1))</f>
        <v>407.05634973057056</v>
      </c>
      <c r="DU174" s="59">
        <f t="shared" si="152"/>
        <v>375.32891954889965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31.221426171717191</v>
      </c>
      <c r="EB174" s="21">
        <f>EXP(-LN(2)/25)*EB173+(1-EXP(-LN(2)/25))/(LN(2)/25)*Calculateur!DW174*Calculateur!DY174*VLOOKUP('Données projet'!$B$14,Paramètres!$A$1:$I$89,3,0)*0.475*44/12</f>
        <v>4.666150724225715</v>
      </c>
      <c r="EC174" s="21">
        <f>EXP(-LN(2)/2)*EC173+(1-EXP(-LN(2)/2))/(LN(2)/2)*DW174*DZ174*VLOOKUP('Données projet'!$B$14,Paramètres!$A$1:$I$89,3,0)*0.475*44/12</f>
        <v>4.7420261731289557E-14</v>
      </c>
      <c r="ED174" s="22">
        <f t="shared" si="178"/>
        <v>35.887576895942956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1.1368683772161603E-13</v>
      </c>
      <c r="EK174" s="17">
        <f>EJ174*VLOOKUP('Données projet'!$B$15,Paramètres!$A$1:$I$89,3,0)*VLOOKUP('Données projet'!$B$15,Paramètres!$A$1:$I$89,5,0)</f>
        <v>5.0249582272954292E-14</v>
      </c>
      <c r="EL174" s="13">
        <f t="shared" si="179"/>
        <v>8.1784820119191593E-13</v>
      </c>
      <c r="EM174" s="20">
        <f t="shared" si="180"/>
        <v>1.5119369728679821E-12</v>
      </c>
      <c r="EN174" s="59">
        <f t="shared" si="128"/>
        <v>288.73516144466305</v>
      </c>
      <c r="EO174" s="59">
        <f ca="1">AVERAGE(OFFSET($EN$3,0,0,'Données projet'!$E$15+1,1))-AVERAGE(OFFSET($H$3,0,0,'Données projet'!$E$15+1,1))</f>
        <v>418.28022549686278</v>
      </c>
      <c r="EP174" s="59">
        <f t="shared" si="154"/>
        <v>354.55070454517158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34.081838641733064</v>
      </c>
      <c r="EW174" s="21">
        <f>EXP(-LN(2)/25)*EW173+(1-EXP(-LN(2)/25))/(LN(2)/25)*Calculateur!ER174*Calculateur!ET174*VLOOKUP('Données projet'!$B$15,Paramètres!$A$1:$I$89,3,0)*0.475*44/12</f>
        <v>5.7670680564056553</v>
      </c>
      <c r="EX174" s="21">
        <f>EXP(-LN(2)/2)*EX173+(1-EXP(-LN(2)/2))/(LN(2)/2)*ER174*EU174*VLOOKUP('Données projet'!$B$15,Paramètres!$A$1:$I$89,3,0)*0.475*44/12</f>
        <v>1.5797168223563264E-12</v>
      </c>
      <c r="EY174" s="22">
        <f t="shared" si="181"/>
        <v>39.848906698140297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7.688333333333337</v>
      </c>
      <c r="FE174" s="12">
        <f>IF('Données projet'!$A$218&gt;35,FE173+FD174-FM173,IF(A174&lt;'Données projet'!$A$218,$FB$205^A174,IF(A174='Données projet'!$A$218,'Données projet'!$B$218,FE173+FD174-FM173)))</f>
        <v>387.34499999999969</v>
      </c>
      <c r="FF174" s="17">
        <f>FE174*VLOOKUP('Données projet'!$B$16,Paramètres!$A$1:$I$89,3,0)*VLOOKUP('Données projet'!$B$16,Paramètres!$A$1:$I$89,5,0)</f>
        <v>441.10848599999963</v>
      </c>
      <c r="FG174" s="13">
        <f t="shared" si="182"/>
        <v>100.06274015592311</v>
      </c>
      <c r="FH174" s="20">
        <f t="shared" si="183"/>
        <v>942.53988555489889</v>
      </c>
      <c r="FI174" s="59">
        <f t="shared" si="131"/>
        <v>1231.2750469995603</v>
      </c>
      <c r="FJ174" s="59">
        <f ca="1">AVERAGE(OFFSET($FI$3,0,0,'Données projet'!$E$16+1,1))-AVERAGE(OFFSET($H$3,0,0,'Données projet'!$E$16+1,1))</f>
        <v>640.05156427113661</v>
      </c>
      <c r="FK174" s="59">
        <f t="shared" si="156"/>
        <v>308.77220155372902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53.309307988270632</v>
      </c>
      <c r="FR174" s="21">
        <f>EXP(-LN(2)/25)*FR173+(1-EXP(-LN(2)/25))/(LN(2)/25)*Calculateur!FM174*Calculateur!FO174*VLOOKUP('Données projet'!$B$16,Paramètres!$A$1:$I$89,3,0)*0.475*44/12</f>
        <v>24.021632922102654</v>
      </c>
      <c r="FS174" s="21">
        <f>EXP(-LN(2)/2)*FS173+(1-EXP(-LN(2)/2))/(LN(2)/2)*FM174*FP174*VLOOKUP('Données projet'!$B$16,Paramètres!$A$1:$I$89,3,0)*0.475*44/12</f>
        <v>5.7256264509093129E-4</v>
      </c>
      <c r="FT174" s="22">
        <f t="shared" si="184"/>
        <v>77.331513473018376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288.81492944695964</v>
      </c>
      <c r="S175" s="59">
        <f ca="1">AVERAGE(OFFSET($R$3,0,0,'Données projet'!$E$9+1,1))-AVERAGE(OFFSET($H$3,0,0,'Données projet'!$E$9+1,1))</f>
        <v>318.50474972254085</v>
      </c>
      <c r="T175" s="59">
        <f t="shared" si="142"/>
        <v>326.45858332753562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15.111572624283802</v>
      </c>
      <c r="AA175" s="21">
        <f>EXP(-LN(2)/25)*AA174+(1-EXP(-LN(2)/25))/(LN(2)/25)*Calculateur!V175*Calculateur!X175*VLOOKUP('Données projet'!$B$9,Paramètres!$A$1:$I$89,3,0)*0.475*44/12</f>
        <v>2.1706729582524957</v>
      </c>
      <c r="AB175" s="21">
        <f>EXP(-LN(2)/2)*AB174+(1-EXP(-LN(2)/2))/(LN(2)/2)*V175*Y175*VLOOKUP('Données projet'!$B$9,Paramètres!$A$1:$I$89,3,0)*0.475*44/12</f>
        <v>8.3213218015289877E-16</v>
      </c>
      <c r="AC175" s="22">
        <f t="shared" si="163"/>
        <v>17.282245582536298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1.7053025658242404E-13</v>
      </c>
      <c r="AJ175" s="13">
        <f>AI175*VLOOKUP('Données projet'!$B$10,Paramètres!$A$1:$I$89,3,0)*VLOOKUP('Données projet'!$B$10,Paramètres!$A$1:$I$89,5,0)</f>
        <v>7.9808160080574461E-14</v>
      </c>
      <c r="AK175" s="13">
        <f t="shared" si="164"/>
        <v>1.2308384591775343E-12</v>
      </c>
      <c r="AL175" s="20">
        <f t="shared" si="165"/>
        <v>2.282709528541206E-12</v>
      </c>
      <c r="AM175" s="59">
        <f t="shared" si="113"/>
        <v>288.81492944695992</v>
      </c>
      <c r="AN175" s="59">
        <f ca="1">AVERAGE(OFFSET($AM$3,0,0,'Données projet'!$E$10+1,1))-AVERAGE(OFFSET($H$3,0,0,'Données projet'!$E$10+1,1))</f>
        <v>374.38106339726073</v>
      </c>
      <c r="AO175" s="59">
        <f t="shared" si="144"/>
        <v>296.53283288925957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64.577873798029742</v>
      </c>
      <c r="AV175" s="21">
        <f>EXP(-LN(2)/25)*AV174+(1-EXP(-LN(2)/25))/(LN(2)/25)*Calculateur!AQ175*Calculateur!AS175*VLOOKUP('Données projet'!$B$10,Paramètres!$A$1:$I$89,3,0)*0.475*44/12</f>
        <v>14.410658288878556</v>
      </c>
      <c r="AW175" s="21">
        <f>EXP(-LN(2)/2)*AW174+(1-EXP(-LN(2)/2))/(LN(2)/2)*AQ175*AT175*VLOOKUP('Données projet'!$B$10,Paramètres!$A$1:$I$89,3,0)*0.475*44/12</f>
        <v>2.1854761869832041E-5</v>
      </c>
      <c r="AX175" s="21">
        <f t="shared" si="166"/>
        <v>78.988553941670162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9.6220000000000034</v>
      </c>
      <c r="BD175" s="12">
        <f>IF('Données projet'!$A$88&gt;35,BD174+BC175-BL174,IF(A175&lt;'Données projet'!$A$88,$BA$205^A175,IF(A175='Données projet'!$A$88,'Données projet'!$B$88,BD174+BC175-BL174)))</f>
        <v>591.27600000000098</v>
      </c>
      <c r="BE175" s="13">
        <f>BD175*VLOOKUP('Données projet'!$B$11,Paramètres!$A$1:$I$89,3,0)*VLOOKUP('Données projet'!$B$11,Paramètres!$A$1:$I$89,5,0)</f>
        <v>534.98652480000089</v>
      </c>
      <c r="BF175" s="13">
        <f t="shared" si="167"/>
        <v>118.66313040568902</v>
      </c>
      <c r="BG175" s="20">
        <f t="shared" si="168"/>
        <v>1138.4398161499098</v>
      </c>
      <c r="BH175" s="59">
        <f t="shared" si="116"/>
        <v>1427.2547455968675</v>
      </c>
      <c r="BI175" s="59">
        <f ca="1">AVERAGE(OFFSET($BH$3,0,0,'Données projet'!$E$11+1,1))-AVERAGE(OFFSET($H$3,0,0,'Données projet'!$E$11+1,1))</f>
        <v>681.47578137804555</v>
      </c>
      <c r="BJ175" s="59">
        <f t="shared" si="146"/>
        <v>300.88511065995885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50.025032164230616</v>
      </c>
      <c r="BQ175" s="21">
        <f>EXP(-LN(2)/25)*BQ174+(1-EXP(-LN(2)/25))/(LN(2)/25)*Calculateur!BL175*Calculateur!BN175*VLOOKUP('Données projet'!$B$11,Paramètres!$A$1:$I$89,3,0)*0.475*44/12</f>
        <v>18.431074430333723</v>
      </c>
      <c r="BR175" s="21">
        <f>EXP(-LN(2)/2)*BR174+(1-EXP(-LN(2)/2))/(LN(2)/2)*BL175*BO175*VLOOKUP('Données projet'!$B$11,Paramètres!$A$1:$I$89,3,0)*0.475*44/12</f>
        <v>3.0434014424828487E-7</v>
      </c>
      <c r="BS175" s="22">
        <f t="shared" si="169"/>
        <v>68.456106898904494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8.5265128291212022E-14</v>
      </c>
      <c r="BZ175" s="13">
        <f>BY175*VLOOKUP('Données projet'!$B$12,Paramètres!$A$1:$I$89,3,0)*VLOOKUP('Données projet'!$B$12,Paramètres!$A$1:$I$89,5,0)</f>
        <v>8.9119112089974823E-14</v>
      </c>
      <c r="CA175" s="13">
        <f t="shared" si="170"/>
        <v>1.3568952080113142E-12</v>
      </c>
      <c r="CB175" s="20">
        <f t="shared" si="171"/>
        <v>2.5184749408430782E-12</v>
      </c>
      <c r="CC175" s="59">
        <f t="shared" si="119"/>
        <v>288.81492944696015</v>
      </c>
      <c r="CD175" s="59">
        <f ca="1">AVERAGE(OFFSET($CC$3,0,0,'Données projet'!$E$12+1,1))-AVERAGE(OFFSET($H$3,0,0,'Données projet'!$E$12+1,1))</f>
        <v>290.69667785754848</v>
      </c>
      <c r="CE175" s="59">
        <f t="shared" si="148"/>
        <v>256.28124185489082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4.2770146575498194</v>
      </c>
      <c r="CL175" s="21">
        <f>EXP(-LN(2)/25)*CL174+(1-EXP(-LN(2)/25))/(LN(2)/25)*Calculateur!CG175*Calculateur!CI175*VLOOKUP('Données projet'!$B$12,Paramètres!$A$1:$I$89,3,0)*0.475*44/12</f>
        <v>6.1735685484458527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10.450583205995672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408.246209980743</v>
      </c>
      <c r="CZ175" s="59">
        <f t="shared" si="150"/>
        <v>394.10236303013903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9.2298092591374647</v>
      </c>
      <c r="DG175" s="21">
        <f>EXP(-LN(2)/25)*DG174+(1-EXP(-LN(2)/25))/(LN(2)/25)*Calculateur!DB175*Calculateur!DD175*VLOOKUP('Données projet'!$B$13,Paramètres!$A$1:$I$89,3,0)*0.475*44/12</f>
        <v>4.3968922302413382</v>
      </c>
      <c r="DH175" s="21">
        <f>EXP(-LN(2)/2)*DH174+(1-EXP(-LN(2)/2))/(LN(2)/2)*DB175*DE175*VLOOKUP('Données projet'!$B$13,Paramètres!$A$1:$I$89,3,0)*0.475*44/12</f>
        <v>9.7402702546932033E-13</v>
      </c>
      <c r="DI175" s="22">
        <f t="shared" si="175"/>
        <v>13.626701489379776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5.6843418860808015E-13</v>
      </c>
      <c r="DP175" s="17">
        <f>DO175*VLOOKUP('Données projet'!$B$14,Paramètres!$A$1:$I$89,3,0)*VLOOKUP('Données projet'!$B$14,Paramètres!$A$1:$I$89,5,0)</f>
        <v>3.177547114319168E-13</v>
      </c>
      <c r="DQ175" s="13">
        <f t="shared" si="176"/>
        <v>4.1725404435445377E-12</v>
      </c>
      <c r="DR175" s="20">
        <f t="shared" si="177"/>
        <v>7.820597394917325E-12</v>
      </c>
      <c r="DS175" s="59">
        <f t="shared" si="125"/>
        <v>288.81492944696549</v>
      </c>
      <c r="DT175" s="59">
        <f ca="1">AVERAGE(OFFSET($DS$3,0,0,'Données projet'!$E$14+1,1))-AVERAGE(OFFSET($H$3,0,0,'Données projet'!$E$14+1,1))</f>
        <v>407.05634973057056</v>
      </c>
      <c r="DU175" s="59">
        <f t="shared" si="152"/>
        <v>375.32891954889965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30.609193047679423</v>
      </c>
      <c r="EB175" s="21">
        <f>EXP(-LN(2)/25)*EB174+(1-EXP(-LN(2)/25))/(LN(2)/25)*Calculateur!DW175*Calculateur!DY175*VLOOKUP('Données projet'!$B$14,Paramètres!$A$1:$I$89,3,0)*0.475*44/12</f>
        <v>4.5385545872895605</v>
      </c>
      <c r="EC175" s="21">
        <f>EXP(-LN(2)/2)*EC174+(1-EXP(-LN(2)/2))/(LN(2)/2)*DW175*DZ175*VLOOKUP('Données projet'!$B$14,Paramètres!$A$1:$I$89,3,0)*0.475*44/12</f>
        <v>3.3531188635835778E-14</v>
      </c>
      <c r="ED175" s="22">
        <f t="shared" si="178"/>
        <v>35.147747634969015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1.1368683772161603E-13</v>
      </c>
      <c r="EK175" s="17">
        <f>EJ175*VLOOKUP('Données projet'!$B$15,Paramètres!$A$1:$I$89,3,0)*VLOOKUP('Données projet'!$B$15,Paramètres!$A$1:$I$89,5,0)</f>
        <v>5.0249582272954292E-14</v>
      </c>
      <c r="EL175" s="13">
        <f t="shared" si="179"/>
        <v>8.1784820119191593E-13</v>
      </c>
      <c r="EM175" s="20">
        <f t="shared" si="180"/>
        <v>1.5119369728679821E-12</v>
      </c>
      <c r="EN175" s="59">
        <f t="shared" si="128"/>
        <v>288.81492944695918</v>
      </c>
      <c r="EO175" s="59">
        <f ca="1">AVERAGE(OFFSET($EN$3,0,0,'Données projet'!$E$15+1,1))-AVERAGE(OFFSET($H$3,0,0,'Données projet'!$E$15+1,1))</f>
        <v>418.28022549686278</v>
      </c>
      <c r="EP175" s="59">
        <f t="shared" si="154"/>
        <v>354.55070454517158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33.413514573837617</v>
      </c>
      <c r="EW175" s="21">
        <f>EXP(-LN(2)/25)*EW174+(1-EXP(-LN(2)/25))/(LN(2)/25)*Calculateur!ER175*Calculateur!ET175*VLOOKUP('Données projet'!$B$15,Paramètres!$A$1:$I$89,3,0)*0.475*44/12</f>
        <v>5.6093672771263146</v>
      </c>
      <c r="EX175" s="21">
        <f>EXP(-LN(2)/2)*EX174+(1-EXP(-LN(2)/2))/(LN(2)/2)*ER175*EU175*VLOOKUP('Données projet'!$B$15,Paramètres!$A$1:$I$89,3,0)*0.475*44/12</f>
        <v>1.117028477442623E-12</v>
      </c>
      <c r="EY175" s="22">
        <f t="shared" si="181"/>
        <v>39.022881850965049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7.688333333333337</v>
      </c>
      <c r="FE175" s="12">
        <f>IF('Données projet'!$A$218&gt;35,FE174+FD175-FM174,IF(A175&lt;'Données projet'!$A$218,$FB$205^A175,IF(A175='Données projet'!$A$218,'Données projet'!$B$218,FE174+FD175-FM174)))</f>
        <v>395.03333333333302</v>
      </c>
      <c r="FF175" s="17">
        <f>FE175*VLOOKUP('Données projet'!$B$16,Paramètres!$A$1:$I$89,3,0)*VLOOKUP('Données projet'!$B$16,Paramètres!$A$1:$I$89,5,0)</f>
        <v>449.86395999999962</v>
      </c>
      <c r="FG175" s="13">
        <f t="shared" si="182"/>
        <v>101.81566797428304</v>
      </c>
      <c r="FH175" s="20">
        <f t="shared" si="183"/>
        <v>960.84201872187566</v>
      </c>
      <c r="FI175" s="59">
        <f t="shared" si="131"/>
        <v>1249.6569481688334</v>
      </c>
      <c r="FJ175" s="59">
        <f ca="1">AVERAGE(OFFSET($FI$3,0,0,'Données projet'!$E$16+1,1))-AVERAGE(OFFSET($H$3,0,0,'Données projet'!$E$16+1,1))</f>
        <v>640.05156427113661</v>
      </c>
      <c r="FK175" s="59">
        <f t="shared" si="156"/>
        <v>308.77220155372902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52.263944974087885</v>
      </c>
      <c r="FR175" s="21">
        <f>EXP(-LN(2)/25)*FR174+(1-EXP(-LN(2)/25))/(LN(2)/25)*Calculateur!FM175*Calculateur!FO175*VLOOKUP('Données projet'!$B$16,Paramètres!$A$1:$I$89,3,0)*0.475*44/12</f>
        <v>23.364760106604983</v>
      </c>
      <c r="FS175" s="21">
        <f>EXP(-LN(2)/2)*FS174+(1-EXP(-LN(2)/2))/(LN(2)/2)*FM175*FP175*VLOOKUP('Données projet'!$B$16,Paramètres!$A$1:$I$89,3,0)*0.475*44/12</f>
        <v>4.0486292899790402E-4</v>
      </c>
      <c r="FT175" s="22">
        <f t="shared" si="184"/>
        <v>75.62910994362187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288.89331365275046</v>
      </c>
      <c r="S176" s="59">
        <f ca="1">AVERAGE(OFFSET($R$3,0,0,'Données projet'!$E$9+1,1))-AVERAGE(OFFSET($H$3,0,0,'Données projet'!$E$9+1,1))</f>
        <v>318.50474972254085</v>
      </c>
      <c r="T176" s="59">
        <f t="shared" si="142"/>
        <v>326.45858332753562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14.81524390227078</v>
      </c>
      <c r="AA176" s="21">
        <f>EXP(-LN(2)/25)*AA175+(1-EXP(-LN(2)/25))/(LN(2)/25)*Calculateur!V176*Calculateur!X176*VLOOKUP('Données projet'!$B$9,Paramètres!$A$1:$I$89,3,0)*0.475*44/12</f>
        <v>2.1113157920583516</v>
      </c>
      <c r="AB176" s="21">
        <f>EXP(-LN(2)/2)*AB175+(1-EXP(-LN(2)/2))/(LN(2)/2)*V176*Y176*VLOOKUP('Données projet'!$B$9,Paramètres!$A$1:$I$89,3,0)*0.475*44/12</f>
        <v>5.8840630742966053E-16</v>
      </c>
      <c r="AC176" s="22">
        <f t="shared" si="163"/>
        <v>16.926559694329132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1.7053025658242404E-13</v>
      </c>
      <c r="AJ176" s="13">
        <f>AI176*VLOOKUP('Données projet'!$B$10,Paramètres!$A$1:$I$89,3,0)*VLOOKUP('Données projet'!$B$10,Paramètres!$A$1:$I$89,5,0)</f>
        <v>7.9808160080574461E-14</v>
      </c>
      <c r="AK176" s="13">
        <f t="shared" si="164"/>
        <v>1.2308384591775343E-12</v>
      </c>
      <c r="AL176" s="20">
        <f t="shared" si="165"/>
        <v>2.282709528541206E-12</v>
      </c>
      <c r="AM176" s="59">
        <f t="shared" si="113"/>
        <v>288.89331365275075</v>
      </c>
      <c r="AN176" s="59">
        <f ca="1">AVERAGE(OFFSET($AM$3,0,0,'Données projet'!$E$10+1,1))-AVERAGE(OFFSET($H$3,0,0,'Données projet'!$E$10+1,1))</f>
        <v>374.38106339726073</v>
      </c>
      <c r="AO176" s="59">
        <f t="shared" si="144"/>
        <v>296.53283288925957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63.311541081464092</v>
      </c>
      <c r="AV176" s="21">
        <f>EXP(-LN(2)/25)*AV175+(1-EXP(-LN(2)/25))/(LN(2)/25)*Calculateur!AQ176*Calculateur!AS176*VLOOKUP('Données projet'!$B$10,Paramètres!$A$1:$I$89,3,0)*0.475*44/12</f>
        <v>14.016598080145588</v>
      </c>
      <c r="AW176" s="21">
        <f>EXP(-LN(2)/2)*AW175+(1-EXP(-LN(2)/2))/(LN(2)/2)*AQ176*AT176*VLOOKUP('Données projet'!$B$10,Paramètres!$A$1:$I$89,3,0)*0.475*44/12</f>
        <v>1.5453650319375427E-5</v>
      </c>
      <c r="AX176" s="21">
        <f t="shared" si="166"/>
        <v>77.328154615260004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9.6220000000000034</v>
      </c>
      <c r="BD176" s="12">
        <f>IF('Données projet'!$A$88&gt;35,BD175+BC176-BL175,IF(A176&lt;'Données projet'!$A$88,$BA$205^A176,IF(A176='Données projet'!$A$88,'Données projet'!$B$88,BD175+BC176-BL175)))</f>
        <v>600.89800000000093</v>
      </c>
      <c r="BE176" s="13">
        <f>BD176*VLOOKUP('Données projet'!$B$11,Paramètres!$A$1:$I$89,3,0)*VLOOKUP('Données projet'!$B$11,Paramètres!$A$1:$I$89,5,0)</f>
        <v>543.69251040000086</v>
      </c>
      <c r="BF176" s="13">
        <f t="shared" si="167"/>
        <v>120.36778959614513</v>
      </c>
      <c r="BG176" s="20">
        <f t="shared" si="168"/>
        <v>1156.5716891599543</v>
      </c>
      <c r="BH176" s="59">
        <f t="shared" si="116"/>
        <v>1445.4650028127028</v>
      </c>
      <c r="BI176" s="59">
        <f ca="1">AVERAGE(OFFSET($BH$3,0,0,'Données projet'!$E$11+1,1))-AVERAGE(OFFSET($H$3,0,0,'Données projet'!$E$11+1,1))</f>
        <v>681.47578137804555</v>
      </c>
      <c r="BJ176" s="59">
        <f t="shared" si="146"/>
        <v>300.88511065995885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49.044071795746838</v>
      </c>
      <c r="BQ176" s="21">
        <f>EXP(-LN(2)/25)*BQ175+(1-EXP(-LN(2)/25))/(LN(2)/25)*Calculateur!BL176*Calculateur!BN176*VLOOKUP('Données projet'!$B$11,Paramètres!$A$1:$I$89,3,0)*0.475*44/12</f>
        <v>17.927075730788168</v>
      </c>
      <c r="BR176" s="21">
        <f>EXP(-LN(2)/2)*BR175+(1-EXP(-LN(2)/2))/(LN(2)/2)*BL176*BO176*VLOOKUP('Données projet'!$B$11,Paramètres!$A$1:$I$89,3,0)*0.475*44/12</f>
        <v>2.1520097978525428E-7</v>
      </c>
      <c r="BS176" s="22">
        <f t="shared" si="169"/>
        <v>66.97114774173599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8.5265128291212022E-14</v>
      </c>
      <c r="BZ176" s="13">
        <f>BY176*VLOOKUP('Données projet'!$B$12,Paramètres!$A$1:$I$89,3,0)*VLOOKUP('Données projet'!$B$12,Paramètres!$A$1:$I$89,5,0)</f>
        <v>8.9119112089974823E-14</v>
      </c>
      <c r="CA176" s="13">
        <f t="shared" si="170"/>
        <v>1.3568952080113142E-12</v>
      </c>
      <c r="CB176" s="20">
        <f t="shared" si="171"/>
        <v>2.5184749408430782E-12</v>
      </c>
      <c r="CC176" s="59">
        <f t="shared" si="119"/>
        <v>288.89331365275098</v>
      </c>
      <c r="CD176" s="59">
        <f ca="1">AVERAGE(OFFSET($CC$3,0,0,'Données projet'!$E$12+1,1))-AVERAGE(OFFSET($H$3,0,0,'Données projet'!$E$12+1,1))</f>
        <v>290.69667785754848</v>
      </c>
      <c r="CE176" s="59">
        <f t="shared" si="148"/>
        <v>256.28124185489082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4.1931450088366189</v>
      </c>
      <c r="CL176" s="21">
        <f>EXP(-LN(2)/25)*CL175+(1-EXP(-LN(2)/25))/(LN(2)/25)*Calculateur!CG176*Calculateur!CI176*VLOOKUP('Données projet'!$B$12,Paramètres!$A$1:$I$89,3,0)*0.475*44/12</f>
        <v>6.0047519918347412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10.197897000671361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408.246209980743</v>
      </c>
      <c r="CZ176" s="59">
        <f t="shared" si="150"/>
        <v>394.10236303013903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9.0488183291935478</v>
      </c>
      <c r="DG176" s="21">
        <f>EXP(-LN(2)/25)*DG175+(1-EXP(-LN(2)/25))/(LN(2)/25)*Calculateur!DB176*Calculateur!DD176*VLOOKUP('Données projet'!$B$13,Paramètres!$A$1:$I$89,3,0)*0.475*44/12</f>
        <v>4.2766589809828757</v>
      </c>
      <c r="DH176" s="21">
        <f>EXP(-LN(2)/2)*DH175+(1-EXP(-LN(2)/2))/(LN(2)/2)*DB176*DE176*VLOOKUP('Données projet'!$B$13,Paramètres!$A$1:$I$89,3,0)*0.475*44/12</f>
        <v>6.8874111476831845E-13</v>
      </c>
      <c r="DI176" s="22">
        <f t="shared" si="175"/>
        <v>13.325477310177114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5.6843418860808015E-13</v>
      </c>
      <c r="DP176" s="17">
        <f>DO176*VLOOKUP('Données projet'!$B$14,Paramètres!$A$1:$I$89,3,0)*VLOOKUP('Données projet'!$B$14,Paramètres!$A$1:$I$89,5,0)</f>
        <v>3.177547114319168E-13</v>
      </c>
      <c r="DQ176" s="13">
        <f t="shared" si="176"/>
        <v>4.1725404435445377E-12</v>
      </c>
      <c r="DR176" s="20">
        <f t="shared" si="177"/>
        <v>7.820597394917325E-12</v>
      </c>
      <c r="DS176" s="59">
        <f t="shared" si="125"/>
        <v>288.89331365275632</v>
      </c>
      <c r="DT176" s="59">
        <f ca="1">AVERAGE(OFFSET($DS$3,0,0,'Données projet'!$E$14+1,1))-AVERAGE(OFFSET($H$3,0,0,'Données projet'!$E$14+1,1))</f>
        <v>407.05634973057056</v>
      </c>
      <c r="DU176" s="59">
        <f t="shared" si="152"/>
        <v>375.32891954889965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30.008965441778702</v>
      </c>
      <c r="EB176" s="21">
        <f>EXP(-LN(2)/25)*EB175+(1-EXP(-LN(2)/25))/(LN(2)/25)*Calculateur!DW176*Calculateur!DY176*VLOOKUP('Données projet'!$B$14,Paramètres!$A$1:$I$89,3,0)*0.475*44/12</f>
        <v>4.4144475734279149</v>
      </c>
      <c r="EC176" s="21">
        <f>EXP(-LN(2)/2)*EC175+(1-EXP(-LN(2)/2))/(LN(2)/2)*DW176*DZ176*VLOOKUP('Données projet'!$B$14,Paramètres!$A$1:$I$89,3,0)*0.475*44/12</f>
        <v>2.3710130865644779E-14</v>
      </c>
      <c r="ED176" s="22">
        <f t="shared" si="178"/>
        <v>34.423413015206641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1.1368683772161603E-13</v>
      </c>
      <c r="EK176" s="17">
        <f>EJ176*VLOOKUP('Données projet'!$B$15,Paramètres!$A$1:$I$89,3,0)*VLOOKUP('Données projet'!$B$15,Paramètres!$A$1:$I$89,5,0)</f>
        <v>5.0249582272954292E-14</v>
      </c>
      <c r="EL176" s="13">
        <f t="shared" si="179"/>
        <v>8.1784820119191593E-13</v>
      </c>
      <c r="EM176" s="20">
        <f t="shared" si="180"/>
        <v>1.5119369728679821E-12</v>
      </c>
      <c r="EN176" s="59">
        <f t="shared" si="128"/>
        <v>288.89331365275001</v>
      </c>
      <c r="EO176" s="59">
        <f ca="1">AVERAGE(OFFSET($EN$3,0,0,'Données projet'!$E$15+1,1))-AVERAGE(OFFSET($H$3,0,0,'Données projet'!$E$15+1,1))</f>
        <v>418.28022549686278</v>
      </c>
      <c r="EP176" s="59">
        <f t="shared" si="154"/>
        <v>354.55070454517158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32.758295933276173</v>
      </c>
      <c r="EW176" s="21">
        <f>EXP(-LN(2)/25)*EW175+(1-EXP(-LN(2)/25))/(LN(2)/25)*Calculateur!ER176*Calculateur!ET176*VLOOKUP('Données projet'!$B$15,Paramètres!$A$1:$I$89,3,0)*0.475*44/12</f>
        <v>5.4559788339494908</v>
      </c>
      <c r="EX176" s="21">
        <f>EXP(-LN(2)/2)*EX175+(1-EXP(-LN(2)/2))/(LN(2)/2)*ER176*EU176*VLOOKUP('Données projet'!$B$15,Paramètres!$A$1:$I$89,3,0)*0.475*44/12</f>
        <v>7.8985841117816318E-13</v>
      </c>
      <c r="EY176" s="22">
        <f t="shared" si="181"/>
        <v>38.214274767226449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7.688333333333337</v>
      </c>
      <c r="FE176" s="12">
        <f>IF('Données projet'!$A$218&gt;35,FE175+FD176-FM175,IF(A176&lt;'Données projet'!$A$218,$FB$205^A176,IF(A176='Données projet'!$A$218,'Données projet'!$B$218,FE175+FD176-FM175)))</f>
        <v>402.72166666666635</v>
      </c>
      <c r="FF176" s="17">
        <f>FE176*VLOOKUP('Données projet'!$B$16,Paramètres!$A$1:$I$89,3,0)*VLOOKUP('Données projet'!$B$16,Paramètres!$A$1:$I$89,5,0)</f>
        <v>458.61943399999961</v>
      </c>
      <c r="FG176" s="13">
        <f t="shared" si="182"/>
        <v>103.56462888016677</v>
      </c>
      <c r="FH176" s="20">
        <f t="shared" si="183"/>
        <v>979.13724284962302</v>
      </c>
      <c r="FI176" s="59">
        <f t="shared" si="131"/>
        <v>1268.0305565023714</v>
      </c>
      <c r="FJ176" s="59">
        <f ca="1">AVERAGE(OFFSET($FI$3,0,0,'Données projet'!$E$16+1,1))-AVERAGE(OFFSET($H$3,0,0,'Données projet'!$E$16+1,1))</f>
        <v>640.05156427113661</v>
      </c>
      <c r="FK176" s="59">
        <f t="shared" si="156"/>
        <v>308.77220155372902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51.239080891004775</v>
      </c>
      <c r="FR176" s="21">
        <f>EXP(-LN(2)/25)*FR175+(1-EXP(-LN(2)/25))/(LN(2)/25)*Calculateur!FM176*Calculateur!FO176*VLOOKUP('Données projet'!$B$16,Paramètres!$A$1:$I$89,3,0)*0.475*44/12</f>
        <v>22.725849512790536</v>
      </c>
      <c r="FS176" s="21">
        <f>EXP(-LN(2)/2)*FS175+(1-EXP(-LN(2)/2))/(LN(2)/2)*FM176*FP176*VLOOKUP('Données projet'!$B$16,Paramètres!$A$1:$I$89,3,0)*0.475*44/12</f>
        <v>2.8628132254546564E-4</v>
      </c>
      <c r="FT176" s="22">
        <f t="shared" si="184"/>
        <v>73.965216685117852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288.97033806781172</v>
      </c>
      <c r="S177" s="59">
        <f ca="1">AVERAGE(OFFSET($R$3,0,0,'Données projet'!$E$9+1,1))-AVERAGE(OFFSET($H$3,0,0,'Données projet'!$E$9+1,1))</f>
        <v>318.50474972254085</v>
      </c>
      <c r="T177" s="59">
        <f t="shared" si="142"/>
        <v>326.45858332753562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14.524726005753759</v>
      </c>
      <c r="AA177" s="21">
        <f>EXP(-LN(2)/25)*AA176+(1-EXP(-LN(2)/25))/(LN(2)/25)*Calculateur!V177*Calculateur!X177*VLOOKUP('Données projet'!$B$9,Paramètres!$A$1:$I$89,3,0)*0.475*44/12</f>
        <v>2.0535817506952441</v>
      </c>
      <c r="AB177" s="21">
        <f>EXP(-LN(2)/2)*AB176+(1-EXP(-LN(2)/2))/(LN(2)/2)*V177*Y177*VLOOKUP('Données projet'!$B$9,Paramètres!$A$1:$I$89,3,0)*0.475*44/12</f>
        <v>4.1606609007644939E-16</v>
      </c>
      <c r="AC177" s="22">
        <f t="shared" si="163"/>
        <v>16.578307756449004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1.7053025658242404E-13</v>
      </c>
      <c r="AJ177" s="13">
        <f>AI177*VLOOKUP('Données projet'!$B$10,Paramètres!$A$1:$I$89,3,0)*VLOOKUP('Données projet'!$B$10,Paramètres!$A$1:$I$89,5,0)</f>
        <v>7.9808160080574461E-14</v>
      </c>
      <c r="AK177" s="13">
        <f t="shared" si="164"/>
        <v>1.2308384591775343E-12</v>
      </c>
      <c r="AL177" s="20">
        <f t="shared" si="165"/>
        <v>2.282709528541206E-12</v>
      </c>
      <c r="AM177" s="59">
        <f t="shared" si="113"/>
        <v>288.97033806781201</v>
      </c>
      <c r="AN177" s="59">
        <f ca="1">AVERAGE(OFFSET($AM$3,0,0,'Données projet'!$E$10+1,1))-AVERAGE(OFFSET($H$3,0,0,'Données projet'!$E$10+1,1))</f>
        <v>374.38106339726073</v>
      </c>
      <c r="AO177" s="59">
        <f t="shared" si="144"/>
        <v>296.53283288925957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62.070040377083608</v>
      </c>
      <c r="AV177" s="21">
        <f>EXP(-LN(2)/25)*AV176+(1-EXP(-LN(2)/25))/(LN(2)/25)*Calculateur!AQ177*Calculateur!AS177*VLOOKUP('Données projet'!$B$10,Paramètres!$A$1:$I$89,3,0)*0.475*44/12</f>
        <v>13.633313468543149</v>
      </c>
      <c r="AW177" s="21">
        <f>EXP(-LN(2)/2)*AW176+(1-EXP(-LN(2)/2))/(LN(2)/2)*AQ177*AT177*VLOOKUP('Données projet'!$B$10,Paramètres!$A$1:$I$89,3,0)*0.475*44/12</f>
        <v>1.0927380934916021E-5</v>
      </c>
      <c r="AX177" s="21">
        <f t="shared" si="166"/>
        <v>75.703364773007692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9.6220000000000034</v>
      </c>
      <c r="BC177" s="12">
        <f t="array" ref="BC177">INDEX(BB:BB,MIN(IF(ISNUMBER(BB177:BB373),ROW(BB177:BB373),"")))</f>
        <v>9.6220000000000034</v>
      </c>
      <c r="BD177" s="12">
        <f>IF('Données projet'!$A$88&gt;35,BD176+BC177-BL176,IF(A177&lt;'Données projet'!$A$88,$BA$205^A177,IF(A177='Données projet'!$A$88,'Données projet'!$B$88,BD176+BC177-BL176)))</f>
        <v>610.52000000000089</v>
      </c>
      <c r="BE177" s="13">
        <f>BD177*VLOOKUP('Données projet'!$B$11,Paramètres!$A$1:$I$89,3,0)*VLOOKUP('Données projet'!$B$11,Paramètres!$A$1:$I$89,5,0)</f>
        <v>552.3984960000007</v>
      </c>
      <c r="BF177" s="13">
        <f t="shared" si="167"/>
        <v>122.06927432492597</v>
      </c>
      <c r="BG177" s="20">
        <f t="shared" si="168"/>
        <v>1174.698033315914</v>
      </c>
      <c r="BH177" s="59">
        <f t="shared" si="116"/>
        <v>1463.6683713837238</v>
      </c>
      <c r="BI177" s="59">
        <f ca="1">AVERAGE(OFFSET($BH$3,0,0,'Données projet'!$E$11+1,1))-AVERAGE(OFFSET($H$3,0,0,'Données projet'!$E$11+1,1))</f>
        <v>681.47578137804555</v>
      </c>
      <c r="BJ177" s="59">
        <f t="shared" si="146"/>
        <v>300.88511065995885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240</v>
      </c>
      <c r="BM177" s="16">
        <f>IF(ISNA(VLOOKUP(A177,'Données projet'!$A$87:$I$107,5,0)),0%,VLOOKUP(A177,'Données projet'!$A$87:$I$107,5,0)*VLOOKUP('Données projet'!$B$11,Paramètres!$A$1:$I$89,7,0))</f>
        <v>0.19350000000000001</v>
      </c>
      <c r="BN177" s="16">
        <f>IF(ISNA(VLOOKUP(A177,'Données projet'!$A$87:$I$107,6,0)),0%,VLOOKUP(A177,'Données projet'!$A$87:$I$107,6,0)*VLOOKUP('Données projet'!$B$11,Paramètres!$A$1:$I$89,7,0))</f>
        <v>2.1500000000000002E-2</v>
      </c>
      <c r="BO177" s="16">
        <f>IF(ISNA(VLOOKUP(A177,'Données projet'!$A$87:$I$107,7,0)),0%,VLOOKUP(A177,'Données projet'!$A$87:$I$107,7,0))</f>
        <v>0.05</v>
      </c>
      <c r="BP177" s="21">
        <f>EXP(-LN(2)/35)*BP176+(1-EXP(-LN(2)/35))/(LN(2)/35)*BL177*BM177*VLOOKUP('Données projet'!$B$11,Paramètres!$A$1:$I$89,3,0)*0.475*44/12</f>
        <v>94.533010057963907</v>
      </c>
      <c r="BQ177" s="21">
        <f>EXP(-LN(2)/25)*BQ176+(1-EXP(-LN(2)/25))/(LN(2)/25)*Calculateur!BL177*Calculateur!BN177*VLOOKUP('Données projet'!$B$11,Paramètres!$A$1:$I$89,3,0)*0.475*44/12</f>
        <v>22.577722084238086</v>
      </c>
      <c r="BR177" s="21">
        <f>EXP(-LN(2)/2)*BR176+(1-EXP(-LN(2)/2))/(LN(2)/2)*BL177*BO177*VLOOKUP('Données projet'!$B$11,Paramètres!$A$1:$I$89,3,0)*0.475*44/12</f>
        <v>10.244437980189536</v>
      </c>
      <c r="BS177" s="22">
        <f t="shared" si="169"/>
        <v>127.35517012239153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8.5265128291212022E-14</v>
      </c>
      <c r="BZ177" s="13">
        <f>BY177*VLOOKUP('Données projet'!$B$12,Paramètres!$A$1:$I$89,3,0)*VLOOKUP('Données projet'!$B$12,Paramètres!$A$1:$I$89,5,0)</f>
        <v>8.9119112089974823E-14</v>
      </c>
      <c r="CA177" s="13">
        <f t="shared" si="170"/>
        <v>1.3568952080113142E-12</v>
      </c>
      <c r="CB177" s="20">
        <f t="shared" si="171"/>
        <v>2.5184749408430782E-12</v>
      </c>
      <c r="CC177" s="59">
        <f t="shared" si="119"/>
        <v>288.97033806781224</v>
      </c>
      <c r="CD177" s="59">
        <f ca="1">AVERAGE(OFFSET($CC$3,0,0,'Données projet'!$E$12+1,1))-AVERAGE(OFFSET($H$3,0,0,'Données projet'!$E$12+1,1))</f>
        <v>290.69667785754848</v>
      </c>
      <c r="CE177" s="59">
        <f t="shared" si="148"/>
        <v>256.28124185489082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4.1109199927792499</v>
      </c>
      <c r="CL177" s="21">
        <f>EXP(-LN(2)/25)*CL176+(1-EXP(-LN(2)/25))/(LN(2)/25)*Calculateur!CG177*Calculateur!CI177*VLOOKUP('Données projet'!$B$12,Paramètres!$A$1:$I$89,3,0)*0.475*44/12</f>
        <v>5.8405517328418366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9.9514717256210865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408.246209980743</v>
      </c>
      <c r="CZ177" s="59">
        <f t="shared" si="150"/>
        <v>394.10236303013903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8.8713765209922641</v>
      </c>
      <c r="DG177" s="21">
        <f>EXP(-LN(2)/25)*DG176+(1-EXP(-LN(2)/25))/(LN(2)/25)*Calculateur!DB177*Calculateur!DD177*VLOOKUP('Données projet'!$B$13,Paramètres!$A$1:$I$89,3,0)*0.475*44/12</f>
        <v>4.1597135162481775</v>
      </c>
      <c r="DH177" s="21">
        <f>EXP(-LN(2)/2)*DH176+(1-EXP(-LN(2)/2))/(LN(2)/2)*DB177*DE177*VLOOKUP('Données projet'!$B$13,Paramètres!$A$1:$I$89,3,0)*0.475*44/12</f>
        <v>4.8701351273466016E-13</v>
      </c>
      <c r="DI177" s="22">
        <f t="shared" si="175"/>
        <v>13.031090037240929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5.6843418860808015E-13</v>
      </c>
      <c r="DP177" s="17">
        <f>DO177*VLOOKUP('Données projet'!$B$14,Paramètres!$A$1:$I$89,3,0)*VLOOKUP('Données projet'!$B$14,Paramètres!$A$1:$I$89,5,0)</f>
        <v>3.177547114319168E-13</v>
      </c>
      <c r="DQ177" s="13">
        <f t="shared" si="176"/>
        <v>4.1725404435445377E-12</v>
      </c>
      <c r="DR177" s="20">
        <f t="shared" si="177"/>
        <v>7.820597394917325E-12</v>
      </c>
      <c r="DS177" s="59">
        <f t="shared" si="125"/>
        <v>288.97033806781758</v>
      </c>
      <c r="DT177" s="59">
        <f ca="1">AVERAGE(OFFSET($DS$3,0,0,'Données projet'!$E$14+1,1))-AVERAGE(OFFSET($H$3,0,0,'Données projet'!$E$14+1,1))</f>
        <v>407.05634973057056</v>
      </c>
      <c r="DU177" s="59">
        <f t="shared" si="152"/>
        <v>375.32891954889965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29.420507933127006</v>
      </c>
      <c r="EB177" s="21">
        <f>EXP(-LN(2)/25)*EB176+(1-EXP(-LN(2)/25))/(LN(2)/25)*Calculateur!DW177*Calculateur!DY177*VLOOKUP('Données projet'!$B$14,Paramètres!$A$1:$I$89,3,0)*0.475*44/12</f>
        <v>4.2937342723868204</v>
      </c>
      <c r="EC177" s="21">
        <f>EXP(-LN(2)/2)*EC176+(1-EXP(-LN(2)/2))/(LN(2)/2)*DW177*DZ177*VLOOKUP('Données projet'!$B$14,Paramètres!$A$1:$I$89,3,0)*0.475*44/12</f>
        <v>1.6765594317917889E-14</v>
      </c>
      <c r="ED177" s="22">
        <f t="shared" si="178"/>
        <v>33.714242205513841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1.1368683772161603E-13</v>
      </c>
      <c r="EK177" s="17">
        <f>EJ177*VLOOKUP('Données projet'!$B$15,Paramètres!$A$1:$I$89,3,0)*VLOOKUP('Données projet'!$B$15,Paramètres!$A$1:$I$89,5,0)</f>
        <v>5.0249582272954292E-14</v>
      </c>
      <c r="EL177" s="13">
        <f t="shared" si="179"/>
        <v>8.1784820119191593E-13</v>
      </c>
      <c r="EM177" s="20">
        <f t="shared" si="180"/>
        <v>1.5119369728679821E-12</v>
      </c>
      <c r="EN177" s="59">
        <f t="shared" si="128"/>
        <v>288.97033806781127</v>
      </c>
      <c r="EO177" s="59">
        <f ca="1">AVERAGE(OFFSET($EN$3,0,0,'Données projet'!$E$15+1,1))-AVERAGE(OFFSET($H$3,0,0,'Données projet'!$E$15+1,1))</f>
        <v>418.28022549686278</v>
      </c>
      <c r="EP177" s="59">
        <f t="shared" si="154"/>
        <v>354.55070454517158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32.115925730612226</v>
      </c>
      <c r="EW177" s="21">
        <f>EXP(-LN(2)/25)*EW176+(1-EXP(-LN(2)/25))/(LN(2)/25)*Calculateur!ER177*Calculateur!ET177*VLOOKUP('Données projet'!$B$15,Paramètres!$A$1:$I$89,3,0)*0.475*44/12</f>
        <v>5.306784805817685</v>
      </c>
      <c r="EX177" s="21">
        <f>EXP(-LN(2)/2)*EX176+(1-EXP(-LN(2)/2))/(LN(2)/2)*ER177*EU177*VLOOKUP('Données projet'!$B$15,Paramètres!$A$1:$I$89,3,0)*0.475*44/12</f>
        <v>5.5851423872131151E-13</v>
      </c>
      <c r="EY177" s="22">
        <f t="shared" si="181"/>
        <v>37.422710536430472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7.688333333333337</v>
      </c>
      <c r="FE177" s="12">
        <f>IF('Données projet'!$A$218&gt;35,FE176+FD177-FM176,IF(A177&lt;'Données projet'!$A$218,$FB$205^A177,IF(A177='Données projet'!$A$218,'Données projet'!$B$218,FE176+FD177-FM176)))</f>
        <v>410.40999999999968</v>
      </c>
      <c r="FF177" s="17">
        <f>FE177*VLOOKUP('Données projet'!$B$16,Paramètres!$A$1:$I$89,3,0)*VLOOKUP('Données projet'!$B$16,Paramètres!$A$1:$I$89,5,0)</f>
        <v>467.37490799999961</v>
      </c>
      <c r="FG177" s="13">
        <f t="shared" si="182"/>
        <v>105.30970733733747</v>
      </c>
      <c r="FH177" s="20">
        <f t="shared" si="183"/>
        <v>997.42570504586217</v>
      </c>
      <c r="FI177" s="59">
        <f t="shared" si="131"/>
        <v>1286.396043113672</v>
      </c>
      <c r="FJ177" s="59">
        <f ca="1">AVERAGE(OFFSET($FI$3,0,0,'Données projet'!$E$16+1,1))-AVERAGE(OFFSET($H$3,0,0,'Données projet'!$E$16+1,1))</f>
        <v>640.05156427113661</v>
      </c>
      <c r="FK177" s="59">
        <f t="shared" si="156"/>
        <v>308.77220155372902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50.23431376748556</v>
      </c>
      <c r="FR177" s="21">
        <f>EXP(-LN(2)/25)*FR176+(1-EXP(-LN(2)/25))/(LN(2)/25)*Calculateur!FM177*Calculateur!FO177*VLOOKUP('Données projet'!$B$16,Paramètres!$A$1:$I$89,3,0)*0.475*44/12</f>
        <v>22.104409962762794</v>
      </c>
      <c r="FS177" s="21">
        <f>EXP(-LN(2)/2)*FS176+(1-EXP(-LN(2)/2))/(LN(2)/2)*FM177*FP177*VLOOKUP('Données projet'!$B$16,Paramètres!$A$1:$I$89,3,0)*0.475*44/12</f>
        <v>2.0243146449895201E-4</v>
      </c>
      <c r="FT177" s="22">
        <f t="shared" si="184"/>
        <v>72.338926161712848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289.04602628147239</v>
      </c>
      <c r="S178" s="59">
        <f ca="1">AVERAGE(OFFSET($R$3,0,0,'Données projet'!$E$9+1,1))-AVERAGE(OFFSET($H$3,0,0,'Données projet'!$E$9+1,1))</f>
        <v>318.50474972254085</v>
      </c>
      <c r="T178" s="59">
        <f t="shared" si="142"/>
        <v>326.45858332753562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14.239904987989018</v>
      </c>
      <c r="AA178" s="21">
        <f>EXP(-LN(2)/25)*AA177+(1-EXP(-LN(2)/25))/(LN(2)/25)*Calculateur!V178*Calculateur!X178*VLOOKUP('Données projet'!$B$9,Paramètres!$A$1:$I$89,3,0)*0.475*44/12</f>
        <v>1.9974264497293119</v>
      </c>
      <c r="AB178" s="21">
        <f>EXP(-LN(2)/2)*AB177+(1-EXP(-LN(2)/2))/(LN(2)/2)*V178*Y178*VLOOKUP('Données projet'!$B$9,Paramètres!$A$1:$I$89,3,0)*0.475*44/12</f>
        <v>2.9420315371483027E-16</v>
      </c>
      <c r="AC178" s="22">
        <f t="shared" si="163"/>
        <v>16.237331437718328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1.7053025658242404E-13</v>
      </c>
      <c r="AJ178" s="13">
        <f>AI178*VLOOKUP('Données projet'!$B$10,Paramètres!$A$1:$I$89,3,0)*VLOOKUP('Données projet'!$B$10,Paramètres!$A$1:$I$89,5,0)</f>
        <v>7.9808160080574461E-14</v>
      </c>
      <c r="AK178" s="13">
        <f t="shared" si="164"/>
        <v>1.2308384591775343E-12</v>
      </c>
      <c r="AL178" s="20">
        <f t="shared" si="165"/>
        <v>2.282709528541206E-12</v>
      </c>
      <c r="AM178" s="59">
        <f t="shared" si="113"/>
        <v>289.04602628147268</v>
      </c>
      <c r="AN178" s="59">
        <f ca="1">AVERAGE(OFFSET($AM$3,0,0,'Données projet'!$E$10+1,1))-AVERAGE(OFFSET($H$3,0,0,'Données projet'!$E$10+1,1))</f>
        <v>374.38106339726073</v>
      </c>
      <c r="AO178" s="59">
        <f t="shared" si="144"/>
        <v>296.53283288925957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60.852884744275364</v>
      </c>
      <c r="AV178" s="21">
        <f>EXP(-LN(2)/25)*AV177+(1-EXP(-LN(2)/25))/(LN(2)/25)*Calculateur!AQ178*Calculateur!AS178*VLOOKUP('Données projet'!$B$10,Paramètres!$A$1:$I$89,3,0)*0.475*44/12</f>
        <v>13.26050979480104</v>
      </c>
      <c r="AW178" s="21">
        <f>EXP(-LN(2)/2)*AW177+(1-EXP(-LN(2)/2))/(LN(2)/2)*AQ178*AT178*VLOOKUP('Données projet'!$B$10,Paramètres!$A$1:$I$89,3,0)*0.475*44/12</f>
        <v>7.7268251596877134E-6</v>
      </c>
      <c r="AX178" s="21">
        <f t="shared" si="166"/>
        <v>74.11340226590157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6.140000000000005</v>
      </c>
      <c r="BD178" s="12">
        <f>IF('Données projet'!$A$88&gt;35,BD177+BC178-BL177,IF(A178&lt;'Données projet'!$A$88,$BA$205^A178,IF(A178='Données projet'!$A$88,'Données projet'!$B$88,BD177+BC178-BL177)))</f>
        <v>376.66000000000088</v>
      </c>
      <c r="BE178" s="13">
        <f>BD178*VLOOKUP('Données projet'!$B$11,Paramètres!$A$1:$I$89,3,0)*VLOOKUP('Données projet'!$B$11,Paramètres!$A$1:$I$89,5,0)</f>
        <v>340.80196800000078</v>
      </c>
      <c r="BF178" s="13">
        <f t="shared" si="167"/>
        <v>79.665615362245418</v>
      </c>
      <c r="BG178" s="20">
        <f t="shared" si="168"/>
        <v>732.31437435591215</v>
      </c>
      <c r="BH178" s="59">
        <f t="shared" si="116"/>
        <v>1021.3604006373826</v>
      </c>
      <c r="BI178" s="59">
        <f ca="1">AVERAGE(OFFSET($BH$3,0,0,'Données projet'!$E$11+1,1))-AVERAGE(OFFSET($H$3,0,0,'Données projet'!$E$11+1,1))</f>
        <v>681.47578137804555</v>
      </c>
      <c r="BJ178" s="59">
        <f t="shared" si="146"/>
        <v>300.88511065995885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92.679275390169977</v>
      </c>
      <c r="BQ178" s="21">
        <f>EXP(-LN(2)/25)*BQ177+(1-EXP(-LN(2)/25))/(LN(2)/25)*Calculateur!BL178*Calculateur!BN178*VLOOKUP('Données projet'!$B$11,Paramètres!$A$1:$I$89,3,0)*0.475*44/12</f>
        <v>21.960333086533794</v>
      </c>
      <c r="BR178" s="21">
        <f>EXP(-LN(2)/2)*BR177+(1-EXP(-LN(2)/2))/(LN(2)/2)*BL178*BO178*VLOOKUP('Données projet'!$B$11,Paramètres!$A$1:$I$89,3,0)*0.475*44/12</f>
        <v>7.2439115652370401</v>
      </c>
      <c r="BS178" s="22">
        <f t="shared" si="169"/>
        <v>121.88352004194081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8.5265128291212022E-14</v>
      </c>
      <c r="BZ178" s="13">
        <f>BY178*VLOOKUP('Données projet'!$B$12,Paramètres!$A$1:$I$89,3,0)*VLOOKUP('Données projet'!$B$12,Paramètres!$A$1:$I$89,5,0)</f>
        <v>8.9119112089974823E-14</v>
      </c>
      <c r="CA178" s="13">
        <f t="shared" si="170"/>
        <v>1.3568952080113142E-12</v>
      </c>
      <c r="CB178" s="20">
        <f t="shared" si="171"/>
        <v>2.5184749408430782E-12</v>
      </c>
      <c r="CC178" s="59">
        <f t="shared" si="119"/>
        <v>289.0460262814729</v>
      </c>
      <c r="CD178" s="59">
        <f ca="1">AVERAGE(OFFSET($CC$3,0,0,'Données projet'!$E$12+1,1))-AVERAGE(OFFSET($H$3,0,0,'Données projet'!$E$12+1,1))</f>
        <v>290.69667785754848</v>
      </c>
      <c r="CE178" s="59">
        <f t="shared" si="148"/>
        <v>256.28124185489082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4.0303073591344578</v>
      </c>
      <c r="CL178" s="21">
        <f>EXP(-LN(2)/25)*CL177+(1-EXP(-LN(2)/25))/(LN(2)/25)*Calculateur!CG178*Calculateur!CI178*VLOOKUP('Données projet'!$B$12,Paramètres!$A$1:$I$89,3,0)*0.475*44/12</f>
        <v>5.6808415385660096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9.7111488977004683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408.246209980743</v>
      </c>
      <c r="CZ178" s="59">
        <f t="shared" si="150"/>
        <v>394.10236303013903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8.6974142384209916</v>
      </c>
      <c r="DG178" s="21">
        <f>EXP(-LN(2)/25)*DG177+(1-EXP(-LN(2)/25))/(LN(2)/25)*Calculateur!DB178*Calculateur!DD178*VLOOKUP('Données projet'!$B$13,Paramètres!$A$1:$I$89,3,0)*0.475*44/12</f>
        <v>4.0459659313965446</v>
      </c>
      <c r="DH178" s="21">
        <f>EXP(-LN(2)/2)*DH177+(1-EXP(-LN(2)/2))/(LN(2)/2)*DB178*DE178*VLOOKUP('Données projet'!$B$13,Paramètres!$A$1:$I$89,3,0)*0.475*44/12</f>
        <v>3.4437055738415923E-13</v>
      </c>
      <c r="DI178" s="22">
        <f t="shared" si="175"/>
        <v>12.743380169817881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5.6843418860808015E-13</v>
      </c>
      <c r="DP178" s="17">
        <f>DO178*VLOOKUP('Données projet'!$B$14,Paramètres!$A$1:$I$89,3,0)*VLOOKUP('Données projet'!$B$14,Paramètres!$A$1:$I$89,5,0)</f>
        <v>3.177547114319168E-13</v>
      </c>
      <c r="DQ178" s="13">
        <f t="shared" si="176"/>
        <v>4.1725404435445377E-12</v>
      </c>
      <c r="DR178" s="20">
        <f t="shared" si="177"/>
        <v>7.820597394917325E-12</v>
      </c>
      <c r="DS178" s="59">
        <f t="shared" si="125"/>
        <v>289.04602628147825</v>
      </c>
      <c r="DT178" s="59">
        <f ca="1">AVERAGE(OFFSET($DS$3,0,0,'Données projet'!$E$14+1,1))-AVERAGE(OFFSET($H$3,0,0,'Données projet'!$E$14+1,1))</f>
        <v>407.05634973057056</v>
      </c>
      <c r="DU178" s="59">
        <f t="shared" si="152"/>
        <v>375.32891954889965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28.843589717296329</v>
      </c>
      <c r="EB178" s="21">
        <f>EXP(-LN(2)/25)*EB177+(1-EXP(-LN(2)/25))/(LN(2)/25)*Calculateur!DW178*Calculateur!DY178*VLOOKUP('Données projet'!$B$14,Paramètres!$A$1:$I$89,3,0)*0.475*44/12</f>
        <v>4.1763218829107309</v>
      </c>
      <c r="EC178" s="21">
        <f>EXP(-LN(2)/2)*EC177+(1-EXP(-LN(2)/2))/(LN(2)/2)*DW178*DZ178*VLOOKUP('Données projet'!$B$14,Paramètres!$A$1:$I$89,3,0)*0.475*44/12</f>
        <v>1.1855065432822389E-14</v>
      </c>
      <c r="ED178" s="22">
        <f t="shared" si="178"/>
        <v>33.019911600207074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1.1368683772161603E-13</v>
      </c>
      <c r="EK178" s="17">
        <f>EJ178*VLOOKUP('Données projet'!$B$15,Paramètres!$A$1:$I$89,3,0)*VLOOKUP('Données projet'!$B$15,Paramètres!$A$1:$I$89,5,0)</f>
        <v>5.0249582272954292E-14</v>
      </c>
      <c r="EL178" s="13">
        <f t="shared" si="179"/>
        <v>8.1784820119191593E-13</v>
      </c>
      <c r="EM178" s="20">
        <f t="shared" si="180"/>
        <v>1.5119369728679821E-12</v>
      </c>
      <c r="EN178" s="59">
        <f t="shared" si="128"/>
        <v>289.04602628147194</v>
      </c>
      <c r="EO178" s="59">
        <f ca="1">AVERAGE(OFFSET($EN$3,0,0,'Données projet'!$E$15+1,1))-AVERAGE(OFFSET($H$3,0,0,'Données projet'!$E$15+1,1))</f>
        <v>418.28022549686278</v>
      </c>
      <c r="EP178" s="59">
        <f t="shared" si="154"/>
        <v>354.55070454517158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31.486152015815385</v>
      </c>
      <c r="EW178" s="21">
        <f>EXP(-LN(2)/25)*EW177+(1-EXP(-LN(2)/25))/(LN(2)/25)*Calculateur!ER178*Calculateur!ET178*VLOOKUP('Données projet'!$B$15,Paramètres!$A$1:$I$89,3,0)*0.475*44/12</f>
        <v>5.1616704962309159</v>
      </c>
      <c r="EX178" s="21">
        <f>EXP(-LN(2)/2)*EX177+(1-EXP(-LN(2)/2))/(LN(2)/2)*ER178*EU178*VLOOKUP('Données projet'!$B$15,Paramètres!$A$1:$I$89,3,0)*0.475*44/12</f>
        <v>3.9492920558908159E-13</v>
      </c>
      <c r="EY178" s="22">
        <f t="shared" si="181"/>
        <v>36.647822512046702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7.688333333333337</v>
      </c>
      <c r="FE178" s="12">
        <f>IF('Données projet'!$A$218&gt;35,FE177+FD178-FM177,IF(A178&lt;'Données projet'!$A$218,$FB$205^A178,IF(A178='Données projet'!$A$218,'Données projet'!$B$218,FE177+FD178-FM177)))</f>
        <v>418.09833333333302</v>
      </c>
      <c r="FF178" s="17">
        <f>FE178*VLOOKUP('Données projet'!$B$16,Paramètres!$A$1:$I$89,3,0)*VLOOKUP('Données projet'!$B$16,Paramètres!$A$1:$I$89,5,0)</f>
        <v>476.1303819999996</v>
      </c>
      <c r="FG178" s="13">
        <f t="shared" si="182"/>
        <v>107.05098446387258</v>
      </c>
      <c r="FH178" s="20">
        <f t="shared" si="183"/>
        <v>1015.7075465912441</v>
      </c>
      <c r="FI178" s="59">
        <f t="shared" si="131"/>
        <v>1304.7535728727144</v>
      </c>
      <c r="FJ178" s="59">
        <f ca="1">AVERAGE(OFFSET($FI$3,0,0,'Données projet'!$E$16+1,1))-AVERAGE(OFFSET($H$3,0,0,'Données projet'!$E$16+1,1))</f>
        <v>640.05156427113661</v>
      </c>
      <c r="FK178" s="59">
        <f t="shared" si="156"/>
        <v>308.77220155372902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49.249249514411126</v>
      </c>
      <c r="FR178" s="21">
        <f>EXP(-LN(2)/25)*FR177+(1-EXP(-LN(2)/25))/(LN(2)/25)*Calculateur!FM178*Calculateur!FO178*VLOOKUP('Données projet'!$B$16,Paramètres!$A$1:$I$89,3,0)*0.475*44/12</f>
        <v>21.499963709910645</v>
      </c>
      <c r="FS178" s="21">
        <f>EXP(-LN(2)/2)*FS177+(1-EXP(-LN(2)/2))/(LN(2)/2)*FM178*FP178*VLOOKUP('Données projet'!$B$16,Paramètres!$A$1:$I$89,3,0)*0.475*44/12</f>
        <v>1.4314066127273282E-4</v>
      </c>
      <c r="FT178" s="22">
        <f t="shared" si="184"/>
        <v>70.749356364983058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289.12040147383959</v>
      </c>
      <c r="S179" s="59">
        <f ca="1">AVERAGE(OFFSET($R$3,0,0,'Données projet'!$E$9+1,1))-AVERAGE(OFFSET($H$3,0,0,'Données projet'!$E$9+1,1))</f>
        <v>318.50474972254085</v>
      </c>
      <c r="T179" s="59">
        <f t="shared" si="142"/>
        <v>326.45858332753562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13.960669136658975</v>
      </c>
      <c r="AA179" s="21">
        <f>EXP(-LN(2)/25)*AA178+(1-EXP(-LN(2)/25))/(LN(2)/25)*Calculateur!V179*Calculateur!X179*VLOOKUP('Données projet'!$B$9,Paramètres!$A$1:$I$89,3,0)*0.475*44/12</f>
        <v>1.942806718421372</v>
      </c>
      <c r="AB179" s="21">
        <f>EXP(-LN(2)/2)*AB178+(1-EXP(-LN(2)/2))/(LN(2)/2)*V179*Y179*VLOOKUP('Données projet'!$B$9,Paramètres!$A$1:$I$89,3,0)*0.475*44/12</f>
        <v>2.0803304503822469E-16</v>
      </c>
      <c r="AC179" s="22">
        <f t="shared" si="163"/>
        <v>15.903475855080346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1.7053025658242404E-13</v>
      </c>
      <c r="AJ179" s="13">
        <f>AI179*VLOOKUP('Données projet'!$B$10,Paramètres!$A$1:$I$89,3,0)*VLOOKUP('Données projet'!$B$10,Paramètres!$A$1:$I$89,5,0)</f>
        <v>7.9808160080574461E-14</v>
      </c>
      <c r="AK179" s="13">
        <f t="shared" si="164"/>
        <v>1.2308384591775343E-12</v>
      </c>
      <c r="AL179" s="20">
        <f t="shared" si="165"/>
        <v>2.282709528541206E-12</v>
      </c>
      <c r="AM179" s="59">
        <f t="shared" si="113"/>
        <v>289.12040147383988</v>
      </c>
      <c r="AN179" s="59">
        <f ca="1">AVERAGE(OFFSET($AM$3,0,0,'Données projet'!$E$10+1,1))-AVERAGE(OFFSET($H$3,0,0,'Données projet'!$E$10+1,1))</f>
        <v>374.38106339726073</v>
      </c>
      <c r="AO179" s="59">
        <f t="shared" si="144"/>
        <v>296.53283288925957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59.659596791034858</v>
      </c>
      <c r="AV179" s="21">
        <f>EXP(-LN(2)/25)*AV178+(1-EXP(-LN(2)/25))/(LN(2)/25)*Calculateur!AQ179*Calculateur!AS179*VLOOKUP('Données projet'!$B$10,Paramètres!$A$1:$I$89,3,0)*0.475*44/12</f>
        <v>12.897900457122303</v>
      </c>
      <c r="AW179" s="21">
        <f>EXP(-LN(2)/2)*AW178+(1-EXP(-LN(2)/2))/(LN(2)/2)*AQ179*AT179*VLOOKUP('Données projet'!$B$10,Paramètres!$A$1:$I$89,3,0)*0.475*44/12</f>
        <v>5.4636904674580103E-6</v>
      </c>
      <c r="AX179" s="21">
        <f t="shared" si="166"/>
        <v>72.557502711847633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6.140000000000005</v>
      </c>
      <c r="BD179" s="12">
        <f>IF('Données projet'!$A$88&gt;35,BD178+BC179-BL178,IF(A179&lt;'Données projet'!$A$88,$BA$205^A179,IF(A179='Données projet'!$A$88,'Données projet'!$B$88,BD178+BC179-BL178)))</f>
        <v>382.80000000000086</v>
      </c>
      <c r="BE179" s="13">
        <f>BD179*VLOOKUP('Données projet'!$B$11,Paramètres!$A$1:$I$89,3,0)*VLOOKUP('Données projet'!$B$11,Paramètres!$A$1:$I$89,5,0)</f>
        <v>346.35744000000079</v>
      </c>
      <c r="BF179" s="13">
        <f t="shared" si="167"/>
        <v>80.812014230904367</v>
      </c>
      <c r="BG179" s="20">
        <f t="shared" si="168"/>
        <v>743.98679945215974</v>
      </c>
      <c r="BH179" s="59">
        <f t="shared" si="116"/>
        <v>1033.1072009259974</v>
      </c>
      <c r="BI179" s="59">
        <f ca="1">AVERAGE(OFFSET($BH$3,0,0,'Données projet'!$E$11+1,1))-AVERAGE(OFFSET($H$3,0,0,'Données projet'!$E$11+1,1))</f>
        <v>681.47578137804555</v>
      </c>
      <c r="BJ179" s="59">
        <f t="shared" si="146"/>
        <v>300.88511065995885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90.861891328544985</v>
      </c>
      <c r="BQ179" s="21">
        <f>EXP(-LN(2)/25)*BQ178+(1-EXP(-LN(2)/25))/(LN(2)/25)*Calculateur!BL179*Calculateur!BN179*VLOOKUP('Données projet'!$B$11,Paramètres!$A$1:$I$89,3,0)*0.475*44/12</f>
        <v>21.359826623438803</v>
      </c>
      <c r="BR179" s="21">
        <f>EXP(-LN(2)/2)*BR178+(1-EXP(-LN(2)/2))/(LN(2)/2)*BL179*BO179*VLOOKUP('Données projet'!$B$11,Paramètres!$A$1:$I$89,3,0)*0.475*44/12</f>
        <v>5.122218990094769</v>
      </c>
      <c r="BS179" s="22">
        <f t="shared" si="169"/>
        <v>117.34393694207856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8.5265128291212022E-14</v>
      </c>
      <c r="BZ179" s="13">
        <f>BY179*VLOOKUP('Données projet'!$B$12,Paramètres!$A$1:$I$89,3,0)*VLOOKUP('Données projet'!$B$12,Paramètres!$A$1:$I$89,5,0)</f>
        <v>8.9119112089974823E-14</v>
      </c>
      <c r="CA179" s="13">
        <f t="shared" si="170"/>
        <v>1.3568952080113142E-12</v>
      </c>
      <c r="CB179" s="20">
        <f t="shared" si="171"/>
        <v>2.5184749408430782E-12</v>
      </c>
      <c r="CC179" s="59">
        <f t="shared" si="119"/>
        <v>289.1204014738401</v>
      </c>
      <c r="CD179" s="59">
        <f ca="1">AVERAGE(OFFSET($CC$3,0,0,'Données projet'!$E$12+1,1))-AVERAGE(OFFSET($H$3,0,0,'Données projet'!$E$12+1,1))</f>
        <v>290.69667785754848</v>
      </c>
      <c r="CE179" s="59">
        <f t="shared" si="148"/>
        <v>256.28124185489082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3.9512754900665885</v>
      </c>
      <c r="CL179" s="21">
        <f>EXP(-LN(2)/25)*CL178+(1-EXP(-LN(2)/25))/(LN(2)/25)*Calculateur!CG179*Calculateur!CI179*VLOOKUP('Données projet'!$B$12,Paramètres!$A$1:$I$89,3,0)*0.475*44/12</f>
        <v>5.5254986279514489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9.4767741180180369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408.246209980743</v>
      </c>
      <c r="CZ179" s="59">
        <f t="shared" si="150"/>
        <v>394.10236303013903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8.5268632501044266</v>
      </c>
      <c r="DG179" s="21">
        <f>EXP(-LN(2)/25)*DG178+(1-EXP(-LN(2)/25))/(LN(2)/25)*Calculateur!DB179*Calculateur!DD179*VLOOKUP('Données projet'!$B$13,Paramètres!$A$1:$I$89,3,0)*0.475*44/12</f>
        <v>3.9353287802344048</v>
      </c>
      <c r="DH179" s="21">
        <f>EXP(-LN(2)/2)*DH178+(1-EXP(-LN(2)/2))/(LN(2)/2)*DB179*DE179*VLOOKUP('Données projet'!$B$13,Paramètres!$A$1:$I$89,3,0)*0.475*44/12</f>
        <v>2.4350675636733008E-13</v>
      </c>
      <c r="DI179" s="22">
        <f t="shared" si="175"/>
        <v>12.462192030339075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5.6843418860808015E-13</v>
      </c>
      <c r="DP179" s="17">
        <f>DO179*VLOOKUP('Données projet'!$B$14,Paramètres!$A$1:$I$89,3,0)*VLOOKUP('Données projet'!$B$14,Paramètres!$A$1:$I$89,5,0)</f>
        <v>3.177547114319168E-13</v>
      </c>
      <c r="DQ179" s="13">
        <f t="shared" si="176"/>
        <v>4.1725404435445377E-12</v>
      </c>
      <c r="DR179" s="20">
        <f t="shared" si="177"/>
        <v>7.820597394917325E-12</v>
      </c>
      <c r="DS179" s="59">
        <f t="shared" si="125"/>
        <v>289.12040147384545</v>
      </c>
      <c r="DT179" s="59">
        <f ca="1">AVERAGE(OFFSET($DS$3,0,0,'Données projet'!$E$14+1,1))-AVERAGE(OFFSET($H$3,0,0,'Données projet'!$E$14+1,1))</f>
        <v>407.05634973057056</v>
      </c>
      <c r="DU179" s="59">
        <f t="shared" si="152"/>
        <v>375.32891954889965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28.277984515792724</v>
      </c>
      <c r="EB179" s="21">
        <f>EXP(-LN(2)/25)*EB178+(1-EXP(-LN(2)/25))/(LN(2)/25)*Calculateur!DW179*Calculateur!DY179*VLOOKUP('Données projet'!$B$14,Paramètres!$A$1:$I$89,3,0)*0.475*44/12</f>
        <v>4.0621201413993147</v>
      </c>
      <c r="EC179" s="21">
        <f>EXP(-LN(2)/2)*EC178+(1-EXP(-LN(2)/2))/(LN(2)/2)*DW179*DZ179*VLOOKUP('Données projet'!$B$14,Paramètres!$A$1:$I$89,3,0)*0.475*44/12</f>
        <v>8.3827971589589444E-15</v>
      </c>
      <c r="ED179" s="22">
        <f t="shared" si="178"/>
        <v>32.340104657192043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1.1368683772161603E-13</v>
      </c>
      <c r="EK179" s="17">
        <f>EJ179*VLOOKUP('Données projet'!$B$15,Paramètres!$A$1:$I$89,3,0)*VLOOKUP('Données projet'!$B$15,Paramètres!$A$1:$I$89,5,0)</f>
        <v>5.0249582272954292E-14</v>
      </c>
      <c r="EL179" s="13">
        <f t="shared" si="179"/>
        <v>8.1784820119191593E-13</v>
      </c>
      <c r="EM179" s="20">
        <f t="shared" si="180"/>
        <v>1.5119369728679821E-12</v>
      </c>
      <c r="EN179" s="59">
        <f t="shared" si="128"/>
        <v>289.12040147383914</v>
      </c>
      <c r="EO179" s="59">
        <f ca="1">AVERAGE(OFFSET($EN$3,0,0,'Données projet'!$E$15+1,1))-AVERAGE(OFFSET($H$3,0,0,'Données projet'!$E$15+1,1))</f>
        <v>418.28022549686278</v>
      </c>
      <c r="EP179" s="59">
        <f t="shared" si="154"/>
        <v>354.55070454517158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30.868727779441674</v>
      </c>
      <c r="EW179" s="21">
        <f>EXP(-LN(2)/25)*EW178+(1-EXP(-LN(2)/25))/(LN(2)/25)*Calculateur!ER179*Calculateur!ET179*VLOOKUP('Données projet'!$B$15,Paramètres!$A$1:$I$89,3,0)*0.475*44/12</f>
        <v>5.0205243450710269</v>
      </c>
      <c r="EX179" s="21">
        <f>EXP(-LN(2)/2)*EX178+(1-EXP(-LN(2)/2))/(LN(2)/2)*ER179*EU179*VLOOKUP('Données projet'!$B$15,Paramètres!$A$1:$I$89,3,0)*0.475*44/12</f>
        <v>2.7925711936065575E-13</v>
      </c>
      <c r="EY179" s="22">
        <f t="shared" si="181"/>
        <v>35.889252124512979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7.688333333333337</v>
      </c>
      <c r="FE179" s="12">
        <f>IF('Données projet'!$A$218&gt;35,FE178+FD179-FM178,IF(A179&lt;'Données projet'!$A$218,$FB$205^A179,IF(A179='Données projet'!$A$218,'Données projet'!$B$218,FE178+FD179-FM178)))</f>
        <v>425.78666666666635</v>
      </c>
      <c r="FF179" s="17">
        <f>FE179*VLOOKUP('Données projet'!$B$16,Paramètres!$A$1:$I$89,3,0)*VLOOKUP('Données projet'!$B$16,Paramètres!$A$1:$I$89,5,0)</f>
        <v>484.88585599999959</v>
      </c>
      <c r="FG179" s="13">
        <f t="shared" si="182"/>
        <v>108.78853822373283</v>
      </c>
      <c r="FH179" s="20">
        <f t="shared" si="183"/>
        <v>1033.9829032730006</v>
      </c>
      <c r="FI179" s="59">
        <f t="shared" si="131"/>
        <v>1323.1033047468381</v>
      </c>
      <c r="FJ179" s="59">
        <f ca="1">AVERAGE(OFFSET($FI$3,0,0,'Données projet'!$E$16+1,1))-AVERAGE(OFFSET($H$3,0,0,'Données projet'!$E$16+1,1))</f>
        <v>640.05156427113661</v>
      </c>
      <c r="FK179" s="59">
        <f t="shared" si="156"/>
        <v>308.77220155372902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48.283501770509616</v>
      </c>
      <c r="FR179" s="21">
        <f>EXP(-LN(2)/25)*FR178+(1-EXP(-LN(2)/25))/(LN(2)/25)*Calculateur!FM179*Calculateur!FO179*VLOOKUP('Données projet'!$B$16,Paramètres!$A$1:$I$89,3,0)*0.475*44/12</f>
        <v>20.912046071629184</v>
      </c>
      <c r="FS179" s="21">
        <f>EXP(-LN(2)/2)*FS178+(1-EXP(-LN(2)/2))/(LN(2)/2)*FM179*FP179*VLOOKUP('Données projet'!$B$16,Paramètres!$A$1:$I$89,3,0)*0.475*44/12</f>
        <v>1.0121573224947601E-4</v>
      </c>
      <c r="FT179" s="22">
        <f t="shared" si="184"/>
        <v>69.195649057871051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289.19348642289725</v>
      </c>
      <c r="S180" s="59">
        <f ca="1">AVERAGE(OFFSET($R$3,0,0,'Données projet'!$E$9+1,1))-AVERAGE(OFFSET($H$3,0,0,'Données projet'!$E$9+1,1))</f>
        <v>318.50474972254085</v>
      </c>
      <c r="T180" s="59">
        <f t="shared" si="142"/>
        <v>326.45858332753562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13.686908930056463</v>
      </c>
      <c r="AA180" s="21">
        <f>EXP(-LN(2)/25)*AA179+(1-EXP(-LN(2)/25))/(LN(2)/25)*Calculateur!V180*Calculateur!X180*VLOOKUP('Données projet'!$B$9,Paramètres!$A$1:$I$89,3,0)*0.475*44/12</f>
        <v>1.8896805665383747</v>
      </c>
      <c r="AB180" s="21">
        <f>EXP(-LN(2)/2)*AB179+(1-EXP(-LN(2)/2))/(LN(2)/2)*V180*Y180*VLOOKUP('Données projet'!$B$9,Paramètres!$A$1:$I$89,3,0)*0.475*44/12</f>
        <v>1.4710157685741513E-16</v>
      </c>
      <c r="AC180" s="22">
        <f t="shared" si="163"/>
        <v>15.576589496594838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1.7053025658242404E-13</v>
      </c>
      <c r="AJ180" s="13">
        <f>AI180*VLOOKUP('Données projet'!$B$10,Paramètres!$A$1:$I$89,3,0)*VLOOKUP('Données projet'!$B$10,Paramètres!$A$1:$I$89,5,0)</f>
        <v>7.9808160080574461E-14</v>
      </c>
      <c r="AK180" s="13">
        <f t="shared" si="164"/>
        <v>1.2308384591775343E-12</v>
      </c>
      <c r="AL180" s="20">
        <f t="shared" si="165"/>
        <v>2.282709528541206E-12</v>
      </c>
      <c r="AM180" s="59">
        <f t="shared" si="113"/>
        <v>289.19348642289754</v>
      </c>
      <c r="AN180" s="59">
        <f ca="1">AVERAGE(OFFSET($AM$3,0,0,'Données projet'!$E$10+1,1))-AVERAGE(OFFSET($H$3,0,0,'Données projet'!$E$10+1,1))</f>
        <v>374.38106339726073</v>
      </c>
      <c r="AO180" s="59">
        <f t="shared" si="144"/>
        <v>296.53283288925957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58.489708486723615</v>
      </c>
      <c r="AV180" s="21">
        <f>EXP(-LN(2)/25)*AV179+(1-EXP(-LN(2)/25))/(LN(2)/25)*Calculateur!AQ180*Calculateur!AS180*VLOOKUP('Données projet'!$B$10,Paramètres!$A$1:$I$89,3,0)*0.475*44/12</f>
        <v>12.545206690851186</v>
      </c>
      <c r="AW180" s="21">
        <f>EXP(-LN(2)/2)*AW179+(1-EXP(-LN(2)/2))/(LN(2)/2)*AQ180*AT180*VLOOKUP('Données projet'!$B$10,Paramètres!$A$1:$I$89,3,0)*0.475*44/12</f>
        <v>3.8634125798438567E-6</v>
      </c>
      <c r="AX180" s="21">
        <f t="shared" si="166"/>
        <v>71.034919040987376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6.140000000000005</v>
      </c>
      <c r="BC180" s="12">
        <f t="array" ref="BC180">INDEX(BB:BB,MIN(IF(ISNUMBER(BB180:BB376),ROW(BB180:BB376),"")))</f>
        <v>6.140000000000005</v>
      </c>
      <c r="BD180" s="12">
        <f>IF('Données projet'!$A$88&gt;35,BD179+BC180-BL179,IF(A180&lt;'Données projet'!$A$88,$BA$205^A180,IF(A180='Données projet'!$A$88,'Données projet'!$B$88,BD179+BC180-BL179)))</f>
        <v>388.94000000000085</v>
      </c>
      <c r="BE180" s="13">
        <f>BD180*VLOOKUP('Données projet'!$B$11,Paramètres!$A$1:$I$89,3,0)*VLOOKUP('Données projet'!$B$11,Paramètres!$A$1:$I$89,5,0)</f>
        <v>351.91291200000074</v>
      </c>
      <c r="BF180" s="13">
        <f t="shared" si="167"/>
        <v>81.956274647572329</v>
      </c>
      <c r="BG180" s="20">
        <f t="shared" si="168"/>
        <v>755.65550007785635</v>
      </c>
      <c r="BH180" s="59">
        <f t="shared" si="116"/>
        <v>1044.8489865007516</v>
      </c>
      <c r="BI180" s="59">
        <f ca="1">AVERAGE(OFFSET($BH$3,0,0,'Données projet'!$E$11+1,1))-AVERAGE(OFFSET($H$3,0,0,'Données projet'!$E$11+1,1))</f>
        <v>681.47578137804555</v>
      </c>
      <c r="BJ180" s="59">
        <f t="shared" si="146"/>
        <v>300.88511065995885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128.66000000000003</v>
      </c>
      <c r="BM180" s="16">
        <f>IF(ISNA(VLOOKUP(A180,'Données projet'!$A$87:$I$107,5,0)),0%,VLOOKUP(A180,'Données projet'!$A$87:$I$107,5,0)*VLOOKUP('Données projet'!$B$11,Paramètres!$A$1:$I$89,7,0))</f>
        <v>0.19350000000000001</v>
      </c>
      <c r="BN180" s="16">
        <f>IF(ISNA(VLOOKUP(A180,'Données projet'!$A$87:$I$107,6,0)),0%,VLOOKUP(A180,'Données projet'!$A$87:$I$107,6,0)*VLOOKUP('Données projet'!$B$11,Paramètres!$A$1:$I$89,7,0))</f>
        <v>2.1500000000000002E-2</v>
      </c>
      <c r="BO180" s="16">
        <f>IF(ISNA(VLOOKUP(A180,'Données projet'!$A$87:$I$107,7,0)),0%,VLOOKUP(A180,'Données projet'!$A$87:$I$107,7,0))</f>
        <v>0.05</v>
      </c>
      <c r="BP180" s="21">
        <f>EXP(-LN(2)/35)*BP179+(1-EXP(-LN(2)/35))/(LN(2)/35)*BL180*BM180*VLOOKUP('Données projet'!$B$11,Paramètres!$A$1:$I$89,3,0)*0.475*44/12</f>
        <v>113.98157109998739</v>
      </c>
      <c r="BQ180" s="21">
        <f>EXP(-LN(2)/25)*BQ179+(1-EXP(-LN(2)/25))/(LN(2)/25)*Calculateur!BL180*Calculateur!BN180*VLOOKUP('Données projet'!$B$11,Paramètres!$A$1:$I$89,3,0)*0.475*44/12</f>
        <v>23.531672112001587</v>
      </c>
      <c r="BR180" s="21">
        <f>EXP(-LN(2)/2)*BR179+(1-EXP(-LN(2)/2))/(LN(2)/2)*BL180*BO180*VLOOKUP('Données projet'!$B$11,Paramètres!$A$1:$I$89,3,0)*0.475*44/12</f>
        <v>9.1138281615892875</v>
      </c>
      <c r="BS180" s="22">
        <f t="shared" si="169"/>
        <v>146.62707137357827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8.5265128291212022E-14</v>
      </c>
      <c r="BZ180" s="13">
        <f>BY180*VLOOKUP('Données projet'!$B$12,Paramètres!$A$1:$I$89,3,0)*VLOOKUP('Données projet'!$B$12,Paramètres!$A$1:$I$89,5,0)</f>
        <v>8.9119112089974823E-14</v>
      </c>
      <c r="CA180" s="13">
        <f t="shared" si="170"/>
        <v>1.3568952080113142E-12</v>
      </c>
      <c r="CB180" s="20">
        <f t="shared" si="171"/>
        <v>2.5184749408430782E-12</v>
      </c>
      <c r="CC180" s="59">
        <f t="shared" si="119"/>
        <v>289.19348642289776</v>
      </c>
      <c r="CD180" s="59">
        <f ca="1">AVERAGE(OFFSET($CC$3,0,0,'Données projet'!$E$12+1,1))-AVERAGE(OFFSET($H$3,0,0,'Données projet'!$E$12+1,1))</f>
        <v>290.69667785754848</v>
      </c>
      <c r="CE180" s="59">
        <f t="shared" si="148"/>
        <v>256.28124185489082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3.8737933877464599</v>
      </c>
      <c r="CL180" s="21">
        <f>EXP(-LN(2)/25)*CL179+(1-EXP(-LN(2)/25))/(LN(2)/25)*Calculateur!CG180*Calculateur!CI180*VLOOKUP('Données projet'!$B$12,Paramètres!$A$1:$I$89,3,0)*0.475*44/12</f>
        <v>5.3744035773967722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9.248196965143233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408.246209980743</v>
      </c>
      <c r="CZ180" s="59">
        <f t="shared" si="150"/>
        <v>394.10236303013903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8.3596566626429176</v>
      </c>
      <c r="DG180" s="21">
        <f>EXP(-LN(2)/25)*DG179+(1-EXP(-LN(2)/25))/(LN(2)/25)*Calculateur!DB180*Calculateur!DD180*VLOOKUP('Données projet'!$B$13,Paramètres!$A$1:$I$89,3,0)*0.475*44/12</f>
        <v>3.8277170077889489</v>
      </c>
      <c r="DH180" s="21">
        <f>EXP(-LN(2)/2)*DH179+(1-EXP(-LN(2)/2))/(LN(2)/2)*DB180*DE180*VLOOKUP('Données projet'!$B$13,Paramètres!$A$1:$I$89,3,0)*0.475*44/12</f>
        <v>1.7218527869207961E-13</v>
      </c>
      <c r="DI180" s="22">
        <f t="shared" si="175"/>
        <v>12.18737367043204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5.6843418860808015E-13</v>
      </c>
      <c r="DP180" s="17">
        <f>DO180*VLOOKUP('Données projet'!$B$14,Paramètres!$A$1:$I$89,3,0)*VLOOKUP('Données projet'!$B$14,Paramètres!$A$1:$I$89,5,0)</f>
        <v>3.177547114319168E-13</v>
      </c>
      <c r="DQ180" s="13">
        <f t="shared" si="176"/>
        <v>4.1725404435445377E-12</v>
      </c>
      <c r="DR180" s="20">
        <f t="shared" si="177"/>
        <v>7.820597394917325E-12</v>
      </c>
      <c r="DS180" s="59">
        <f t="shared" si="125"/>
        <v>289.19348642290311</v>
      </c>
      <c r="DT180" s="59">
        <f ca="1">AVERAGE(OFFSET($DS$3,0,0,'Données projet'!$E$14+1,1))-AVERAGE(OFFSET($H$3,0,0,'Données projet'!$E$14+1,1))</f>
        <v>407.05634973057056</v>
      </c>
      <c r="DU180" s="59">
        <f t="shared" si="152"/>
        <v>375.32891954889965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27.723470487305498</v>
      </c>
      <c r="EB180" s="21">
        <f>EXP(-LN(2)/25)*EB179+(1-EXP(-LN(2)/25))/(LN(2)/25)*Calculateur!DW180*Calculateur!DY180*VLOOKUP('Données projet'!$B$14,Paramètres!$A$1:$I$89,3,0)*0.475*44/12</f>
        <v>3.9510412525151364</v>
      </c>
      <c r="EC180" s="21">
        <f>EXP(-LN(2)/2)*EC179+(1-EXP(-LN(2)/2))/(LN(2)/2)*DW180*DZ180*VLOOKUP('Données projet'!$B$14,Paramètres!$A$1:$I$89,3,0)*0.475*44/12</f>
        <v>5.9275327164111947E-15</v>
      </c>
      <c r="ED180" s="22">
        <f t="shared" si="178"/>
        <v>31.674511739820641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1.1368683772161603E-13</v>
      </c>
      <c r="EK180" s="17">
        <f>EJ180*VLOOKUP('Données projet'!$B$15,Paramètres!$A$1:$I$89,3,0)*VLOOKUP('Données projet'!$B$15,Paramètres!$A$1:$I$89,5,0)</f>
        <v>5.0249582272954292E-14</v>
      </c>
      <c r="EL180" s="13">
        <f t="shared" si="179"/>
        <v>8.1784820119191593E-13</v>
      </c>
      <c r="EM180" s="20">
        <f t="shared" si="180"/>
        <v>1.5119369728679821E-12</v>
      </c>
      <c r="EN180" s="59">
        <f t="shared" si="128"/>
        <v>289.1934864228968</v>
      </c>
      <c r="EO180" s="59">
        <f ca="1">AVERAGE(OFFSET($EN$3,0,0,'Données projet'!$E$15+1,1))-AVERAGE(OFFSET($H$3,0,0,'Données projet'!$E$15+1,1))</f>
        <v>418.28022549686278</v>
      </c>
      <c r="EP180" s="59">
        <f t="shared" si="154"/>
        <v>354.55070454517158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30.263410855751651</v>
      </c>
      <c r="EW180" s="21">
        <f>EXP(-LN(2)/25)*EW179+(1-EXP(-LN(2)/25))/(LN(2)/25)*Calculateur!ER180*Calculateur!ET180*VLOOKUP('Données projet'!$B$15,Paramètres!$A$1:$I$89,3,0)*0.475*44/12</f>
        <v>4.8832378428371586</v>
      </c>
      <c r="EX180" s="21">
        <f>EXP(-LN(2)/2)*EX179+(1-EXP(-LN(2)/2))/(LN(2)/2)*ER180*EU180*VLOOKUP('Données projet'!$B$15,Paramètres!$A$1:$I$89,3,0)*0.475*44/12</f>
        <v>1.974646027945408E-13</v>
      </c>
      <c r="EY180" s="22">
        <f t="shared" si="181"/>
        <v>35.146648698589011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7.688333333333337</v>
      </c>
      <c r="FE180" s="12">
        <f>IF('Données projet'!$A$218&gt;35,FE179+FD180-FM179,IF(A180&lt;'Données projet'!$A$218,$FB$205^A180,IF(A180='Données projet'!$A$218,'Données projet'!$B$218,FE179+FD180-FM179)))</f>
        <v>433.47499999999968</v>
      </c>
      <c r="FF180" s="17">
        <f>FE180*VLOOKUP('Données projet'!$B$16,Paramètres!$A$1:$I$89,3,0)*VLOOKUP('Données projet'!$B$16,Paramètres!$A$1:$I$89,5,0)</f>
        <v>493.64132999999958</v>
      </c>
      <c r="FG180" s="13">
        <f t="shared" si="182"/>
        <v>110.52244360410316</v>
      </c>
      <c r="FH180" s="20">
        <f t="shared" si="183"/>
        <v>1052.2519056938124</v>
      </c>
      <c r="FI180" s="59">
        <f t="shared" si="131"/>
        <v>1341.4453921167078</v>
      </c>
      <c r="FJ180" s="59">
        <f ca="1">AVERAGE(OFFSET($FI$3,0,0,'Données projet'!$E$16+1,1))-AVERAGE(OFFSET($H$3,0,0,'Données projet'!$E$16+1,1))</f>
        <v>640.05156427113661</v>
      </c>
      <c r="FK180" s="59">
        <f t="shared" si="156"/>
        <v>308.77220155372902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47.336691750818055</v>
      </c>
      <c r="FR180" s="21">
        <f>EXP(-LN(2)/25)*FR179+(1-EXP(-LN(2)/25))/(LN(2)/25)*Calculateur!FM180*Calculateur!FO180*VLOOKUP('Données projet'!$B$16,Paramètres!$A$1:$I$89,3,0)*0.475*44/12</f>
        <v>20.340205072083776</v>
      </c>
      <c r="FS180" s="21">
        <f>EXP(-LN(2)/2)*FS179+(1-EXP(-LN(2)/2))/(LN(2)/2)*FM180*FP180*VLOOKUP('Données projet'!$B$16,Paramètres!$A$1:$I$89,3,0)*0.475*44/12</f>
        <v>7.1570330636366411E-5</v>
      </c>
      <c r="FT180" s="22">
        <f t="shared" si="184"/>
        <v>67.676968393232457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289.26530351148216</v>
      </c>
      <c r="S181" s="59">
        <f ca="1">AVERAGE(OFFSET($R$3,0,0,'Données projet'!$E$9+1,1))-AVERAGE(OFFSET($H$3,0,0,'Données projet'!$E$9+1,1))</f>
        <v>318.50474972254085</v>
      </c>
      <c r="T181" s="59">
        <f t="shared" si="142"/>
        <v>326.45858332753562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13.418516994128188</v>
      </c>
      <c r="AA181" s="21">
        <f>EXP(-LN(2)/25)*AA180+(1-EXP(-LN(2)/25))/(LN(2)/25)*Calculateur!V181*Calculateur!X181*VLOOKUP('Données projet'!$B$9,Paramètres!$A$1:$I$89,3,0)*0.475*44/12</f>
        <v>1.8380071520724008</v>
      </c>
      <c r="AB181" s="21">
        <f>EXP(-LN(2)/2)*AB180+(1-EXP(-LN(2)/2))/(LN(2)/2)*V181*Y181*VLOOKUP('Données projet'!$B$9,Paramètres!$A$1:$I$89,3,0)*0.475*44/12</f>
        <v>1.0401652251911235E-16</v>
      </c>
      <c r="AC181" s="22">
        <f t="shared" si="163"/>
        <v>15.256524146200588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1.7053025658242404E-13</v>
      </c>
      <c r="AJ181" s="13">
        <f>AI181*VLOOKUP('Données projet'!$B$10,Paramètres!$A$1:$I$89,3,0)*VLOOKUP('Données projet'!$B$10,Paramètres!$A$1:$I$89,5,0)</f>
        <v>7.9808160080574461E-14</v>
      </c>
      <c r="AK181" s="13">
        <f t="shared" si="164"/>
        <v>1.2308384591775343E-12</v>
      </c>
      <c r="AL181" s="20">
        <f t="shared" si="165"/>
        <v>2.282709528541206E-12</v>
      </c>
      <c r="AM181" s="59">
        <f t="shared" si="113"/>
        <v>289.26530351148244</v>
      </c>
      <c r="AN181" s="59">
        <f ca="1">AVERAGE(OFFSET($AM$3,0,0,'Données projet'!$E$10+1,1))-AVERAGE(OFFSET($H$3,0,0,'Données projet'!$E$10+1,1))</f>
        <v>374.38106339726073</v>
      </c>
      <c r="AO181" s="59">
        <f t="shared" si="144"/>
        <v>296.53283288925957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57.342760978498511</v>
      </c>
      <c r="AV181" s="21">
        <f>EXP(-LN(2)/25)*AV180+(1-EXP(-LN(2)/25))/(LN(2)/25)*Calculateur!AQ181*Calculateur!AS181*VLOOKUP('Données projet'!$B$10,Paramètres!$A$1:$I$89,3,0)*0.475*44/12</f>
        <v>12.202157354166113</v>
      </c>
      <c r="AW181" s="21">
        <f>EXP(-LN(2)/2)*AW180+(1-EXP(-LN(2)/2))/(LN(2)/2)*AQ181*AT181*VLOOKUP('Données projet'!$B$10,Paramètres!$A$1:$I$89,3,0)*0.475*44/12</f>
        <v>2.7318452337290052E-6</v>
      </c>
      <c r="AX181" s="21">
        <f t="shared" si="166"/>
        <v>69.54492106450985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3.76000000000001</v>
      </c>
      <c r="BD181" s="12">
        <f>IF('Données projet'!$A$88&gt;35,BD180+BC181-BL180,IF(A181&lt;'Données projet'!$A$88,$BA$205^A181,IF(A181='Données projet'!$A$88,'Données projet'!$B$88,BD180+BC181-BL180)))</f>
        <v>264.04000000000082</v>
      </c>
      <c r="BE181" s="13">
        <f>BD181*VLOOKUP('Données projet'!$B$11,Paramètres!$A$1:$I$89,3,0)*VLOOKUP('Données projet'!$B$11,Paramètres!$A$1:$I$89,5,0)</f>
        <v>238.90339200000074</v>
      </c>
      <c r="BF181" s="13">
        <f t="shared" si="167"/>
        <v>58.203527078995975</v>
      </c>
      <c r="BG181" s="20">
        <f t="shared" si="168"/>
        <v>517.46121739591933</v>
      </c>
      <c r="BH181" s="59">
        <f t="shared" si="116"/>
        <v>806.7265209073995</v>
      </c>
      <c r="BI181" s="59">
        <f ca="1">AVERAGE(OFFSET($BH$3,0,0,'Données projet'!$E$11+1,1))-AVERAGE(OFFSET($H$3,0,0,'Données projet'!$E$11+1,1))</f>
        <v>681.47578137804555</v>
      </c>
      <c r="BJ181" s="59">
        <f t="shared" si="146"/>
        <v>300.88511065995885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111.74646201261029</v>
      </c>
      <c r="BQ181" s="21">
        <f>EXP(-LN(2)/25)*BQ180+(1-EXP(-LN(2)/25))/(LN(2)/25)*Calculateur!BL181*Calculateur!BN181*VLOOKUP('Données projet'!$B$11,Paramètres!$A$1:$I$89,3,0)*0.475*44/12</f>
        <v>22.88819730062205</v>
      </c>
      <c r="BR181" s="21">
        <f>EXP(-LN(2)/2)*BR180+(1-EXP(-LN(2)/2))/(LN(2)/2)*BL181*BO181*VLOOKUP('Données projet'!$B$11,Paramètres!$A$1:$I$89,3,0)*0.475*44/12</f>
        <v>6.4444496956287116</v>
      </c>
      <c r="BS181" s="22">
        <f t="shared" si="169"/>
        <v>141.07910900886105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8.5265128291212022E-14</v>
      </c>
      <c r="BZ181" s="13">
        <f>BY181*VLOOKUP('Données projet'!$B$12,Paramètres!$A$1:$I$89,3,0)*VLOOKUP('Données projet'!$B$12,Paramètres!$A$1:$I$89,5,0)</f>
        <v>8.9119112089974823E-14</v>
      </c>
      <c r="CA181" s="13">
        <f t="shared" si="170"/>
        <v>1.3568952080113142E-12</v>
      </c>
      <c r="CB181" s="20">
        <f t="shared" si="171"/>
        <v>2.5184749408430782E-12</v>
      </c>
      <c r="CC181" s="59">
        <f t="shared" si="119"/>
        <v>289.26530351148267</v>
      </c>
      <c r="CD181" s="59">
        <f ca="1">AVERAGE(OFFSET($CC$3,0,0,'Données projet'!$E$12+1,1))-AVERAGE(OFFSET($H$3,0,0,'Données projet'!$E$12+1,1))</f>
        <v>290.69667785754848</v>
      </c>
      <c r="CE181" s="59">
        <f t="shared" si="148"/>
        <v>256.28124185489082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3.7978306621934133</v>
      </c>
      <c r="CL181" s="21">
        <f>EXP(-LN(2)/25)*CL180+(1-EXP(-LN(2)/25))/(LN(2)/25)*Calculateur!CG181*Calculateur!CI181*VLOOKUP('Données projet'!$B$12,Paramètres!$A$1:$I$89,3,0)*0.475*44/12</f>
        <v>5.2274402289452571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9.0252708911386712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408.246209980743</v>
      </c>
      <c r="CZ181" s="59">
        <f t="shared" si="150"/>
        <v>394.10236303013903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8.1957288943755806</v>
      </c>
      <c r="DG181" s="21">
        <f>EXP(-LN(2)/25)*DG180+(1-EXP(-LN(2)/25))/(LN(2)/25)*Calculateur!DB181*Calculateur!DD181*VLOOKUP('Données projet'!$B$13,Paramètres!$A$1:$I$89,3,0)*0.475*44/12</f>
        <v>3.7230478849200708</v>
      </c>
      <c r="DH181" s="21">
        <f>EXP(-LN(2)/2)*DH180+(1-EXP(-LN(2)/2))/(LN(2)/2)*DB181*DE181*VLOOKUP('Données projet'!$B$13,Paramètres!$A$1:$I$89,3,0)*0.475*44/12</f>
        <v>1.2175337818366504E-13</v>
      </c>
      <c r="DI181" s="22">
        <f t="shared" si="175"/>
        <v>11.918776779295774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5.6843418860808015E-13</v>
      </c>
      <c r="DP181" s="17">
        <f>DO181*VLOOKUP('Données projet'!$B$14,Paramètres!$A$1:$I$89,3,0)*VLOOKUP('Données projet'!$B$14,Paramètres!$A$1:$I$89,5,0)</f>
        <v>3.177547114319168E-13</v>
      </c>
      <c r="DQ181" s="13">
        <f t="shared" si="176"/>
        <v>4.1725404435445377E-12</v>
      </c>
      <c r="DR181" s="20">
        <f t="shared" si="177"/>
        <v>7.820597394917325E-12</v>
      </c>
      <c r="DS181" s="59">
        <f t="shared" si="125"/>
        <v>289.26530351148801</v>
      </c>
      <c r="DT181" s="59">
        <f ca="1">AVERAGE(OFFSET($DS$3,0,0,'Données projet'!$E$14+1,1))-AVERAGE(OFFSET($H$3,0,0,'Données projet'!$E$14+1,1))</f>
        <v>407.05634973057056</v>
      </c>
      <c r="DU181" s="59">
        <f t="shared" si="152"/>
        <v>375.32891954889965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27.179830140696744</v>
      </c>
      <c r="EB181" s="21">
        <f>EXP(-LN(2)/25)*EB180+(1-EXP(-LN(2)/25))/(LN(2)/25)*Calculateur!DW181*Calculateur!DY181*VLOOKUP('Données projet'!$B$14,Paramètres!$A$1:$I$89,3,0)*0.475*44/12</f>
        <v>3.8429998216888808</v>
      </c>
      <c r="EC181" s="21">
        <f>EXP(-LN(2)/2)*EC180+(1-EXP(-LN(2)/2))/(LN(2)/2)*DW181*DZ181*VLOOKUP('Données projet'!$B$14,Paramètres!$A$1:$I$89,3,0)*0.475*44/12</f>
        <v>4.1913985794794722E-15</v>
      </c>
      <c r="ED181" s="22">
        <f t="shared" si="178"/>
        <v>31.022829962385629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1.1368683772161603E-13</v>
      </c>
      <c r="EK181" s="17">
        <f>EJ181*VLOOKUP('Données projet'!$B$15,Paramètres!$A$1:$I$89,3,0)*VLOOKUP('Données projet'!$B$15,Paramètres!$A$1:$I$89,5,0)</f>
        <v>5.0249582272954292E-14</v>
      </c>
      <c r="EL181" s="13">
        <f t="shared" si="179"/>
        <v>8.1784820119191593E-13</v>
      </c>
      <c r="EM181" s="20">
        <f t="shared" si="180"/>
        <v>1.5119369728679821E-12</v>
      </c>
      <c r="EN181" s="59">
        <f t="shared" si="128"/>
        <v>289.2653035114817</v>
      </c>
      <c r="EO181" s="59">
        <f ca="1">AVERAGE(OFFSET($EN$3,0,0,'Données projet'!$E$15+1,1))-AVERAGE(OFFSET($H$3,0,0,'Données projet'!$E$15+1,1))</f>
        <v>418.28022549686278</v>
      </c>
      <c r="EP181" s="59">
        <f t="shared" si="154"/>
        <v>354.55070454517158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29.669963827728324</v>
      </c>
      <c r="EW181" s="21">
        <f>EXP(-LN(2)/25)*EW180+(1-EXP(-LN(2)/25))/(LN(2)/25)*Calculateur!ER181*Calculateur!ET181*VLOOKUP('Données projet'!$B$15,Paramètres!$A$1:$I$89,3,0)*0.475*44/12</f>
        <v>4.749705447226459</v>
      </c>
      <c r="EX181" s="21">
        <f>EXP(-LN(2)/2)*EX180+(1-EXP(-LN(2)/2))/(LN(2)/2)*ER181*EU181*VLOOKUP('Données projet'!$B$15,Paramètres!$A$1:$I$89,3,0)*0.475*44/12</f>
        <v>1.3962855968032788E-13</v>
      </c>
      <c r="EY181" s="22">
        <f t="shared" si="181"/>
        <v>34.419669274954927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7.688333333333337</v>
      </c>
      <c r="FE181" s="12">
        <f>IF('Données projet'!$A$218&gt;35,FE180+FD181-FM180,IF(A181&lt;'Données projet'!$A$218,$FB$205^A181,IF(A181='Données projet'!$A$218,'Données projet'!$B$218,FE180+FD181-FM180)))</f>
        <v>441.16333333333301</v>
      </c>
      <c r="FF181" s="17">
        <f>FE181*VLOOKUP('Données projet'!$B$16,Paramètres!$A$1:$I$89,3,0)*VLOOKUP('Données projet'!$B$16,Paramètres!$A$1:$I$89,5,0)</f>
        <v>502.39680399999969</v>
      </c>
      <c r="FG181" s="13">
        <f t="shared" si="182"/>
        <v>112.25277277979573</v>
      </c>
      <c r="FH181" s="20">
        <f t="shared" si="183"/>
        <v>1070.5146795581438</v>
      </c>
      <c r="FI181" s="59">
        <f t="shared" si="131"/>
        <v>1359.779983069624</v>
      </c>
      <c r="FJ181" s="59">
        <f ca="1">AVERAGE(OFFSET($FI$3,0,0,'Données projet'!$E$16+1,1))-AVERAGE(OFFSET($H$3,0,0,'Données projet'!$E$16+1,1))</f>
        <v>640.05156427113661</v>
      </c>
      <c r="FK181" s="59">
        <f t="shared" si="156"/>
        <v>308.77220155372902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46.408448098115556</v>
      </c>
      <c r="FR181" s="21">
        <f>EXP(-LN(2)/25)*FR180+(1-EXP(-LN(2)/25))/(LN(2)/25)*Calculateur!FM181*Calculateur!FO181*VLOOKUP('Données projet'!$B$16,Paramètres!$A$1:$I$89,3,0)*0.475*44/12</f>
        <v>19.784001094742749</v>
      </c>
      <c r="FS181" s="21">
        <f>EXP(-LN(2)/2)*FS180+(1-EXP(-LN(2)/2))/(LN(2)/2)*FM181*FP181*VLOOKUP('Données projet'!$B$16,Paramètres!$A$1:$I$89,3,0)*0.475*44/12</f>
        <v>5.0607866124738003E-5</v>
      </c>
      <c r="FT181" s="22">
        <f t="shared" si="184"/>
        <v>66.192499800724434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289.33587473413911</v>
      </c>
      <c r="S182" s="59">
        <f ca="1">AVERAGE(OFFSET($R$3,0,0,'Données projet'!$E$9+1,1))-AVERAGE(OFFSET($H$3,0,0,'Données projet'!$E$9+1,1))</f>
        <v>318.50474972254085</v>
      </c>
      <c r="T182" s="59">
        <f t="shared" si="142"/>
        <v>326.45858332753562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13.155388060360551</v>
      </c>
      <c r="AA182" s="21">
        <f>EXP(-LN(2)/25)*AA181+(1-EXP(-LN(2)/25))/(LN(2)/25)*Calculateur!V182*Calculateur!X182*VLOOKUP('Données projet'!$B$9,Paramètres!$A$1:$I$89,3,0)*0.475*44/12</f>
        <v>1.7877467498423858</v>
      </c>
      <c r="AB182" s="21">
        <f>EXP(-LN(2)/2)*AB181+(1-EXP(-LN(2)/2))/(LN(2)/2)*V182*Y182*VLOOKUP('Données projet'!$B$9,Paramètres!$A$1:$I$89,3,0)*0.475*44/12</f>
        <v>7.3550788428707566E-17</v>
      </c>
      <c r="AC182" s="22">
        <f t="shared" si="163"/>
        <v>14.943134810202936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1.7053025658242404E-13</v>
      </c>
      <c r="AJ182" s="13">
        <f>AI182*VLOOKUP('Données projet'!$B$10,Paramètres!$A$1:$I$89,3,0)*VLOOKUP('Données projet'!$B$10,Paramètres!$A$1:$I$89,5,0)</f>
        <v>7.9808160080574461E-14</v>
      </c>
      <c r="AK182" s="13">
        <f t="shared" si="164"/>
        <v>1.2308384591775343E-12</v>
      </c>
      <c r="AL182" s="20">
        <f t="shared" si="165"/>
        <v>2.282709528541206E-12</v>
      </c>
      <c r="AM182" s="59">
        <f t="shared" si="113"/>
        <v>289.3358747341394</v>
      </c>
      <c r="AN182" s="59">
        <f ca="1">AVERAGE(OFFSET($AM$3,0,0,'Données projet'!$E$10+1,1))-AVERAGE(OFFSET($H$3,0,0,'Données projet'!$E$10+1,1))</f>
        <v>374.38106339726073</v>
      </c>
      <c r="AO182" s="59">
        <f t="shared" si="144"/>
        <v>296.53283288925957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56.218304411340796</v>
      </c>
      <c r="AV182" s="21">
        <f>EXP(-LN(2)/25)*AV181+(1-EXP(-LN(2)/25))/(LN(2)/25)*Calculateur!AQ182*Calculateur!AS182*VLOOKUP('Données projet'!$B$10,Paramètres!$A$1:$I$89,3,0)*0.475*44/12</f>
        <v>11.868488719632873</v>
      </c>
      <c r="AW182" s="21">
        <f>EXP(-LN(2)/2)*AW181+(1-EXP(-LN(2)/2))/(LN(2)/2)*AQ182*AT182*VLOOKUP('Données projet'!$B$10,Paramètres!$A$1:$I$89,3,0)*0.475*44/12</f>
        <v>1.9317062899219284E-6</v>
      </c>
      <c r="AX182" s="21">
        <f t="shared" si="166"/>
        <v>68.086795062679968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3.76000000000001</v>
      </c>
      <c r="BD182" s="12">
        <f>IF('Données projet'!$A$88&gt;35,BD181+BC182-BL181,IF(A182&lt;'Données projet'!$A$88,$BA$205^A182,IF(A182='Données projet'!$A$88,'Données projet'!$B$88,BD181+BC182-BL181)))</f>
        <v>267.80000000000081</v>
      </c>
      <c r="BE182" s="13">
        <f>BD182*VLOOKUP('Données projet'!$B$11,Paramètres!$A$1:$I$89,3,0)*VLOOKUP('Données projet'!$B$11,Paramètres!$A$1:$I$89,5,0)</f>
        <v>242.30544000000074</v>
      </c>
      <c r="BF182" s="13">
        <f t="shared" si="167"/>
        <v>58.935280802002858</v>
      </c>
      <c r="BG182" s="20">
        <f t="shared" si="168"/>
        <v>524.66092206348958</v>
      </c>
      <c r="BH182" s="59">
        <f t="shared" si="116"/>
        <v>813.99679679762676</v>
      </c>
      <c r="BI182" s="59">
        <f ca="1">AVERAGE(OFFSET($BH$3,0,0,'Données projet'!$E$11+1,1))-AVERAGE(OFFSET($H$3,0,0,'Données projet'!$E$11+1,1))</f>
        <v>681.47578137804555</v>
      </c>
      <c r="BJ182" s="59">
        <f t="shared" si="146"/>
        <v>300.88511065995885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109.55518205115473</v>
      </c>
      <c r="BQ182" s="21">
        <f>EXP(-LN(2)/25)*BQ181+(1-EXP(-LN(2)/25))/(LN(2)/25)*Calculateur!BL182*Calculateur!BN182*VLOOKUP('Données projet'!$B$11,Paramètres!$A$1:$I$89,3,0)*0.475*44/12</f>
        <v>22.262318341798554</v>
      </c>
      <c r="BR182" s="21">
        <f>EXP(-LN(2)/2)*BR181+(1-EXP(-LN(2)/2))/(LN(2)/2)*BL182*BO182*VLOOKUP('Données projet'!$B$11,Paramètres!$A$1:$I$89,3,0)*0.475*44/12</f>
        <v>4.5569140807946447</v>
      </c>
      <c r="BS182" s="22">
        <f t="shared" si="169"/>
        <v>136.37441447374795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8.5265128291212022E-14</v>
      </c>
      <c r="BZ182" s="13">
        <f>BY182*VLOOKUP('Données projet'!$B$12,Paramètres!$A$1:$I$89,3,0)*VLOOKUP('Données projet'!$B$12,Paramètres!$A$1:$I$89,5,0)</f>
        <v>8.9119112089974823E-14</v>
      </c>
      <c r="CA182" s="13">
        <f t="shared" si="170"/>
        <v>1.3568952080113142E-12</v>
      </c>
      <c r="CB182" s="20">
        <f t="shared" si="171"/>
        <v>2.5184749408430782E-12</v>
      </c>
      <c r="CC182" s="59">
        <f t="shared" si="119"/>
        <v>289.33587473413962</v>
      </c>
      <c r="CD182" s="59">
        <f ca="1">AVERAGE(OFFSET($CC$3,0,0,'Données projet'!$E$12+1,1))-AVERAGE(OFFSET($H$3,0,0,'Données projet'!$E$12+1,1))</f>
        <v>290.69667785754848</v>
      </c>
      <c r="CE182" s="59">
        <f t="shared" si="148"/>
        <v>256.28124185489082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3.723357519355774</v>
      </c>
      <c r="CL182" s="21">
        <f>EXP(-LN(2)/25)*CL181+(1-EXP(-LN(2)/25))/(LN(2)/25)*Calculateur!CG182*Calculateur!CI182*VLOOKUP('Données projet'!$B$12,Paramètres!$A$1:$I$89,3,0)*0.475*44/12</f>
        <v>5.0844956009856146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8.8078531203413881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408.246209980743</v>
      </c>
      <c r="CZ182" s="59">
        <f t="shared" si="150"/>
        <v>394.10236303013903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8.0350156496579004</v>
      </c>
      <c r="DG182" s="21">
        <f>EXP(-LN(2)/25)*DG181+(1-EXP(-LN(2)/25))/(LN(2)/25)*Calculateur!DB182*Calculateur!DD182*VLOOKUP('Données projet'!$B$13,Paramètres!$A$1:$I$89,3,0)*0.475*44/12</f>
        <v>3.6212409447203524</v>
      </c>
      <c r="DH182" s="21">
        <f>EXP(-LN(2)/2)*DH181+(1-EXP(-LN(2)/2))/(LN(2)/2)*DB182*DE182*VLOOKUP('Données projet'!$B$13,Paramètres!$A$1:$I$89,3,0)*0.475*44/12</f>
        <v>8.6092639346039807E-14</v>
      </c>
      <c r="DI182" s="22">
        <f t="shared" si="175"/>
        <v>11.656256594378338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5.6843418860808015E-13</v>
      </c>
      <c r="DP182" s="17">
        <f>DO182*VLOOKUP('Données projet'!$B$14,Paramètres!$A$1:$I$89,3,0)*VLOOKUP('Données projet'!$B$14,Paramètres!$A$1:$I$89,5,0)</f>
        <v>3.177547114319168E-13</v>
      </c>
      <c r="DQ182" s="13">
        <f t="shared" si="176"/>
        <v>4.1725404435445377E-12</v>
      </c>
      <c r="DR182" s="20">
        <f t="shared" si="177"/>
        <v>7.820597394917325E-12</v>
      </c>
      <c r="DS182" s="59">
        <f t="shared" si="125"/>
        <v>289.33587473414497</v>
      </c>
      <c r="DT182" s="59">
        <f ca="1">AVERAGE(OFFSET($DS$3,0,0,'Données projet'!$E$14+1,1))-AVERAGE(OFFSET($H$3,0,0,'Données projet'!$E$14+1,1))</f>
        <v>407.05634973057056</v>
      </c>
      <c r="DU182" s="59">
        <f t="shared" si="152"/>
        <v>375.32891954889965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26.64685024969712</v>
      </c>
      <c r="EB182" s="21">
        <f>EXP(-LN(2)/25)*EB181+(1-EXP(-LN(2)/25))/(LN(2)/25)*Calculateur!DW182*Calculateur!DY182*VLOOKUP('Données projet'!$B$14,Paramètres!$A$1:$I$89,3,0)*0.475*44/12</f>
        <v>3.7379127894702209</v>
      </c>
      <c r="EC182" s="21">
        <f>EXP(-LN(2)/2)*EC181+(1-EXP(-LN(2)/2))/(LN(2)/2)*DW182*DZ182*VLOOKUP('Données projet'!$B$14,Paramètres!$A$1:$I$89,3,0)*0.475*44/12</f>
        <v>2.9637663582055973E-15</v>
      </c>
      <c r="ED182" s="22">
        <f t="shared" si="178"/>
        <v>30.384763039167346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1.1368683772161603E-13</v>
      </c>
      <c r="EK182" s="17">
        <f>EJ182*VLOOKUP('Données projet'!$B$15,Paramètres!$A$1:$I$89,3,0)*VLOOKUP('Données projet'!$B$15,Paramètres!$A$1:$I$89,5,0)</f>
        <v>5.0249582272954292E-14</v>
      </c>
      <c r="EL182" s="13">
        <f t="shared" si="179"/>
        <v>8.1784820119191593E-13</v>
      </c>
      <c r="EM182" s="20">
        <f t="shared" si="180"/>
        <v>1.5119369728679821E-12</v>
      </c>
      <c r="EN182" s="59">
        <f t="shared" si="128"/>
        <v>289.33587473413866</v>
      </c>
      <c r="EO182" s="59">
        <f ca="1">AVERAGE(OFFSET($EN$3,0,0,'Données projet'!$E$15+1,1))-AVERAGE(OFFSET($H$3,0,0,'Données projet'!$E$15+1,1))</f>
        <v>418.28022549686278</v>
      </c>
      <c r="EP182" s="59">
        <f t="shared" si="154"/>
        <v>354.55070454517158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29.088153933957589</v>
      </c>
      <c r="EW182" s="21">
        <f>EXP(-LN(2)/25)*EW181+(1-EXP(-LN(2)/25))/(LN(2)/25)*Calculateur!ER182*Calculateur!ET182*VLOOKUP('Données projet'!$B$15,Paramètres!$A$1:$I$89,3,0)*0.475*44/12</f>
        <v>4.6198245019958977</v>
      </c>
      <c r="EX182" s="21">
        <f>EXP(-LN(2)/2)*EX181+(1-EXP(-LN(2)/2))/(LN(2)/2)*ER182*EU182*VLOOKUP('Données projet'!$B$15,Paramètres!$A$1:$I$89,3,0)*0.475*44/12</f>
        <v>9.8732301397270398E-14</v>
      </c>
      <c r="EY182" s="22">
        <f t="shared" si="181"/>
        <v>33.707978435953585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7.688333333333337</v>
      </c>
      <c r="FE182" s="12">
        <f>IF('Données projet'!$A$218&gt;35,FE181+FD182-FM181,IF(A182&lt;'Données projet'!$A$218,$FB$205^A182,IF(A182='Données projet'!$A$218,'Données projet'!$B$218,FE181+FD182-FM181)))</f>
        <v>448.85166666666635</v>
      </c>
      <c r="FF182" s="17">
        <f>FE182*VLOOKUP('Données projet'!$B$16,Paramètres!$A$1:$I$89,3,0)*VLOOKUP('Données projet'!$B$16,Paramètres!$A$1:$I$89,5,0)</f>
        <v>511.15227799999968</v>
      </c>
      <c r="FG182" s="13">
        <f t="shared" si="182"/>
        <v>113.9795952658682</v>
      </c>
      <c r="FH182" s="20">
        <f t="shared" si="183"/>
        <v>1088.7713459380532</v>
      </c>
      <c r="FI182" s="59">
        <f t="shared" si="131"/>
        <v>1378.1072206721904</v>
      </c>
      <c r="FJ182" s="59">
        <f ca="1">AVERAGE(OFFSET($FI$3,0,0,'Données projet'!$E$16+1,1))-AVERAGE(OFFSET($H$3,0,0,'Données projet'!$E$16+1,1))</f>
        <v>640.05156427113661</v>
      </c>
      <c r="FK182" s="59">
        <f t="shared" si="156"/>
        <v>308.77220155372902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45.498406737269832</v>
      </c>
      <c r="FR182" s="21">
        <f>EXP(-LN(2)/25)*FR181+(1-EXP(-LN(2)/25))/(LN(2)/25)*Calculateur!FM182*Calculateur!FO182*VLOOKUP('Données projet'!$B$16,Paramètres!$A$1:$I$89,3,0)*0.475*44/12</f>
        <v>19.243006544411607</v>
      </c>
      <c r="FS182" s="21">
        <f>EXP(-LN(2)/2)*FS181+(1-EXP(-LN(2)/2))/(LN(2)/2)*FM182*FP182*VLOOKUP('Données projet'!$B$16,Paramètres!$A$1:$I$89,3,0)*0.475*44/12</f>
        <v>3.5785165318183205E-5</v>
      </c>
      <c r="FT182" s="22">
        <f t="shared" si="184"/>
        <v>64.741449066846769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289.40522170385663</v>
      </c>
      <c r="S183" s="59">
        <f ca="1">AVERAGE(OFFSET($R$3,0,0,'Données projet'!$E$9+1,1))-AVERAGE(OFFSET($H$3,0,0,'Données projet'!$E$9+1,1))</f>
        <v>318.50474972254085</v>
      </c>
      <c r="T183" s="59">
        <f t="shared" si="142"/>
        <v>326.45858332753562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12.897418924491294</v>
      </c>
      <c r="AA183" s="21">
        <f>EXP(-LN(2)/25)*AA182+(1-EXP(-LN(2)/25))/(LN(2)/25)*Calculateur!V183*Calculateur!X183*VLOOKUP('Données projet'!$B$9,Paramètres!$A$1:$I$89,3,0)*0.475*44/12</f>
        <v>1.7388607209544302</v>
      </c>
      <c r="AB183" s="21">
        <f>EXP(-LN(2)/2)*AB182+(1-EXP(-LN(2)/2))/(LN(2)/2)*V183*Y183*VLOOKUP('Données projet'!$B$9,Paramètres!$A$1:$I$89,3,0)*0.475*44/12</f>
        <v>5.2008261259556173E-17</v>
      </c>
      <c r="AC183" s="22">
        <f t="shared" si="163"/>
        <v>14.636279645445725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1.7053025658242404E-13</v>
      </c>
      <c r="AJ183" s="13">
        <f>AI183*VLOOKUP('Données projet'!$B$10,Paramètres!$A$1:$I$89,3,0)*VLOOKUP('Données projet'!$B$10,Paramètres!$A$1:$I$89,5,0)</f>
        <v>7.9808160080574461E-14</v>
      </c>
      <c r="AK183" s="13">
        <f t="shared" si="164"/>
        <v>1.2308384591775343E-12</v>
      </c>
      <c r="AL183" s="20">
        <f t="shared" si="165"/>
        <v>2.282709528541206E-12</v>
      </c>
      <c r="AM183" s="59">
        <f t="shared" si="113"/>
        <v>289.40522170385691</v>
      </c>
      <c r="AN183" s="59">
        <f ca="1">AVERAGE(OFFSET($AM$3,0,0,'Données projet'!$E$10+1,1))-AVERAGE(OFFSET($H$3,0,0,'Données projet'!$E$10+1,1))</f>
        <v>374.38106339726073</v>
      </c>
      <c r="AO183" s="59">
        <f t="shared" si="144"/>
        <v>296.53283288925957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55.115897751614263</v>
      </c>
      <c r="AV183" s="21">
        <f>EXP(-LN(2)/25)*AV182+(1-EXP(-LN(2)/25))/(LN(2)/25)*Calculateur!AQ183*Calculateur!AS183*VLOOKUP('Données projet'!$B$10,Paramètres!$A$1:$I$89,3,0)*0.475*44/12</f>
        <v>11.543944271457816</v>
      </c>
      <c r="AW183" s="21">
        <f>EXP(-LN(2)/2)*AW182+(1-EXP(-LN(2)/2))/(LN(2)/2)*AQ183*AT183*VLOOKUP('Données projet'!$B$10,Paramètres!$A$1:$I$89,3,0)*0.475*44/12</f>
        <v>1.3659226168645026E-6</v>
      </c>
      <c r="AX183" s="21">
        <f t="shared" si="166"/>
        <v>66.659843388994688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3.76000000000001</v>
      </c>
      <c r="BC183" s="12">
        <f t="array" ref="BC183">INDEX(BB:BB,MIN(IF(ISNUMBER(BB183:BB379),ROW(BB183:BB379),"")))</f>
        <v>3.76000000000001</v>
      </c>
      <c r="BD183" s="12">
        <f>IF('Données projet'!$A$88&gt;35,BD182+BC183-BL182,IF(A183&lt;'Données projet'!$A$88,$BA$205^A183,IF(A183='Données projet'!$A$88,'Données projet'!$B$88,BD182+BC183-BL182)))</f>
        <v>271.5600000000008</v>
      </c>
      <c r="BE183" s="13">
        <f>BD183*VLOOKUP('Données projet'!$B$11,Paramètres!$A$1:$I$89,3,0)*VLOOKUP('Données projet'!$B$11,Paramètres!$A$1:$I$89,5,0)</f>
        <v>245.70748800000069</v>
      </c>
      <c r="BF183" s="13">
        <f t="shared" si="167"/>
        <v>59.665839559289225</v>
      </c>
      <c r="BG183" s="20">
        <f t="shared" si="168"/>
        <v>531.85854549909652</v>
      </c>
      <c r="BH183" s="59">
        <f t="shared" si="116"/>
        <v>821.26376720295116</v>
      </c>
      <c r="BI183" s="59">
        <f ca="1">AVERAGE(OFFSET($BH$3,0,0,'Données projet'!$E$11+1,1))-AVERAGE(OFFSET($H$3,0,0,'Données projet'!$E$11+1,1))</f>
        <v>681.47578137804555</v>
      </c>
      <c r="BJ183" s="59">
        <f t="shared" si="146"/>
        <v>300.88511065995885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86.97</v>
      </c>
      <c r="BM183" s="16">
        <f>IF(ISNA(VLOOKUP(A183,'Données projet'!$A$87:$I$107,5,0)),0%,VLOOKUP(A183,'Données projet'!$A$87:$I$107,5,0)*VLOOKUP('Données projet'!$B$11,Paramètres!$A$1:$I$89,7,0))</f>
        <v>0.19350000000000001</v>
      </c>
      <c r="BN183" s="16">
        <f>IF(ISNA(VLOOKUP(A183,'Données projet'!$A$87:$I$107,6,0)),0%,VLOOKUP(A183,'Données projet'!$A$87:$I$107,6,0)*VLOOKUP('Données projet'!$B$11,Paramètres!$A$1:$I$89,7,0))</f>
        <v>2.1500000000000002E-2</v>
      </c>
      <c r="BO183" s="16">
        <f>IF(ISNA(VLOOKUP(A183,'Données projet'!$A$87:$I$107,7,0)),0%,VLOOKUP(A183,'Données projet'!$A$87:$I$107,7,0))</f>
        <v>0.05</v>
      </c>
      <c r="BP183" s="21">
        <f>EXP(-LN(2)/35)*BP182+(1-EXP(-LN(2)/35))/(LN(2)/35)*BL183*BM183*VLOOKUP('Données projet'!$B$11,Paramètres!$A$1:$I$89,3,0)*0.475*44/12</f>
        <v>124.23943061149308</v>
      </c>
      <c r="BQ183" s="21">
        <f>EXP(-LN(2)/25)*BQ182+(1-EXP(-LN(2)/25))/(LN(2)/25)*Calculateur!BL183*Calculateur!BN183*VLOOKUP('Données projet'!$B$11,Paramètres!$A$1:$I$89,3,0)*0.475*44/12</f>
        <v>23.516474371613818</v>
      </c>
      <c r="BR183" s="21">
        <f>EXP(-LN(2)/2)*BR182+(1-EXP(-LN(2)/2))/(LN(2)/2)*BL183*BO183*VLOOKUP('Données projet'!$B$11,Paramètres!$A$1:$I$89,3,0)*0.475*44/12</f>
        <v>6.9345530057429094</v>
      </c>
      <c r="BS183" s="22">
        <f t="shared" si="169"/>
        <v>154.6904579888498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8.5265128291212022E-14</v>
      </c>
      <c r="BZ183" s="13">
        <f>BY183*VLOOKUP('Données projet'!$B$12,Paramètres!$A$1:$I$89,3,0)*VLOOKUP('Données projet'!$B$12,Paramètres!$A$1:$I$89,5,0)</f>
        <v>8.9119112089974823E-14</v>
      </c>
      <c r="CA183" s="13">
        <f t="shared" si="170"/>
        <v>1.3568952080113142E-12</v>
      </c>
      <c r="CB183" s="20">
        <f t="shared" si="171"/>
        <v>2.5184749408430782E-12</v>
      </c>
      <c r="CC183" s="59">
        <f t="shared" si="119"/>
        <v>289.40522170385714</v>
      </c>
      <c r="CD183" s="59">
        <f ca="1">AVERAGE(OFFSET($CC$3,0,0,'Données projet'!$E$12+1,1))-AVERAGE(OFFSET($H$3,0,0,'Données projet'!$E$12+1,1))</f>
        <v>290.69667785754848</v>
      </c>
      <c r="CE183" s="59">
        <f t="shared" si="148"/>
        <v>256.28124185489082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3.6503447494250492</v>
      </c>
      <c r="CL183" s="21">
        <f>EXP(-LN(2)/25)*CL182+(1-EXP(-LN(2)/25))/(LN(2)/25)*Calculateur!CG183*Calculateur!CI183*VLOOKUP('Données projet'!$B$12,Paramètres!$A$1:$I$89,3,0)*0.475*44/12</f>
        <v>4.9454598013946605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8.5958045508197092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408.246209980743</v>
      </c>
      <c r="CZ183" s="59">
        <f t="shared" si="150"/>
        <v>394.10236303013903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7.8774538936437342</v>
      </c>
      <c r="DG183" s="21">
        <f>EXP(-LN(2)/25)*DG182+(1-EXP(-LN(2)/25))/(LN(2)/25)*Calculateur!DB183*Calculateur!DD183*VLOOKUP('Données projet'!$B$13,Paramètres!$A$1:$I$89,3,0)*0.475*44/12</f>
        <v>3.5222179206541897</v>
      </c>
      <c r="DH183" s="21">
        <f>EXP(-LN(2)/2)*DH182+(1-EXP(-LN(2)/2))/(LN(2)/2)*DB183*DE183*VLOOKUP('Données projet'!$B$13,Paramètres!$A$1:$I$89,3,0)*0.475*44/12</f>
        <v>6.087668909183252E-14</v>
      </c>
      <c r="DI183" s="22">
        <f t="shared" si="175"/>
        <v>11.399671814297985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5.6843418860808015E-13</v>
      </c>
      <c r="DP183" s="17">
        <f>DO183*VLOOKUP('Données projet'!$B$14,Paramètres!$A$1:$I$89,3,0)*VLOOKUP('Données projet'!$B$14,Paramètres!$A$1:$I$89,5,0)</f>
        <v>3.177547114319168E-13</v>
      </c>
      <c r="DQ183" s="13">
        <f t="shared" si="176"/>
        <v>4.1725404435445377E-12</v>
      </c>
      <c r="DR183" s="20">
        <f t="shared" si="177"/>
        <v>7.820597394917325E-12</v>
      </c>
      <c r="DS183" s="59">
        <f t="shared" si="125"/>
        <v>289.40522170386248</v>
      </c>
      <c r="DT183" s="59">
        <f ca="1">AVERAGE(OFFSET($DS$3,0,0,'Données projet'!$E$14+1,1))-AVERAGE(OFFSET($H$3,0,0,'Données projet'!$E$14+1,1))</f>
        <v>407.05634973057056</v>
      </c>
      <c r="DU183" s="59">
        <f t="shared" si="152"/>
        <v>375.32891954889965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26.124321769274363</v>
      </c>
      <c r="EB183" s="21">
        <f>EXP(-LN(2)/25)*EB182+(1-EXP(-LN(2)/25))/(LN(2)/25)*Calculateur!DW183*Calculateur!DY183*VLOOKUP('Données projet'!$B$14,Paramètres!$A$1:$I$89,3,0)*0.475*44/12</f>
        <v>3.6356993676738671</v>
      </c>
      <c r="EC183" s="21">
        <f>EXP(-LN(2)/2)*EC182+(1-EXP(-LN(2)/2))/(LN(2)/2)*DW183*DZ183*VLOOKUP('Données projet'!$B$14,Paramètres!$A$1:$I$89,3,0)*0.475*44/12</f>
        <v>2.0956992897397361E-15</v>
      </c>
      <c r="ED183" s="22">
        <f t="shared" si="178"/>
        <v>29.760021136948236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1.1368683772161603E-13</v>
      </c>
      <c r="EK183" s="17">
        <f>EJ183*VLOOKUP('Données projet'!$B$15,Paramètres!$A$1:$I$89,3,0)*VLOOKUP('Données projet'!$B$15,Paramètres!$A$1:$I$89,5,0)</f>
        <v>5.0249582272954292E-14</v>
      </c>
      <c r="EL183" s="13">
        <f t="shared" si="179"/>
        <v>8.1784820119191593E-13</v>
      </c>
      <c r="EM183" s="20">
        <f t="shared" si="180"/>
        <v>1.5119369728679821E-12</v>
      </c>
      <c r="EN183" s="59">
        <f t="shared" si="128"/>
        <v>289.40522170385617</v>
      </c>
      <c r="EO183" s="59">
        <f ca="1">AVERAGE(OFFSET($EN$3,0,0,'Données projet'!$E$15+1,1))-AVERAGE(OFFSET($H$3,0,0,'Données projet'!$E$15+1,1))</f>
        <v>418.28022549686278</v>
      </c>
      <c r="EP183" s="59">
        <f t="shared" si="154"/>
        <v>354.55070454517158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28.517752977334702</v>
      </c>
      <c r="EW183" s="21">
        <f>EXP(-LN(2)/25)*EW182+(1-EXP(-LN(2)/25))/(LN(2)/25)*Calculateur!ER183*Calculateur!ET183*VLOOKUP('Données projet'!$B$15,Paramètres!$A$1:$I$89,3,0)*0.475*44/12</f>
        <v>4.4934951580428084</v>
      </c>
      <c r="EX183" s="21">
        <f>EXP(-LN(2)/2)*EX182+(1-EXP(-LN(2)/2))/(LN(2)/2)*ER183*EU183*VLOOKUP('Données projet'!$B$15,Paramètres!$A$1:$I$89,3,0)*0.475*44/12</f>
        <v>6.9814279840163938E-14</v>
      </c>
      <c r="EY183" s="22">
        <f t="shared" si="181"/>
        <v>33.011248135377585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>
        <f>VLOOKUP(A183,'Données projet'!$A$217:$I$237,2,0)</f>
        <v>456.54</v>
      </c>
      <c r="FC183" s="12">
        <f>VLOOKUP(A183,'Données projet'!$A$217:$I$237,9,0)</f>
        <v>7.688333333333337</v>
      </c>
      <c r="FD183" s="12">
        <f t="array" ref="FD183">INDEX(FC:FC,MIN(IF(ISNUMBER(FC183:FC379),ROW(FC183:FC379),"")))</f>
        <v>7.688333333333337</v>
      </c>
      <c r="FE183" s="12">
        <f>IF('Données projet'!$A$218&gt;35,FE182+FD183-FM182,IF(A183&lt;'Données projet'!$A$218,$FB$205^A183,IF(A183='Données projet'!$A$218,'Données projet'!$B$218,FE182+FD183-FM182)))</f>
        <v>456.53999999999968</v>
      </c>
      <c r="FF183" s="17">
        <f>FE183*VLOOKUP('Données projet'!$B$16,Paramètres!$A$1:$I$89,3,0)*VLOOKUP('Données projet'!$B$16,Paramètres!$A$1:$I$89,5,0)</f>
        <v>519.90775199999962</v>
      </c>
      <c r="FG183" s="13">
        <f t="shared" si="182"/>
        <v>115.70297805948883</v>
      </c>
      <c r="FH183" s="20">
        <f t="shared" si="183"/>
        <v>1107.0220215202758</v>
      </c>
      <c r="FI183" s="59">
        <f t="shared" si="131"/>
        <v>1396.4272432241305</v>
      </c>
      <c r="FJ183" s="59">
        <f ca="1">AVERAGE(OFFSET($FI$3,0,0,'Données projet'!$E$16+1,1))-AVERAGE(OFFSET($H$3,0,0,'Données projet'!$E$16+1,1))</f>
        <v>640.05156427113661</v>
      </c>
      <c r="FK183" s="59">
        <f t="shared" si="156"/>
        <v>308.77220155372902</v>
      </c>
      <c r="FL183" s="15">
        <f>IF(ISNA(VLOOKUP(A183,'Données projet'!$A$217:$I$237,3,0)),0,VLOOKUP(A183,'Données projet'!$A$217:$I$237,3,0))</f>
        <v>13</v>
      </c>
      <c r="FM183" s="15">
        <f>IF(ISNA(VLOOKUP(A183,'Données projet'!$A$217:$I$237,4,0)),0,VLOOKUP(A183,'Données projet'!$A$217:$I$237,4,0))</f>
        <v>175.59000000000003</v>
      </c>
      <c r="FN183" s="16">
        <f>IF(ISNA(VLOOKUP(A183,'Données projet'!$A$217:$I$237,5,0)),0%,VLOOKUP(A183,'Données projet'!$A$217:$I$237,5,0)*VLOOKUP('Données projet'!$B$16,Paramètres!$A$1:$I$89,7,0))</f>
        <v>0.215</v>
      </c>
      <c r="FO183" s="16">
        <f>IF(ISNA(VLOOKUP(A183,'Données projet'!$A$217:$I$237,6,0)),0%,VLOOKUP(A183,'Données projet'!$A$217:$I$237,6,0)*VLOOKUP('Données projet'!$B$16,Paramètres!$A$1:$I$89,7,0))</f>
        <v>8.6000000000000007E-2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92.132379690333735</v>
      </c>
      <c r="FR183" s="21">
        <f>EXP(-LN(2)/25)*FR182+(1-EXP(-LN(2)/25))/(LN(2)/25)*Calculateur!FM183*Calculateur!FO183*VLOOKUP('Données projet'!$B$16,Paramètres!$A$1:$I$89,3,0)*0.475*44/12</f>
        <v>37.652421647235556</v>
      </c>
      <c r="FS183" s="21">
        <f>EXP(-LN(2)/2)*FS182+(1-EXP(-LN(2)/2))/(LN(2)/2)*FM183*FP183*VLOOKUP('Données projet'!$B$16,Paramètres!$A$1:$I$89,3,0)*0.475*44/12</f>
        <v>2.5303933062369001E-5</v>
      </c>
      <c r="FT183" s="22">
        <f t="shared" si="184"/>
        <v>129.78482664150235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289.47336565868608</v>
      </c>
      <c r="S184" s="59">
        <f ca="1">AVERAGE(OFFSET($R$3,0,0,'Données projet'!$E$9+1,1))-AVERAGE(OFFSET($H$3,0,0,'Données projet'!$E$9+1,1))</f>
        <v>318.50474972254085</v>
      </c>
      <c r="T184" s="59">
        <f t="shared" si="142"/>
        <v>326.45858332753562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12.644508406030797</v>
      </c>
      <c r="AA184" s="21">
        <f>EXP(-LN(2)/25)*AA183+(1-EXP(-LN(2)/25))/(LN(2)/25)*Calculateur!V184*Calculateur!X184*VLOOKUP('Données projet'!$B$9,Paramètres!$A$1:$I$89,3,0)*0.475*44/12</f>
        <v>1.6913114830972202</v>
      </c>
      <c r="AB184" s="21">
        <f>EXP(-LN(2)/2)*AB183+(1-EXP(-LN(2)/2))/(LN(2)/2)*V184*Y184*VLOOKUP('Données projet'!$B$9,Paramètres!$A$1:$I$89,3,0)*0.475*44/12</f>
        <v>3.6775394214353783E-17</v>
      </c>
      <c r="AC184" s="22">
        <f t="shared" si="163"/>
        <v>14.335819889128016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1.7053025658242404E-13</v>
      </c>
      <c r="AJ184" s="13">
        <f>AI184*VLOOKUP('Données projet'!$B$10,Paramètres!$A$1:$I$89,3,0)*VLOOKUP('Données projet'!$B$10,Paramètres!$A$1:$I$89,5,0)</f>
        <v>7.9808160080574461E-14</v>
      </c>
      <c r="AK184" s="13">
        <f t="shared" si="164"/>
        <v>1.2308384591775343E-12</v>
      </c>
      <c r="AL184" s="20">
        <f t="shared" si="165"/>
        <v>2.282709528541206E-12</v>
      </c>
      <c r="AM184" s="59">
        <f t="shared" si="113"/>
        <v>289.47336565868636</v>
      </c>
      <c r="AN184" s="59">
        <f ca="1">AVERAGE(OFFSET($AM$3,0,0,'Données projet'!$E$10+1,1))-AVERAGE(OFFSET($H$3,0,0,'Données projet'!$E$10+1,1))</f>
        <v>374.38106339726073</v>
      </c>
      <c r="AO184" s="59">
        <f t="shared" si="144"/>
        <v>296.53283288925957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54.035108614083292</v>
      </c>
      <c r="AV184" s="21">
        <f>EXP(-LN(2)/25)*AV183+(1-EXP(-LN(2)/25))/(LN(2)/25)*Calculateur!AQ184*Calculateur!AS184*VLOOKUP('Données projet'!$B$10,Paramètres!$A$1:$I$89,3,0)*0.475*44/12</f>
        <v>11.228274508285157</v>
      </c>
      <c r="AW184" s="21">
        <f>EXP(-LN(2)/2)*AW183+(1-EXP(-LN(2)/2))/(LN(2)/2)*AQ184*AT184*VLOOKUP('Données projet'!$B$10,Paramètres!$A$1:$I$89,3,0)*0.475*44/12</f>
        <v>9.6585314496096418E-7</v>
      </c>
      <c r="AX184" s="21">
        <f t="shared" si="166"/>
        <v>65.263384088221599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2.2933333333333317</v>
      </c>
      <c r="BD184" s="12">
        <f>IF('Données projet'!$A$88&gt;35,BD183+BC184-BL183,IF(A184&lt;'Données projet'!$A$88,$BA$205^A184,IF(A184='Données projet'!$A$88,'Données projet'!$B$88,BD183+BC184-BL183)))</f>
        <v>186.88333333333415</v>
      </c>
      <c r="BE184" s="13">
        <f>BD184*VLOOKUP('Données projet'!$B$11,Paramètres!$A$1:$I$89,3,0)*VLOOKUP('Données projet'!$B$11,Paramètres!$A$1:$I$89,5,0)</f>
        <v>169.09204000000074</v>
      </c>
      <c r="BF184" s="13">
        <f t="shared" si="167"/>
        <v>42.886607412438856</v>
      </c>
      <c r="BG184" s="20">
        <f t="shared" si="168"/>
        <v>369.1961442433323</v>
      </c>
      <c r="BH184" s="59">
        <f t="shared" si="116"/>
        <v>658.66950990201644</v>
      </c>
      <c r="BI184" s="59">
        <f ca="1">AVERAGE(OFFSET($BH$3,0,0,'Données projet'!$E$11+1,1))-AVERAGE(OFFSET($H$3,0,0,'Données projet'!$E$11+1,1))</f>
        <v>681.47578137804555</v>
      </c>
      <c r="BJ184" s="59">
        <f t="shared" si="146"/>
        <v>300.88511065995885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121.80317115577186</v>
      </c>
      <c r="BQ184" s="21">
        <f>EXP(-LN(2)/25)*BQ183+(1-EXP(-LN(2)/25))/(LN(2)/25)*Calculateur!BL184*Calculateur!BN184*VLOOKUP('Données projet'!$B$11,Paramètres!$A$1:$I$89,3,0)*0.475*44/12</f>
        <v>22.873415143244397</v>
      </c>
      <c r="BR184" s="21">
        <f>EXP(-LN(2)/2)*BR183+(1-EXP(-LN(2)/2))/(LN(2)/2)*BL184*BO184*VLOOKUP('Données projet'!$B$11,Paramètres!$A$1:$I$89,3,0)*0.475*44/12</f>
        <v>4.9034694548583673</v>
      </c>
      <c r="BS184" s="22">
        <f t="shared" si="169"/>
        <v>149.58005575387463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8.5265128291212022E-14</v>
      </c>
      <c r="BZ184" s="13">
        <f>BY184*VLOOKUP('Données projet'!$B$12,Paramètres!$A$1:$I$89,3,0)*VLOOKUP('Données projet'!$B$12,Paramètres!$A$1:$I$89,5,0)</f>
        <v>8.9119112089974823E-14</v>
      </c>
      <c r="CA184" s="13">
        <f t="shared" si="170"/>
        <v>1.3568952080113142E-12</v>
      </c>
      <c r="CB184" s="20">
        <f t="shared" si="171"/>
        <v>2.5184749408430782E-12</v>
      </c>
      <c r="CC184" s="59">
        <f t="shared" si="119"/>
        <v>289.47336565868659</v>
      </c>
      <c r="CD184" s="59">
        <f ca="1">AVERAGE(OFFSET($CC$3,0,0,'Données projet'!$E$12+1,1))-AVERAGE(OFFSET($H$3,0,0,'Données projet'!$E$12+1,1))</f>
        <v>290.69667785754848</v>
      </c>
      <c r="CE184" s="59">
        <f t="shared" si="148"/>
        <v>256.28124185489082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3.5787637153792735</v>
      </c>
      <c r="CL184" s="21">
        <f>EXP(-LN(2)/25)*CL183+(1-EXP(-LN(2)/25))/(LN(2)/25)*Calculateur!CG184*Calculateur!CI184*VLOOKUP('Données projet'!$B$12,Paramètres!$A$1:$I$89,3,0)*0.475*44/12</f>
        <v>4.8102259430550953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8.3889896584343688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408.246209980743</v>
      </c>
      <c r="CZ184" s="59">
        <f t="shared" si="150"/>
        <v>394.10236303013903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7.7229818275618234</v>
      </c>
      <c r="DG184" s="21">
        <f>EXP(-LN(2)/25)*DG183+(1-EXP(-LN(2)/25))/(LN(2)/25)*Calculateur!DB184*Calculateur!DD184*VLOOKUP('Données projet'!$B$13,Paramètres!$A$1:$I$89,3,0)*0.475*44/12</f>
        <v>3.4259026863885107</v>
      </c>
      <c r="DH184" s="21">
        <f>EXP(-LN(2)/2)*DH183+(1-EXP(-LN(2)/2))/(LN(2)/2)*DB184*DE184*VLOOKUP('Données projet'!$B$13,Paramètres!$A$1:$I$89,3,0)*0.475*44/12</f>
        <v>4.3046319673019903E-14</v>
      </c>
      <c r="DI184" s="22">
        <f t="shared" si="175"/>
        <v>11.148884513950376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5.6843418860808015E-13</v>
      </c>
      <c r="DP184" s="17">
        <f>DO184*VLOOKUP('Données projet'!$B$14,Paramètres!$A$1:$I$89,3,0)*VLOOKUP('Données projet'!$B$14,Paramètres!$A$1:$I$89,5,0)</f>
        <v>3.177547114319168E-13</v>
      </c>
      <c r="DQ184" s="13">
        <f t="shared" si="176"/>
        <v>4.1725404435445377E-12</v>
      </c>
      <c r="DR184" s="20">
        <f t="shared" si="177"/>
        <v>7.820597394917325E-12</v>
      </c>
      <c r="DS184" s="59">
        <f t="shared" si="125"/>
        <v>289.47336565869193</v>
      </c>
      <c r="DT184" s="59">
        <f ca="1">AVERAGE(OFFSET($DS$3,0,0,'Données projet'!$E$14+1,1))-AVERAGE(OFFSET($H$3,0,0,'Données projet'!$E$14+1,1))</f>
        <v>407.05634973057056</v>
      </c>
      <c r="DU184" s="59">
        <f t="shared" si="152"/>
        <v>375.32891954889965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25.612039753641795</v>
      </c>
      <c r="EB184" s="21">
        <f>EXP(-LN(2)/25)*EB183+(1-EXP(-LN(2)/25))/(LN(2)/25)*Calculateur!DW184*Calculateur!DY184*VLOOKUP('Données projet'!$B$14,Paramètres!$A$1:$I$89,3,0)*0.475*44/12</f>
        <v>3.536280977271705</v>
      </c>
      <c r="EC184" s="21">
        <f>EXP(-LN(2)/2)*EC183+(1-EXP(-LN(2)/2))/(LN(2)/2)*DW184*DZ184*VLOOKUP('Données projet'!$B$14,Paramètres!$A$1:$I$89,3,0)*0.475*44/12</f>
        <v>1.4818831791027987E-15</v>
      </c>
      <c r="ED184" s="22">
        <f t="shared" si="178"/>
        <v>29.1483207309135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1.1368683772161603E-13</v>
      </c>
      <c r="EK184" s="17">
        <f>EJ184*VLOOKUP('Données projet'!$B$15,Paramètres!$A$1:$I$89,3,0)*VLOOKUP('Données projet'!$B$15,Paramètres!$A$1:$I$89,5,0)</f>
        <v>5.0249582272954292E-14</v>
      </c>
      <c r="EL184" s="13">
        <f t="shared" si="179"/>
        <v>8.1784820119191593E-13</v>
      </c>
      <c r="EM184" s="20">
        <f t="shared" si="180"/>
        <v>1.5119369728679821E-12</v>
      </c>
      <c r="EN184" s="59">
        <f t="shared" si="128"/>
        <v>289.47336565868562</v>
      </c>
      <c r="EO184" s="59">
        <f ca="1">AVERAGE(OFFSET($EN$3,0,0,'Données projet'!$E$15+1,1))-AVERAGE(OFFSET($H$3,0,0,'Données projet'!$E$15+1,1))</f>
        <v>418.28022549686278</v>
      </c>
      <c r="EP184" s="59">
        <f t="shared" si="154"/>
        <v>354.55070454517158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27.958537235560957</v>
      </c>
      <c r="EW184" s="21">
        <f>EXP(-LN(2)/25)*EW183+(1-EXP(-LN(2)/25))/(LN(2)/25)*Calculateur!ER184*Calculateur!ET184*VLOOKUP('Données projet'!$B$15,Paramètres!$A$1:$I$89,3,0)*0.475*44/12</f>
        <v>4.3706202966434873</v>
      </c>
      <c r="EX184" s="21">
        <f>EXP(-LN(2)/2)*EX183+(1-EXP(-LN(2)/2))/(LN(2)/2)*ER184*EU184*VLOOKUP('Données projet'!$B$15,Paramètres!$A$1:$I$89,3,0)*0.475*44/12</f>
        <v>4.9366150698635199E-14</v>
      </c>
      <c r="EY184" s="22">
        <f t="shared" si="181"/>
        <v>32.329157532204498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4.7974999999999994</v>
      </c>
      <c r="FE184" s="12">
        <f>IF('Données projet'!$A$218&gt;35,FE183+FD184-FM183,IF(A184&lt;'Données projet'!$A$218,$FB$205^A184,IF(A184='Données projet'!$A$218,'Données projet'!$B$218,FE183+FD184-FM183)))</f>
        <v>285.74749999999966</v>
      </c>
      <c r="FF184" s="17">
        <f>FE184*VLOOKUP('Données projet'!$B$16,Paramètres!$A$1:$I$89,3,0)*VLOOKUP('Données projet'!$B$16,Paramètres!$A$1:$I$89,5,0)</f>
        <v>325.40925299999964</v>
      </c>
      <c r="FG184" s="13">
        <f t="shared" si="182"/>
        <v>76.477753575181453</v>
      </c>
      <c r="FH184" s="20">
        <f t="shared" si="183"/>
        <v>699.95320311844034</v>
      </c>
      <c r="FI184" s="59">
        <f t="shared" si="131"/>
        <v>989.42656877712443</v>
      </c>
      <c r="FJ184" s="59">
        <f ca="1">AVERAGE(OFFSET($FI$3,0,0,'Données projet'!$E$16+1,1))-AVERAGE(OFFSET($H$3,0,0,'Données projet'!$E$16+1,1))</f>
        <v>640.05156427113661</v>
      </c>
      <c r="FK184" s="59">
        <f t="shared" si="156"/>
        <v>308.77220155372902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90.325719919809089</v>
      </c>
      <c r="FR184" s="21">
        <f>EXP(-LN(2)/25)*FR183+(1-EXP(-LN(2)/25))/(LN(2)/25)*Calculateur!FM184*Calculateur!FO184*VLOOKUP('Données projet'!$B$16,Paramètres!$A$1:$I$89,3,0)*0.475*44/12</f>
        <v>36.622814197237098</v>
      </c>
      <c r="FS184" s="21">
        <f>EXP(-LN(2)/2)*FS183+(1-EXP(-LN(2)/2))/(LN(2)/2)*FM184*FP184*VLOOKUP('Données projet'!$B$16,Paramètres!$A$1:$I$89,3,0)*0.475*44/12</f>
        <v>1.7892582659091603E-5</v>
      </c>
      <c r="FT184" s="22">
        <f t="shared" si="184"/>
        <v>126.94855200962886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289.5403274682464</v>
      </c>
      <c r="S185" s="59">
        <f ca="1">AVERAGE(OFFSET($R$3,0,0,'Données projet'!$E$9+1,1))-AVERAGE(OFFSET($H$3,0,0,'Données projet'!$E$9+1,1))</f>
        <v>318.50474972254085</v>
      </c>
      <c r="T185" s="59">
        <f t="shared" si="142"/>
        <v>326.45858332753562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12.396557308577126</v>
      </c>
      <c r="AA185" s="21">
        <f>EXP(-LN(2)/25)*AA184+(1-EXP(-LN(2)/25))/(LN(2)/25)*Calculateur!V185*Calculateur!X185*VLOOKUP('Données projet'!$B$9,Paramètres!$A$1:$I$89,3,0)*0.475*44/12</f>
        <v>1.6450624816497215</v>
      </c>
      <c r="AB185" s="21">
        <f>EXP(-LN(2)/2)*AB184+(1-EXP(-LN(2)/2))/(LN(2)/2)*V185*Y185*VLOOKUP('Données projet'!$B$9,Paramètres!$A$1:$I$89,3,0)*0.475*44/12</f>
        <v>2.6004130629778087E-17</v>
      </c>
      <c r="AC185" s="22">
        <f t="shared" si="163"/>
        <v>14.041619790226848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1.7053025658242404E-13</v>
      </c>
      <c r="AJ185" s="13">
        <f>AI185*VLOOKUP('Données projet'!$B$10,Paramètres!$A$1:$I$89,3,0)*VLOOKUP('Données projet'!$B$10,Paramètres!$A$1:$I$89,5,0)</f>
        <v>7.9808160080574461E-14</v>
      </c>
      <c r="AK185" s="13">
        <f t="shared" si="164"/>
        <v>1.2308384591775343E-12</v>
      </c>
      <c r="AL185" s="20">
        <f t="shared" si="165"/>
        <v>2.282709528541206E-12</v>
      </c>
      <c r="AM185" s="59">
        <f t="shared" si="113"/>
        <v>289.54032746824669</v>
      </c>
      <c r="AN185" s="59">
        <f ca="1">AVERAGE(OFFSET($AM$3,0,0,'Données projet'!$E$10+1,1))-AVERAGE(OFFSET($H$3,0,0,'Données projet'!$E$10+1,1))</f>
        <v>374.38106339726073</v>
      </c>
      <c r="AO185" s="59">
        <f t="shared" si="144"/>
        <v>296.53283288925957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52.975513092323027</v>
      </c>
      <c r="AV185" s="21">
        <f>EXP(-LN(2)/25)*AV184+(1-EXP(-LN(2)/25))/(LN(2)/25)*Calculateur!AQ185*Calculateur!AS185*VLOOKUP('Données projet'!$B$10,Paramètres!$A$1:$I$89,3,0)*0.475*44/12</f>
        <v>10.921236751386806</v>
      </c>
      <c r="AW185" s="21">
        <f>EXP(-LN(2)/2)*AW184+(1-EXP(-LN(2)/2))/(LN(2)/2)*AQ185*AT185*VLOOKUP('Données projet'!$B$10,Paramètres!$A$1:$I$89,3,0)*0.475*44/12</f>
        <v>6.8296130843225129E-7</v>
      </c>
      <c r="AX185" s="21">
        <f t="shared" si="166"/>
        <v>63.896750526671141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2.2933333333333317</v>
      </c>
      <c r="BD185" s="12">
        <f>IF('Données projet'!$A$88&gt;35,BD184+BC185-BL184,IF(A185&lt;'Données projet'!$A$88,$BA$205^A185,IF(A185='Données projet'!$A$88,'Données projet'!$B$88,BD184+BC185-BL184)))</f>
        <v>189.17666666666747</v>
      </c>
      <c r="BE185" s="13">
        <f>BD185*VLOOKUP('Données projet'!$B$11,Paramètres!$A$1:$I$89,3,0)*VLOOKUP('Données projet'!$B$11,Paramètres!$A$1:$I$89,5,0)</f>
        <v>171.16704800000073</v>
      </c>
      <c r="BF185" s="13">
        <f t="shared" si="167"/>
        <v>43.351299348190551</v>
      </c>
      <c r="BG185" s="20">
        <f t="shared" si="168"/>
        <v>373.61945496476648</v>
      </c>
      <c r="BH185" s="59">
        <f t="shared" si="116"/>
        <v>663.15978243301083</v>
      </c>
      <c r="BI185" s="59">
        <f ca="1">AVERAGE(OFFSET($BH$3,0,0,'Données projet'!$E$11+1,1))-AVERAGE(OFFSET($H$3,0,0,'Données projet'!$E$11+1,1))</f>
        <v>681.47578137804555</v>
      </c>
      <c r="BJ185" s="59">
        <f t="shared" si="146"/>
        <v>300.88511065995885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119.4146852620058</v>
      </c>
      <c r="BQ185" s="21">
        <f>EXP(-LN(2)/25)*BQ184+(1-EXP(-LN(2)/25))/(LN(2)/25)*Calculateur!BL185*Calculateur!BN185*VLOOKUP('Données projet'!$B$11,Paramètres!$A$1:$I$89,3,0)*0.475*44/12</f>
        <v>22.247940403291754</v>
      </c>
      <c r="BR185" s="21">
        <f>EXP(-LN(2)/2)*BR184+(1-EXP(-LN(2)/2))/(LN(2)/2)*BL185*BO185*VLOOKUP('Données projet'!$B$11,Paramètres!$A$1:$I$89,3,0)*0.475*44/12</f>
        <v>3.4672765028714552</v>
      </c>
      <c r="BS185" s="22">
        <f t="shared" si="169"/>
        <v>145.129902168169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8.5265128291212022E-14</v>
      </c>
      <c r="BZ185" s="13">
        <f>BY185*VLOOKUP('Données projet'!$B$12,Paramètres!$A$1:$I$89,3,0)*VLOOKUP('Données projet'!$B$12,Paramètres!$A$1:$I$89,5,0)</f>
        <v>8.9119112089974823E-14</v>
      </c>
      <c r="CA185" s="13">
        <f t="shared" si="170"/>
        <v>1.3568952080113142E-12</v>
      </c>
      <c r="CB185" s="20">
        <f t="shared" si="171"/>
        <v>2.5184749408430782E-12</v>
      </c>
      <c r="CC185" s="59">
        <f t="shared" si="119"/>
        <v>289.54032746824691</v>
      </c>
      <c r="CD185" s="59">
        <f ca="1">AVERAGE(OFFSET($CC$3,0,0,'Données projet'!$E$12+1,1))-AVERAGE(OFFSET($H$3,0,0,'Données projet'!$E$12+1,1))</f>
        <v>290.69667785754848</v>
      </c>
      <c r="CE185" s="59">
        <f t="shared" si="148"/>
        <v>256.28124185489082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3.5085863417510157</v>
      </c>
      <c r="CL185" s="21">
        <f>EXP(-LN(2)/25)*CL184+(1-EXP(-LN(2)/25))/(LN(2)/25)*Calculateur!CG185*Calculateur!CI185*VLOOKUP('Données projet'!$B$12,Paramètres!$A$1:$I$89,3,0)*0.475*44/12</f>
        <v>4.678690061683465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8.1872764034344812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408.246209980743</v>
      </c>
      <c r="CZ185" s="59">
        <f t="shared" si="150"/>
        <v>394.10236303013903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7.5715388644771222</v>
      </c>
      <c r="DG185" s="21">
        <f>EXP(-LN(2)/25)*DG184+(1-EXP(-LN(2)/25))/(LN(2)/25)*Calculateur!DB185*Calculateur!DD185*VLOOKUP('Données projet'!$B$13,Paramètres!$A$1:$I$89,3,0)*0.475*44/12</f>
        <v>3.3322211972688245</v>
      </c>
      <c r="DH185" s="21">
        <f>EXP(-LN(2)/2)*DH184+(1-EXP(-LN(2)/2))/(LN(2)/2)*DB185*DE185*VLOOKUP('Données projet'!$B$13,Paramètres!$A$1:$I$89,3,0)*0.475*44/12</f>
        <v>3.043834454591626E-14</v>
      </c>
      <c r="DI185" s="22">
        <f t="shared" si="175"/>
        <v>10.903760061745977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5.6843418860808015E-13</v>
      </c>
      <c r="DP185" s="17">
        <f>DO185*VLOOKUP('Données projet'!$B$14,Paramètres!$A$1:$I$89,3,0)*VLOOKUP('Données projet'!$B$14,Paramètres!$A$1:$I$89,5,0)</f>
        <v>3.177547114319168E-13</v>
      </c>
      <c r="DQ185" s="13">
        <f t="shared" si="176"/>
        <v>4.1725404435445377E-12</v>
      </c>
      <c r="DR185" s="20">
        <f t="shared" si="177"/>
        <v>7.820597394917325E-12</v>
      </c>
      <c r="DS185" s="59">
        <f t="shared" si="125"/>
        <v>289.54032746825226</v>
      </c>
      <c r="DT185" s="59">
        <f ca="1">AVERAGE(OFFSET($DS$3,0,0,'Données projet'!$E$14+1,1))-AVERAGE(OFFSET($H$3,0,0,'Données projet'!$E$14+1,1))</f>
        <v>407.05634973057056</v>
      </c>
      <c r="DU185" s="59">
        <f t="shared" si="152"/>
        <v>375.32891954889965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25.109803275874604</v>
      </c>
      <c r="EB185" s="21">
        <f>EXP(-LN(2)/25)*EB184+(1-EXP(-LN(2)/25))/(LN(2)/25)*Calculateur!DW185*Calculateur!DY185*VLOOKUP('Données projet'!$B$14,Paramètres!$A$1:$I$89,3,0)*0.475*44/12</f>
        <v>3.4395811879832761</v>
      </c>
      <c r="EC185" s="21">
        <f>EXP(-LN(2)/2)*EC184+(1-EXP(-LN(2)/2))/(LN(2)/2)*DW185*DZ185*VLOOKUP('Données projet'!$B$14,Paramètres!$A$1:$I$89,3,0)*0.475*44/12</f>
        <v>1.047849644869868E-15</v>
      </c>
      <c r="ED185" s="22">
        <f t="shared" si="178"/>
        <v>28.54938446385788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1.1368683772161603E-13</v>
      </c>
      <c r="EK185" s="17">
        <f>EJ185*VLOOKUP('Données projet'!$B$15,Paramètres!$A$1:$I$89,3,0)*VLOOKUP('Données projet'!$B$15,Paramètres!$A$1:$I$89,5,0)</f>
        <v>5.0249582272954292E-14</v>
      </c>
      <c r="EL185" s="13">
        <f t="shared" si="179"/>
        <v>8.1784820119191593E-13</v>
      </c>
      <c r="EM185" s="20">
        <f t="shared" si="180"/>
        <v>1.5119369728679821E-12</v>
      </c>
      <c r="EN185" s="59">
        <f t="shared" si="128"/>
        <v>289.54032746824595</v>
      </c>
      <c r="EO185" s="59">
        <f ca="1">AVERAGE(OFFSET($EN$3,0,0,'Données projet'!$E$15+1,1))-AVERAGE(OFFSET($H$3,0,0,'Données projet'!$E$15+1,1))</f>
        <v>418.28022549686278</v>
      </c>
      <c r="EP185" s="59">
        <f t="shared" si="154"/>
        <v>354.55070454517158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27.410287373395473</v>
      </c>
      <c r="EW185" s="21">
        <f>EXP(-LN(2)/25)*EW184+(1-EXP(-LN(2)/25))/(LN(2)/25)*Calculateur!ER185*Calculateur!ET185*VLOOKUP('Données projet'!$B$15,Paramètres!$A$1:$I$89,3,0)*0.475*44/12</f>
        <v>4.2511054547908387</v>
      </c>
      <c r="EX185" s="21">
        <f>EXP(-LN(2)/2)*EX184+(1-EXP(-LN(2)/2))/(LN(2)/2)*ER185*EU185*VLOOKUP('Données projet'!$B$15,Paramètres!$A$1:$I$89,3,0)*0.475*44/12</f>
        <v>3.4907139920081969E-14</v>
      </c>
      <c r="EY185" s="22">
        <f t="shared" si="181"/>
        <v>31.661392828186347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4.7974999999999994</v>
      </c>
      <c r="FE185" s="12">
        <f>IF('Données projet'!$A$218&gt;35,FE184+FD185-FM184,IF(A185&lt;'Données projet'!$A$218,$FB$205^A185,IF(A185='Données projet'!$A$218,'Données projet'!$B$218,FE184+FD185-FM184)))</f>
        <v>290.54499999999967</v>
      </c>
      <c r="FF185" s="17">
        <f>FE185*VLOOKUP('Données projet'!$B$16,Paramètres!$A$1:$I$89,3,0)*VLOOKUP('Données projet'!$B$16,Paramètres!$A$1:$I$89,5,0)</f>
        <v>330.87264599999963</v>
      </c>
      <c r="FG185" s="13">
        <f t="shared" si="182"/>
        <v>77.611201134728788</v>
      </c>
      <c r="FH185" s="20">
        <f t="shared" si="183"/>
        <v>711.44270042631854</v>
      </c>
      <c r="FI185" s="59">
        <f t="shared" si="131"/>
        <v>1000.983027894563</v>
      </c>
      <c r="FJ185" s="59">
        <f ca="1">AVERAGE(OFFSET($FI$3,0,0,'Données projet'!$E$16+1,1))-AVERAGE(OFFSET($H$3,0,0,'Données projet'!$E$16+1,1))</f>
        <v>640.05156427113661</v>
      </c>
      <c r="FK185" s="59">
        <f t="shared" si="156"/>
        <v>308.77220155372902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88.554487645430783</v>
      </c>
      <c r="FR185" s="21">
        <f>EXP(-LN(2)/25)*FR184+(1-EXP(-LN(2)/25))/(LN(2)/25)*Calculateur!FM185*Calculateur!FO185*VLOOKUP('Données projet'!$B$16,Paramètres!$A$1:$I$89,3,0)*0.475*44/12</f>
        <v>35.62136141710355</v>
      </c>
      <c r="FS185" s="21">
        <f>EXP(-LN(2)/2)*FS184+(1-EXP(-LN(2)/2))/(LN(2)/2)*FM185*FP185*VLOOKUP('Données projet'!$B$16,Paramètres!$A$1:$I$89,3,0)*0.475*44/12</f>
        <v>1.2651966531184501E-5</v>
      </c>
      <c r="FT185" s="22">
        <f t="shared" si="184"/>
        <v>124.17586171450085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289.60612764011495</v>
      </c>
      <c r="S186" s="59">
        <f ca="1">AVERAGE(OFFSET($R$3,0,0,'Données projet'!$E$9+1,1))-AVERAGE(OFFSET($H$3,0,0,'Données projet'!$E$9+1,1))</f>
        <v>318.50474972254085</v>
      </c>
      <c r="T186" s="59">
        <f t="shared" si="142"/>
        <v>326.45858332753562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12.153468380909285</v>
      </c>
      <c r="AA186" s="21">
        <f>EXP(-LN(2)/25)*AA185+(1-EXP(-LN(2)/25))/(LN(2)/25)*Calculateur!V186*Calculateur!X186*VLOOKUP('Données projet'!$B$9,Paramètres!$A$1:$I$89,3,0)*0.475*44/12</f>
        <v>1.6000781615789337</v>
      </c>
      <c r="AB186" s="21">
        <f>EXP(-LN(2)/2)*AB185+(1-EXP(-LN(2)/2))/(LN(2)/2)*V186*Y186*VLOOKUP('Données projet'!$B$9,Paramètres!$A$1:$I$89,3,0)*0.475*44/12</f>
        <v>1.8387697107176892E-17</v>
      </c>
      <c r="AC186" s="22">
        <f t="shared" si="163"/>
        <v>13.753546542488218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1.7053025658242404E-13</v>
      </c>
      <c r="AJ186" s="13">
        <f>AI186*VLOOKUP('Données projet'!$B$10,Paramètres!$A$1:$I$89,3,0)*VLOOKUP('Données projet'!$B$10,Paramètres!$A$1:$I$89,5,0)</f>
        <v>7.9808160080574461E-14</v>
      </c>
      <c r="AK186" s="13">
        <f t="shared" si="164"/>
        <v>1.2308384591775343E-12</v>
      </c>
      <c r="AL186" s="20">
        <f t="shared" si="165"/>
        <v>2.282709528541206E-12</v>
      </c>
      <c r="AM186" s="59">
        <f t="shared" si="113"/>
        <v>289.60612764011523</v>
      </c>
      <c r="AN186" s="59">
        <f ca="1">AVERAGE(OFFSET($AM$3,0,0,'Données projet'!$E$10+1,1))-AVERAGE(OFFSET($H$3,0,0,'Données projet'!$E$10+1,1))</f>
        <v>374.38106339726073</v>
      </c>
      <c r="AO186" s="59">
        <f t="shared" si="144"/>
        <v>296.53283288925957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51.936695592455024</v>
      </c>
      <c r="AV186" s="21">
        <f>EXP(-LN(2)/25)*AV185+(1-EXP(-LN(2)/25))/(LN(2)/25)*Calculateur!AQ186*Calculateur!AS186*VLOOKUP('Données projet'!$B$10,Paramètres!$A$1:$I$89,3,0)*0.475*44/12</f>
        <v>10.622594958097254</v>
      </c>
      <c r="AW186" s="21">
        <f>EXP(-LN(2)/2)*AW185+(1-EXP(-LN(2)/2))/(LN(2)/2)*AQ186*AT186*VLOOKUP('Données projet'!$B$10,Paramètres!$A$1:$I$89,3,0)*0.475*44/12</f>
        <v>4.8292657248048209E-7</v>
      </c>
      <c r="AX186" s="21">
        <f t="shared" si="166"/>
        <v>62.55929103347885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2.2933333333333317</v>
      </c>
      <c r="BC186" s="12">
        <f t="array" ref="BC186">INDEX(BB:BB,MIN(IF(ISNUMBER(BB186:BB382),ROW(BB186:BB382),"")))</f>
        <v>2.2933333333333317</v>
      </c>
      <c r="BD186" s="12">
        <f>IF('Données projet'!$A$88&gt;35,BD185+BC186-BL185,IF(A186&lt;'Données projet'!$A$88,$BA$205^A186,IF(A186='Données projet'!$A$88,'Données projet'!$B$88,BD185+BC186-BL185)))</f>
        <v>191.47000000000079</v>
      </c>
      <c r="BE186" s="13">
        <f>BD186*VLOOKUP('Données projet'!$B$11,Paramètres!$A$1:$I$89,3,0)*VLOOKUP('Données projet'!$B$11,Paramètres!$A$1:$I$89,5,0)</f>
        <v>173.2420560000007</v>
      </c>
      <c r="BF186" s="13">
        <f t="shared" si="167"/>
        <v>43.815336010445158</v>
      </c>
      <c r="BG186" s="20">
        <f t="shared" si="168"/>
        <v>378.04162441819318</v>
      </c>
      <c r="BH186" s="59">
        <f t="shared" si="116"/>
        <v>667.6477520583062</v>
      </c>
      <c r="BI186" s="59">
        <f ca="1">AVERAGE(OFFSET($BH$3,0,0,'Données projet'!$E$11+1,1))-AVERAGE(OFFSET($H$3,0,0,'Données projet'!$E$11+1,1))</f>
        <v>681.47578137804555</v>
      </c>
      <c r="BJ186" s="59">
        <f t="shared" si="146"/>
        <v>300.88511065995885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191.47</v>
      </c>
      <c r="BM186" s="16">
        <f>IF(ISNA(VLOOKUP(A186,'Données projet'!$A$87:$I$107,5,0)),0%,VLOOKUP(A186,'Données projet'!$A$87:$I$107,5,0)*VLOOKUP('Données projet'!$B$11,Paramètres!$A$1:$I$89,7,0))</f>
        <v>0.19350000000000001</v>
      </c>
      <c r="BN186" s="16">
        <f>IF(ISNA(VLOOKUP(A186,'Données projet'!$A$87:$I$107,6,0)),0%,VLOOKUP(A186,'Données projet'!$A$87:$I$107,6,0)*VLOOKUP('Données projet'!$B$11,Paramètres!$A$1:$I$89,7,0))</f>
        <v>2.1500000000000002E-2</v>
      </c>
      <c r="BO186" s="16">
        <f>IF(ISNA(VLOOKUP(A186,'Données projet'!$A$87:$I$107,7,0)),0%,VLOOKUP(A186,'Données projet'!$A$87:$I$107,7,0))</f>
        <v>0.05</v>
      </c>
      <c r="BP186" s="21">
        <f>EXP(-LN(2)/35)*BP185+(1-EXP(-LN(2)/35))/(LN(2)/35)*BL186*BM186*VLOOKUP('Données projet'!$B$11,Paramètres!$A$1:$I$89,3,0)*0.475*44/12</f>
        <v>154.13098765017864</v>
      </c>
      <c r="BQ186" s="21">
        <f>EXP(-LN(2)/25)*BQ185+(1-EXP(-LN(2)/25))/(LN(2)/25)*Calculateur!BL186*Calculateur!BN186*VLOOKUP('Données projet'!$B$11,Paramètres!$A$1:$I$89,3,0)*0.475*44/12</f>
        <v>25.740907109110182</v>
      </c>
      <c r="BR186" s="21">
        <f>EXP(-LN(2)/2)*BR185+(1-EXP(-LN(2)/2))/(LN(2)/2)*BL186*BO186*VLOOKUP('Données projet'!$B$11,Paramètres!$A$1:$I$89,3,0)*0.475*44/12</f>
        <v>10.624661856307879</v>
      </c>
      <c r="BS186" s="22">
        <f t="shared" si="169"/>
        <v>190.49655661559669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8.5265128291212022E-14</v>
      </c>
      <c r="BZ186" s="13">
        <f>BY186*VLOOKUP('Données projet'!$B$12,Paramètres!$A$1:$I$89,3,0)*VLOOKUP('Données projet'!$B$12,Paramètres!$A$1:$I$89,5,0)</f>
        <v>8.9119112089974823E-14</v>
      </c>
      <c r="CA186" s="13">
        <f t="shared" si="170"/>
        <v>1.3568952080113142E-12</v>
      </c>
      <c r="CB186" s="20">
        <f t="shared" si="171"/>
        <v>2.5184749408430782E-12</v>
      </c>
      <c r="CC186" s="59">
        <f t="shared" si="119"/>
        <v>289.60612764011546</v>
      </c>
      <c r="CD186" s="59">
        <f ca="1">AVERAGE(OFFSET($CC$3,0,0,'Données projet'!$E$12+1,1))-AVERAGE(OFFSET($H$3,0,0,'Données projet'!$E$12+1,1))</f>
        <v>290.69667785754848</v>
      </c>
      <c r="CE186" s="59">
        <f t="shared" si="148"/>
        <v>256.28124185489082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3.4397851036156366</v>
      </c>
      <c r="CL186" s="21">
        <f>EXP(-LN(2)/25)*CL185+(1-EXP(-LN(2)/25))/(LN(2)/25)*Calculateur!CG186*Calculateur!CI186*VLOOKUP('Données projet'!$B$12,Paramètres!$A$1:$I$89,3,0)*0.475*44/12</f>
        <v>4.5507510359051135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7.9905361395207501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408.246209980743</v>
      </c>
      <c r="CZ186" s="59">
        <f t="shared" si="150"/>
        <v>394.10236303013903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7.4230656055274258</v>
      </c>
      <c r="DG186" s="21">
        <f>EXP(-LN(2)/25)*DG185+(1-EXP(-LN(2)/25))/(LN(2)/25)*Calculateur!DB186*Calculateur!DD186*VLOOKUP('Données projet'!$B$13,Paramètres!$A$1:$I$89,3,0)*0.475*44/12</f>
        <v>3.2411014333956114</v>
      </c>
      <c r="DH186" s="21">
        <f>EXP(-LN(2)/2)*DH185+(1-EXP(-LN(2)/2))/(LN(2)/2)*DB186*DE186*VLOOKUP('Données projet'!$B$13,Paramètres!$A$1:$I$89,3,0)*0.475*44/12</f>
        <v>2.1523159836509952E-14</v>
      </c>
      <c r="DI186" s="22">
        <f t="shared" si="175"/>
        <v>10.664167038923058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5.6843418860808015E-13</v>
      </c>
      <c r="DP186" s="17">
        <f>DO186*VLOOKUP('Données projet'!$B$14,Paramètres!$A$1:$I$89,3,0)*VLOOKUP('Données projet'!$B$14,Paramètres!$A$1:$I$89,5,0)</f>
        <v>3.177547114319168E-13</v>
      </c>
      <c r="DQ186" s="13">
        <f t="shared" si="176"/>
        <v>4.1725404435445377E-12</v>
      </c>
      <c r="DR186" s="20">
        <f t="shared" si="177"/>
        <v>7.820597394917325E-12</v>
      </c>
      <c r="DS186" s="59">
        <f t="shared" si="125"/>
        <v>289.6061276401208</v>
      </c>
      <c r="DT186" s="59">
        <f ca="1">AVERAGE(OFFSET($DS$3,0,0,'Données projet'!$E$14+1,1))-AVERAGE(OFFSET($H$3,0,0,'Données projet'!$E$14+1,1))</f>
        <v>407.05634973057056</v>
      </c>
      <c r="DU186" s="59">
        <f t="shared" si="152"/>
        <v>375.32891954889965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24.617415349102426</v>
      </c>
      <c r="EB186" s="21">
        <f>EXP(-LN(2)/25)*EB185+(1-EXP(-LN(2)/25))/(LN(2)/25)*Calculateur!DW186*Calculateur!DY186*VLOOKUP('Données projet'!$B$14,Paramètres!$A$1:$I$89,3,0)*0.475*44/12</f>
        <v>3.3455256595181599</v>
      </c>
      <c r="EC186" s="21">
        <f>EXP(-LN(2)/2)*EC185+(1-EXP(-LN(2)/2))/(LN(2)/2)*DW186*DZ186*VLOOKUP('Données projet'!$B$14,Paramètres!$A$1:$I$89,3,0)*0.475*44/12</f>
        <v>7.4094158955139933E-16</v>
      </c>
      <c r="ED186" s="22">
        <f t="shared" si="178"/>
        <v>27.962941008620586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1.1368683772161603E-13</v>
      </c>
      <c r="EK186" s="17">
        <f>EJ186*VLOOKUP('Données projet'!$B$15,Paramètres!$A$1:$I$89,3,0)*VLOOKUP('Données projet'!$B$15,Paramètres!$A$1:$I$89,5,0)</f>
        <v>5.0249582272954292E-14</v>
      </c>
      <c r="EL186" s="13">
        <f t="shared" si="179"/>
        <v>8.1784820119191593E-13</v>
      </c>
      <c r="EM186" s="20">
        <f t="shared" si="180"/>
        <v>1.5119369728679821E-12</v>
      </c>
      <c r="EN186" s="59">
        <f t="shared" si="128"/>
        <v>289.60612764011449</v>
      </c>
      <c r="EO186" s="59">
        <f ca="1">AVERAGE(OFFSET($EN$3,0,0,'Données projet'!$E$15+1,1))-AVERAGE(OFFSET($H$3,0,0,'Données projet'!$E$15+1,1))</f>
        <v>418.28022549686278</v>
      </c>
      <c r="EP186" s="59">
        <f t="shared" si="154"/>
        <v>354.55070454517158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26.872788356627659</v>
      </c>
      <c r="EW186" s="21">
        <f>EXP(-LN(2)/25)*EW185+(1-EXP(-LN(2)/25))/(LN(2)/25)*Calculateur!ER186*Calculateur!ET186*VLOOKUP('Données projet'!$B$15,Paramètres!$A$1:$I$89,3,0)*0.475*44/12</f>
        <v>4.1348587525736633</v>
      </c>
      <c r="EX186" s="21">
        <f>EXP(-LN(2)/2)*EX185+(1-EXP(-LN(2)/2))/(LN(2)/2)*ER186*EU186*VLOOKUP('Données projet'!$B$15,Paramètres!$A$1:$I$89,3,0)*0.475*44/12</f>
        <v>2.4683075349317599E-14</v>
      </c>
      <c r="EY186" s="22">
        <f t="shared" si="181"/>
        <v>31.007647109201347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4.7974999999999994</v>
      </c>
      <c r="FE186" s="12">
        <f>IF('Données projet'!$A$218&gt;35,FE185+FD186-FM185,IF(A186&lt;'Données projet'!$A$218,$FB$205^A186,IF(A186='Données projet'!$A$218,'Données projet'!$B$218,FE185+FD186-FM185)))</f>
        <v>295.34249999999969</v>
      </c>
      <c r="FF186" s="17">
        <f>FE186*VLOOKUP('Données projet'!$B$16,Paramètres!$A$1:$I$89,3,0)*VLOOKUP('Données projet'!$B$16,Paramètres!$A$1:$I$89,5,0)</f>
        <v>336.33603899999963</v>
      </c>
      <c r="FG186" s="13">
        <f t="shared" si="182"/>
        <v>78.742472189805937</v>
      </c>
      <c r="FH186" s="20">
        <f t="shared" si="183"/>
        <v>722.92840698891132</v>
      </c>
      <c r="FI186" s="59">
        <f t="shared" si="131"/>
        <v>1012.5345346290243</v>
      </c>
      <c r="FJ186" s="59">
        <f ca="1">AVERAGE(OFFSET($FI$3,0,0,'Données projet'!$E$16+1,1))-AVERAGE(OFFSET($H$3,0,0,'Données projet'!$E$16+1,1))</f>
        <v>640.05156427113661</v>
      </c>
      <c r="FK186" s="59">
        <f t="shared" si="156"/>
        <v>308.77220155372902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86.81798815560802</v>
      </c>
      <c r="FR186" s="21">
        <f>EXP(-LN(2)/25)*FR185+(1-EXP(-LN(2)/25))/(LN(2)/25)*Calculateur!FM186*Calculateur!FO186*VLOOKUP('Données projet'!$B$16,Paramètres!$A$1:$I$89,3,0)*0.475*44/12</f>
        <v>34.647293415906873</v>
      </c>
      <c r="FS186" s="21">
        <f>EXP(-LN(2)/2)*FS185+(1-EXP(-LN(2)/2))/(LN(2)/2)*FM186*FP186*VLOOKUP('Données projet'!$B$16,Paramètres!$A$1:$I$89,3,0)*0.475*44/12</f>
        <v>8.9462913295458013E-6</v>
      </c>
      <c r="FT186" s="22">
        <f t="shared" si="184"/>
        <v>121.46529051780622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289.67078632610873</v>
      </c>
      <c r="S187" s="59">
        <f ca="1">AVERAGE(OFFSET($R$3,0,0,'Données projet'!$E$9+1,1))-AVERAGE(OFFSET($H$3,0,0,'Données projet'!$E$9+1,1))</f>
        <v>318.50474972254085</v>
      </c>
      <c r="T187" s="59">
        <f t="shared" si="142"/>
        <v>326.45858332753562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11.915146278843405</v>
      </c>
      <c r="AA187" s="21">
        <f>EXP(-LN(2)/25)*AA186+(1-EXP(-LN(2)/25))/(LN(2)/25)*Calculateur!V187*Calculateur!X187*VLOOKUP('Données projet'!$B$9,Paramètres!$A$1:$I$89,3,0)*0.475*44/12</f>
        <v>1.5563239401061042</v>
      </c>
      <c r="AB187" s="21">
        <f>EXP(-LN(2)/2)*AB186+(1-EXP(-LN(2)/2))/(LN(2)/2)*V187*Y187*VLOOKUP('Données projet'!$B$9,Paramètres!$A$1:$I$89,3,0)*0.475*44/12</f>
        <v>1.3002065314889043E-17</v>
      </c>
      <c r="AC187" s="22">
        <f t="shared" si="163"/>
        <v>13.471470218949509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1.7053025658242404E-13</v>
      </c>
      <c r="AJ187" s="13">
        <f>AI187*VLOOKUP('Données projet'!$B$10,Paramètres!$A$1:$I$89,3,0)*VLOOKUP('Données projet'!$B$10,Paramètres!$A$1:$I$89,5,0)</f>
        <v>7.9808160080574461E-14</v>
      </c>
      <c r="AK187" s="13">
        <f t="shared" si="164"/>
        <v>1.2308384591775343E-12</v>
      </c>
      <c r="AL187" s="20">
        <f t="shared" si="165"/>
        <v>2.282709528541206E-12</v>
      </c>
      <c r="AM187" s="59">
        <f t="shared" si="113"/>
        <v>289.67078632610901</v>
      </c>
      <c r="AN187" s="59">
        <f ca="1">AVERAGE(OFFSET($AM$3,0,0,'Données projet'!$E$10+1,1))-AVERAGE(OFFSET($H$3,0,0,'Données projet'!$E$10+1,1))</f>
        <v>374.38106339726073</v>
      </c>
      <c r="AO187" s="59">
        <f t="shared" si="144"/>
        <v>296.53283288925957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50.918248670143328</v>
      </c>
      <c r="AV187" s="21">
        <f>EXP(-LN(2)/25)*AV186+(1-EXP(-LN(2)/25))/(LN(2)/25)*Calculateur!AQ187*Calculateur!AS187*VLOOKUP('Données projet'!$B$10,Paramètres!$A$1:$I$89,3,0)*0.475*44/12</f>
        <v>10.332119540350094</v>
      </c>
      <c r="AW187" s="21">
        <f>EXP(-LN(2)/2)*AW186+(1-EXP(-LN(2)/2))/(LN(2)/2)*AQ187*AT187*VLOOKUP('Données projet'!$B$10,Paramètres!$A$1:$I$89,3,0)*0.475*44/12</f>
        <v>3.4148065421612565E-7</v>
      </c>
      <c r="AX187" s="21">
        <f t="shared" si="166"/>
        <v>61.250368551974077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7.9580786405131221E-13</v>
      </c>
      <c r="BE187" s="13">
        <f>BD187*VLOOKUP('Données projet'!$B$11,Paramètres!$A$1:$I$89,3,0)*VLOOKUP('Données projet'!$B$11,Paramètres!$A$1:$I$89,5,0)</f>
        <v>7.2004695539362725E-13</v>
      </c>
      <c r="BF187" s="13">
        <f t="shared" si="167"/>
        <v>8.5963894794935589E-12</v>
      </c>
      <c r="BG187" s="20">
        <f t="shared" si="168"/>
        <v>1.6226126790761848E-11</v>
      </c>
      <c r="BH187" s="59">
        <f t="shared" si="116"/>
        <v>289.67078632612294</v>
      </c>
      <c r="BI187" s="59">
        <f ca="1">AVERAGE(OFFSET($BH$3,0,0,'Données projet'!$E$11+1,1))-AVERAGE(OFFSET($H$3,0,0,'Données projet'!$E$11+1,1))</f>
        <v>681.47578137804555</v>
      </c>
      <c r="BJ187" s="59">
        <f t="shared" si="146"/>
        <v>300.88511065995885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151.10857299297834</v>
      </c>
      <c r="BQ187" s="21">
        <f>EXP(-LN(2)/25)*BQ186+(1-EXP(-LN(2)/25))/(LN(2)/25)*Calculateur!BL187*Calculateur!BN187*VLOOKUP('Données projet'!$B$11,Paramètres!$A$1:$I$89,3,0)*0.475*44/12</f>
        <v>25.037020650556091</v>
      </c>
      <c r="BR187" s="21">
        <f>EXP(-LN(2)/2)*BR186+(1-EXP(-LN(2)/2))/(LN(2)/2)*BL187*BO187*VLOOKUP('Données projet'!$B$11,Paramètres!$A$1:$I$89,3,0)*0.475*44/12</f>
        <v>7.5127704464093537</v>
      </c>
      <c r="BS187" s="22">
        <f t="shared" si="169"/>
        <v>183.65836408994377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8.5265128291212022E-14</v>
      </c>
      <c r="BZ187" s="13">
        <f>BY187*VLOOKUP('Données projet'!$B$12,Paramètres!$A$1:$I$89,3,0)*VLOOKUP('Données projet'!$B$12,Paramètres!$A$1:$I$89,5,0)</f>
        <v>8.9119112089974823E-14</v>
      </c>
      <c r="CA187" s="13">
        <f t="shared" si="170"/>
        <v>1.3568952080113142E-12</v>
      </c>
      <c r="CB187" s="20">
        <f t="shared" si="171"/>
        <v>2.5184749408430782E-12</v>
      </c>
      <c r="CC187" s="59">
        <f t="shared" si="119"/>
        <v>289.67078632610924</v>
      </c>
      <c r="CD187" s="59">
        <f ca="1">AVERAGE(OFFSET($CC$3,0,0,'Données projet'!$E$12+1,1))-AVERAGE(OFFSET($H$3,0,0,'Données projet'!$E$12+1,1))</f>
        <v>290.69667785754848</v>
      </c>
      <c r="CE187" s="59">
        <f t="shared" si="148"/>
        <v>256.28124185489082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3.3723330157954807</v>
      </c>
      <c r="CL187" s="21">
        <f>EXP(-LN(2)/25)*CL186+(1-EXP(-LN(2)/25))/(LN(2)/25)*Calculateur!CG187*Calculateur!CI187*VLOOKUP('Données projet'!$B$12,Paramètres!$A$1:$I$89,3,0)*0.475*44/12</f>
        <v>4.4263105095146917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7.7986435253101725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408.246209980743</v>
      </c>
      <c r="CZ187" s="59">
        <f t="shared" si="150"/>
        <v>394.10236303013903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7.2775038166259867</v>
      </c>
      <c r="DG187" s="21">
        <f>EXP(-LN(2)/25)*DG186+(1-EXP(-LN(2)/25))/(LN(2)/25)*Calculateur!DB187*Calculateur!DD187*VLOOKUP('Données projet'!$B$13,Paramètres!$A$1:$I$89,3,0)*0.475*44/12</f>
        <v>3.1524733442572916</v>
      </c>
      <c r="DH187" s="21">
        <f>EXP(-LN(2)/2)*DH186+(1-EXP(-LN(2)/2))/(LN(2)/2)*DB187*DE187*VLOOKUP('Données projet'!$B$13,Paramètres!$A$1:$I$89,3,0)*0.475*44/12</f>
        <v>1.521917227295813E-14</v>
      </c>
      <c r="DI187" s="22">
        <f t="shared" si="175"/>
        <v>10.429977160883295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5.6843418860808015E-13</v>
      </c>
      <c r="DP187" s="17">
        <f>DO187*VLOOKUP('Données projet'!$B$14,Paramètres!$A$1:$I$89,3,0)*VLOOKUP('Données projet'!$B$14,Paramètres!$A$1:$I$89,5,0)</f>
        <v>3.177547114319168E-13</v>
      </c>
      <c r="DQ187" s="13">
        <f t="shared" si="176"/>
        <v>4.1725404435445377E-12</v>
      </c>
      <c r="DR187" s="20">
        <f t="shared" si="177"/>
        <v>7.820597394917325E-12</v>
      </c>
      <c r="DS187" s="59">
        <f t="shared" si="125"/>
        <v>289.67078632611458</v>
      </c>
      <c r="DT187" s="59">
        <f ca="1">AVERAGE(OFFSET($DS$3,0,0,'Données projet'!$E$14+1,1))-AVERAGE(OFFSET($H$3,0,0,'Données projet'!$E$14+1,1))</f>
        <v>407.05634973057056</v>
      </c>
      <c r="DU187" s="59">
        <f t="shared" si="152"/>
        <v>375.32891954889965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24.13468284924727</v>
      </c>
      <c r="EB187" s="21">
        <f>EXP(-LN(2)/25)*EB186+(1-EXP(-LN(2)/25))/(LN(2)/25)*Calculateur!DW187*Calculateur!DY187*VLOOKUP('Données projet'!$B$14,Paramètres!$A$1:$I$89,3,0)*0.475*44/12</f>
        <v>3.2540420844250879</v>
      </c>
      <c r="EC187" s="21">
        <f>EXP(-LN(2)/2)*EC186+(1-EXP(-LN(2)/2))/(LN(2)/2)*DW187*DZ187*VLOOKUP('Données projet'!$B$14,Paramètres!$A$1:$I$89,3,0)*0.475*44/12</f>
        <v>5.2392482243493402E-16</v>
      </c>
      <c r="ED187" s="22">
        <f t="shared" si="178"/>
        <v>27.388724933672357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1.1368683772161603E-13</v>
      </c>
      <c r="EK187" s="17">
        <f>EJ187*VLOOKUP('Données projet'!$B$15,Paramètres!$A$1:$I$89,3,0)*VLOOKUP('Données projet'!$B$15,Paramètres!$A$1:$I$89,5,0)</f>
        <v>5.0249582272954292E-14</v>
      </c>
      <c r="EL187" s="13">
        <f t="shared" si="179"/>
        <v>8.1784820119191593E-13</v>
      </c>
      <c r="EM187" s="20">
        <f t="shared" si="180"/>
        <v>1.5119369728679821E-12</v>
      </c>
      <c r="EN187" s="59">
        <f t="shared" si="128"/>
        <v>289.67078632610827</v>
      </c>
      <c r="EO187" s="59">
        <f ca="1">AVERAGE(OFFSET($EN$3,0,0,'Données projet'!$E$15+1,1))-AVERAGE(OFFSET($H$3,0,0,'Données projet'!$E$15+1,1))</f>
        <v>418.28022549686278</v>
      </c>
      <c r="EP187" s="59">
        <f t="shared" si="154"/>
        <v>354.55070454517158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26.345829367736634</v>
      </c>
      <c r="EW187" s="21">
        <f>EXP(-LN(2)/25)*EW186+(1-EXP(-LN(2)/25))/(LN(2)/25)*Calculateur!ER187*Calculateur!ET187*VLOOKUP('Données projet'!$B$15,Paramètres!$A$1:$I$89,3,0)*0.475*44/12</f>
        <v>4.0217908225417647</v>
      </c>
      <c r="EX187" s="21">
        <f>EXP(-LN(2)/2)*EX186+(1-EXP(-LN(2)/2))/(LN(2)/2)*ER187*EU187*VLOOKUP('Données projet'!$B$15,Paramètres!$A$1:$I$89,3,0)*0.475*44/12</f>
        <v>1.7453569960040985E-14</v>
      </c>
      <c r="EY187" s="22">
        <f t="shared" si="181"/>
        <v>30.367620190278416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>
        <f>VLOOKUP(A187,'Données projet'!$A$217:$I$237,2,0)</f>
        <v>300.14</v>
      </c>
      <c r="FC187" s="12">
        <f>VLOOKUP(A187,'Données projet'!$A$217:$I$237,9,0)</f>
        <v>4.7974999999999994</v>
      </c>
      <c r="FD187" s="12">
        <f t="array" ref="FD187">INDEX(FC:FC,MIN(IF(ISNUMBER(FC187:FC383),ROW(FC187:FC383),"")))</f>
        <v>4.7974999999999994</v>
      </c>
      <c r="FE187" s="12">
        <f>IF('Données projet'!$A$218&gt;35,FE186+FD187-FM186,IF(A187&lt;'Données projet'!$A$218,$FB$205^A187,IF(A187='Données projet'!$A$218,'Données projet'!$B$218,FE186+FD187-FM186)))</f>
        <v>300.1399999999997</v>
      </c>
      <c r="FF187" s="17">
        <f>FE187*VLOOKUP('Données projet'!$B$16,Paramètres!$A$1:$I$89,3,0)*VLOOKUP('Données projet'!$B$16,Paramètres!$A$1:$I$89,5,0)</f>
        <v>341.79943199999968</v>
      </c>
      <c r="FG187" s="13">
        <f t="shared" si="182"/>
        <v>79.871606176734076</v>
      </c>
      <c r="FH187" s="20">
        <f t="shared" si="183"/>
        <v>734.41039149114465</v>
      </c>
      <c r="FI187" s="59">
        <f t="shared" si="131"/>
        <v>1024.0811778172515</v>
      </c>
      <c r="FJ187" s="59">
        <f ca="1">AVERAGE(OFFSET($FI$3,0,0,'Données projet'!$E$16+1,1))-AVERAGE(OFFSET($H$3,0,0,'Données projet'!$E$16+1,1))</f>
        <v>640.05156427113661</v>
      </c>
      <c r="FK187" s="59">
        <f t="shared" si="156"/>
        <v>308.77220155372902</v>
      </c>
      <c r="FL187" s="15">
        <f>IF(ISNA(VLOOKUP(A187,'Données projet'!$A$217:$I$237,3,0)),0,VLOOKUP(A187,'Données projet'!$A$217:$I$237,3,0))</f>
        <v>14</v>
      </c>
      <c r="FM187" s="15">
        <f>IF(ISNA(VLOOKUP(A187,'Données projet'!$A$217:$I$237,4,0)),0,VLOOKUP(A187,'Données projet'!$A$217:$I$237,4,0))</f>
        <v>101.19999999999999</v>
      </c>
      <c r="FN187" s="16">
        <f>IF(ISNA(VLOOKUP(A187,'Données projet'!$A$217:$I$237,5,0)),0%,VLOOKUP(A187,'Données projet'!$A$217:$I$237,5,0)*VLOOKUP('Données projet'!$B$16,Paramètres!$A$1:$I$89,7,0))</f>
        <v>0.215</v>
      </c>
      <c r="FO187" s="16">
        <f>IF(ISNA(VLOOKUP(A187,'Données projet'!$A$217:$I$237,6,0)),0%,VLOOKUP(A187,'Données projet'!$A$217:$I$237,6,0)*VLOOKUP('Données projet'!$B$16,Paramètres!$A$1:$I$89,7,0))</f>
        <v>8.6000000000000007E-2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112.50689692257995</v>
      </c>
      <c r="FR187" s="21">
        <f>EXP(-LN(2)/25)*FR186+(1-EXP(-LN(2)/25))/(LN(2)/25)*Calculateur!FM187*Calculateur!FO187*VLOOKUP('Données projet'!$B$16,Paramètres!$A$1:$I$89,3,0)*0.475*44/12</f>
        <v>44.613263896728441</v>
      </c>
      <c r="FS187" s="21">
        <f>EXP(-LN(2)/2)*FS186+(1-EXP(-LN(2)/2))/(LN(2)/2)*FM187*FP187*VLOOKUP('Données projet'!$B$16,Paramètres!$A$1:$I$89,3,0)*0.475*44/12</f>
        <v>6.3259832655922503E-6</v>
      </c>
      <c r="FT187" s="22">
        <f t="shared" si="184"/>
        <v>157.12016714529167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289.73432332845573</v>
      </c>
      <c r="S188" s="59">
        <f ca="1">AVERAGE(OFFSET($R$3,0,0,'Données projet'!$E$9+1,1))-AVERAGE(OFFSET($H$3,0,0,'Données projet'!$E$9+1,1))</f>
        <v>318.50474972254085</v>
      </c>
      <c r="T188" s="59">
        <f t="shared" si="142"/>
        <v>326.45858332753562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11.681497527836909</v>
      </c>
      <c r="AA188" s="21">
        <f>EXP(-LN(2)/25)*AA187+(1-EXP(-LN(2)/25))/(LN(2)/25)*Calculateur!V188*Calculateur!X188*VLOOKUP('Données projet'!$B$9,Paramètres!$A$1:$I$89,3,0)*0.475*44/12</f>
        <v>1.5137661801203839</v>
      </c>
      <c r="AB188" s="21">
        <f>EXP(-LN(2)/2)*AB187+(1-EXP(-LN(2)/2))/(LN(2)/2)*V188*Y188*VLOOKUP('Données projet'!$B$9,Paramètres!$A$1:$I$89,3,0)*0.475*44/12</f>
        <v>9.1938485535884458E-18</v>
      </c>
      <c r="AC188" s="22">
        <f t="shared" si="163"/>
        <v>13.195263707957292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1.7053025658242404E-13</v>
      </c>
      <c r="AJ188" s="13">
        <f>AI188*VLOOKUP('Données projet'!$B$10,Paramètres!$A$1:$I$89,3,0)*VLOOKUP('Données projet'!$B$10,Paramètres!$A$1:$I$89,5,0)</f>
        <v>7.9808160080574461E-14</v>
      </c>
      <c r="AK188" s="13">
        <f t="shared" si="164"/>
        <v>1.2308384591775343E-12</v>
      </c>
      <c r="AL188" s="20">
        <f t="shared" si="165"/>
        <v>2.282709528541206E-12</v>
      </c>
      <c r="AM188" s="59">
        <f t="shared" si="113"/>
        <v>289.73432332845601</v>
      </c>
      <c r="AN188" s="59">
        <f ca="1">AVERAGE(OFFSET($AM$3,0,0,'Données projet'!$E$10+1,1))-AVERAGE(OFFSET($H$3,0,0,'Données projet'!$E$10+1,1))</f>
        <v>374.38106339726073</v>
      </c>
      <c r="AO188" s="59">
        <f t="shared" si="144"/>
        <v>296.53283288925957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49.919772870786872</v>
      </c>
      <c r="AV188" s="21">
        <f>EXP(-LN(2)/25)*AV187+(1-EXP(-LN(2)/25))/(LN(2)/25)*Calculateur!AQ188*Calculateur!AS188*VLOOKUP('Données projet'!$B$10,Paramètres!$A$1:$I$89,3,0)*0.475*44/12</f>
        <v>10.049587188176668</v>
      </c>
      <c r="AW188" s="21">
        <f>EXP(-LN(2)/2)*AW187+(1-EXP(-LN(2)/2))/(LN(2)/2)*AQ188*AT188*VLOOKUP('Données projet'!$B$10,Paramètres!$A$1:$I$89,3,0)*0.475*44/12</f>
        <v>2.4146328624024104E-7</v>
      </c>
      <c r="AX188" s="21">
        <f t="shared" si="166"/>
        <v>59.969360300426821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7.9580786405131221E-13</v>
      </c>
      <c r="BE188" s="13">
        <f>BD188*VLOOKUP('Données projet'!$B$11,Paramètres!$A$1:$I$89,3,0)*VLOOKUP('Données projet'!$B$11,Paramètres!$A$1:$I$89,5,0)</f>
        <v>7.2004695539362725E-13</v>
      </c>
      <c r="BF188" s="13">
        <f t="shared" si="167"/>
        <v>8.5963894794935589E-12</v>
      </c>
      <c r="BG188" s="20">
        <f t="shared" si="168"/>
        <v>1.6226126790761848E-11</v>
      </c>
      <c r="BH188" s="59">
        <f t="shared" si="116"/>
        <v>289.73432332846994</v>
      </c>
      <c r="BI188" s="59">
        <f ca="1">AVERAGE(OFFSET($BH$3,0,0,'Données projet'!$E$11+1,1))-AVERAGE(OFFSET($H$3,0,0,'Données projet'!$E$11+1,1))</f>
        <v>681.47578137804555</v>
      </c>
      <c r="BJ188" s="59">
        <f t="shared" si="146"/>
        <v>300.88511065995885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148.14542604371482</v>
      </c>
      <c r="BQ188" s="21">
        <f>EXP(-LN(2)/25)*BQ187+(1-EXP(-LN(2)/25))/(LN(2)/25)*Calculateur!BL188*Calculateur!BN188*VLOOKUP('Données projet'!$B$11,Paramètres!$A$1:$I$89,3,0)*0.475*44/12</f>
        <v>24.352382004226943</v>
      </c>
      <c r="BR188" s="21">
        <f>EXP(-LN(2)/2)*BR187+(1-EXP(-LN(2)/2))/(LN(2)/2)*BL188*BO188*VLOOKUP('Données projet'!$B$11,Paramètres!$A$1:$I$89,3,0)*0.475*44/12</f>
        <v>5.3123309281539406</v>
      </c>
      <c r="BS188" s="22">
        <f t="shared" si="169"/>
        <v>177.81013897609569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8.5265128291212022E-14</v>
      </c>
      <c r="BZ188" s="13">
        <f>BY188*VLOOKUP('Données projet'!$B$12,Paramètres!$A$1:$I$89,3,0)*VLOOKUP('Données projet'!$B$12,Paramètres!$A$1:$I$89,5,0)</f>
        <v>8.9119112089974823E-14</v>
      </c>
      <c r="CA188" s="13">
        <f t="shared" si="170"/>
        <v>1.3568952080113142E-12</v>
      </c>
      <c r="CB188" s="20">
        <f t="shared" si="171"/>
        <v>2.5184749408430782E-12</v>
      </c>
      <c r="CC188" s="59">
        <f t="shared" si="119"/>
        <v>289.73432332845624</v>
      </c>
      <c r="CD188" s="59">
        <f ca="1">AVERAGE(OFFSET($CC$3,0,0,'Données projet'!$E$12+1,1))-AVERAGE(OFFSET($H$3,0,0,'Données projet'!$E$12+1,1))</f>
        <v>290.69667785754848</v>
      </c>
      <c r="CE188" s="59">
        <f t="shared" si="148"/>
        <v>256.28124185489082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3.3062036222757669</v>
      </c>
      <c r="CL188" s="21">
        <f>EXP(-LN(2)/25)*CL187+(1-EXP(-LN(2)/25))/(LN(2)/25)*Calculateur!CG188*Calculateur!CI188*VLOOKUP('Données projet'!$B$12,Paramètres!$A$1:$I$89,3,0)*0.475*44/12</f>
        <v>4.3052728158624589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7.6114764381382258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408.246209980743</v>
      </c>
      <c r="CZ188" s="59">
        <f t="shared" si="150"/>
        <v>394.10236303013903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7.1347964056209801</v>
      </c>
      <c r="DG188" s="21">
        <f>EXP(-LN(2)/25)*DG187+(1-EXP(-LN(2)/25))/(LN(2)/25)*Calculateur!DB188*Calculateur!DD188*VLOOKUP('Données projet'!$B$13,Paramètres!$A$1:$I$89,3,0)*0.475*44/12</f>
        <v>3.066268794877208</v>
      </c>
      <c r="DH188" s="21">
        <f>EXP(-LN(2)/2)*DH187+(1-EXP(-LN(2)/2))/(LN(2)/2)*DB188*DE188*VLOOKUP('Données projet'!$B$13,Paramètres!$A$1:$I$89,3,0)*0.475*44/12</f>
        <v>1.0761579918254976E-14</v>
      </c>
      <c r="DI188" s="22">
        <f t="shared" si="175"/>
        <v>10.201065200498199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5.6843418860808015E-13</v>
      </c>
      <c r="DP188" s="17">
        <f>DO188*VLOOKUP('Données projet'!$B$14,Paramètres!$A$1:$I$89,3,0)*VLOOKUP('Données projet'!$B$14,Paramètres!$A$1:$I$89,5,0)</f>
        <v>3.177547114319168E-13</v>
      </c>
      <c r="DQ188" s="13">
        <f t="shared" si="176"/>
        <v>4.1725404435445377E-12</v>
      </c>
      <c r="DR188" s="20">
        <f t="shared" si="177"/>
        <v>7.820597394917325E-12</v>
      </c>
      <c r="DS188" s="59">
        <f t="shared" si="125"/>
        <v>289.73432332846158</v>
      </c>
      <c r="DT188" s="59">
        <f ca="1">AVERAGE(OFFSET($DS$3,0,0,'Données projet'!$E$14+1,1))-AVERAGE(OFFSET($H$3,0,0,'Données projet'!$E$14+1,1))</f>
        <v>407.05634973057056</v>
      </c>
      <c r="DU188" s="59">
        <f t="shared" si="152"/>
        <v>375.32891954889965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23.661416439276518</v>
      </c>
      <c r="EB188" s="21">
        <f>EXP(-LN(2)/25)*EB187+(1-EXP(-LN(2)/25))/(LN(2)/25)*Calculateur!DW188*Calculateur!DY188*VLOOKUP('Données projet'!$B$14,Paramètres!$A$1:$I$89,3,0)*0.475*44/12</f>
        <v>3.1650601325038479</v>
      </c>
      <c r="EC188" s="21">
        <f>EXP(-LN(2)/2)*EC187+(1-EXP(-LN(2)/2))/(LN(2)/2)*DW188*DZ188*VLOOKUP('Données projet'!$B$14,Paramètres!$A$1:$I$89,3,0)*0.475*44/12</f>
        <v>3.7047079477569967E-16</v>
      </c>
      <c r="ED188" s="22">
        <f t="shared" si="178"/>
        <v>26.826476571780365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1.1368683772161603E-13</v>
      </c>
      <c r="EK188" s="17">
        <f>EJ188*VLOOKUP('Données projet'!$B$15,Paramètres!$A$1:$I$89,3,0)*VLOOKUP('Données projet'!$B$15,Paramètres!$A$1:$I$89,5,0)</f>
        <v>5.0249582272954292E-14</v>
      </c>
      <c r="EL188" s="13">
        <f t="shared" si="179"/>
        <v>8.1784820119191593E-13</v>
      </c>
      <c r="EM188" s="20">
        <f t="shared" si="180"/>
        <v>1.5119369728679821E-12</v>
      </c>
      <c r="EN188" s="59">
        <f t="shared" si="128"/>
        <v>289.73432332845528</v>
      </c>
      <c r="EO188" s="59">
        <f ca="1">AVERAGE(OFFSET($EN$3,0,0,'Données projet'!$E$15+1,1))-AVERAGE(OFFSET($H$3,0,0,'Données projet'!$E$15+1,1))</f>
        <v>418.28022549686278</v>
      </c>
      <c r="EP188" s="59">
        <f t="shared" si="154"/>
        <v>354.55070454517158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25.829203723204515</v>
      </c>
      <c r="EW188" s="21">
        <f>EXP(-LN(2)/25)*EW187+(1-EXP(-LN(2)/25))/(LN(2)/25)*Calculateur!ER188*Calculateur!ET188*VLOOKUP('Données projet'!$B$15,Paramètres!$A$1:$I$89,3,0)*0.475*44/12</f>
        <v>3.9118147410025728</v>
      </c>
      <c r="EX188" s="21">
        <f>EXP(-LN(2)/2)*EX187+(1-EXP(-LN(2)/2))/(LN(2)/2)*ER188*EU188*VLOOKUP('Données projet'!$B$15,Paramètres!$A$1:$I$89,3,0)*0.475*44/12</f>
        <v>1.23415376746588E-14</v>
      </c>
      <c r="EY188" s="22">
        <f t="shared" si="181"/>
        <v>29.741018464207098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3.0825000000000031</v>
      </c>
      <c r="FE188" s="12">
        <f>IF('Données projet'!$A$218&gt;35,FE187+FD188-FM187,IF(A188&lt;'Données projet'!$A$218,$FB$205^A188,IF(A188='Données projet'!$A$218,'Données projet'!$B$218,FE187+FD188-FM187)))</f>
        <v>202.0224999999997</v>
      </c>
      <c r="FF188" s="17">
        <f>FE188*VLOOKUP('Données projet'!$B$16,Paramètres!$A$1:$I$89,3,0)*VLOOKUP('Données projet'!$B$16,Paramètres!$A$1:$I$89,5,0)</f>
        <v>230.06322299999965</v>
      </c>
      <c r="FG188" s="13">
        <f t="shared" si="182"/>
        <v>56.296351603217715</v>
      </c>
      <c r="FH188" s="20">
        <f t="shared" si="183"/>
        <v>498.74292576727026</v>
      </c>
      <c r="FI188" s="59">
        <f t="shared" si="131"/>
        <v>788.47724909572401</v>
      </c>
      <c r="FJ188" s="59">
        <f ca="1">AVERAGE(OFFSET($FI$3,0,0,'Données projet'!$E$16+1,1))-AVERAGE(OFFSET($H$3,0,0,'Données projet'!$E$16+1,1))</f>
        <v>640.05156427113661</v>
      </c>
      <c r="FK188" s="59">
        <f t="shared" si="156"/>
        <v>308.77220155372902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110.30070529635938</v>
      </c>
      <c r="FR188" s="21">
        <f>EXP(-LN(2)/25)*FR187+(1-EXP(-LN(2)/25))/(LN(2)/25)*Calculateur!FM188*Calculateur!FO188*VLOOKUP('Données projet'!$B$16,Paramètres!$A$1:$I$89,3,0)*0.475*44/12</f>
        <v>43.393311849362817</v>
      </c>
      <c r="FS188" s="21">
        <f>EXP(-LN(2)/2)*FS187+(1-EXP(-LN(2)/2))/(LN(2)/2)*FM188*FP188*VLOOKUP('Données projet'!$B$16,Paramètres!$A$1:$I$89,3,0)*0.475*44/12</f>
        <v>4.4731456647729007E-6</v>
      </c>
      <c r="FT188" s="22">
        <f t="shared" si="184"/>
        <v>153.69402161886785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289.7967581058594</v>
      </c>
      <c r="S189" s="59">
        <f ca="1">AVERAGE(OFFSET($R$3,0,0,'Données projet'!$E$9+1,1))-AVERAGE(OFFSET($H$3,0,0,'Données projet'!$E$9+1,1))</f>
        <v>318.50474972254085</v>
      </c>
      <c r="T189" s="59">
        <f t="shared" si="142"/>
        <v>326.45858332753562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11.452430486325982</v>
      </c>
      <c r="AA189" s="21">
        <f>EXP(-LN(2)/25)*AA188+(1-EXP(-LN(2)/25))/(LN(2)/25)*Calculateur!V189*Calculateur!X189*VLOOKUP('Données projet'!$B$9,Paramètres!$A$1:$I$89,3,0)*0.475*44/12</f>
        <v>1.4723721643194883</v>
      </c>
      <c r="AB189" s="21">
        <f>EXP(-LN(2)/2)*AB188+(1-EXP(-LN(2)/2))/(LN(2)/2)*V189*Y189*VLOOKUP('Données projet'!$B$9,Paramètres!$A$1:$I$89,3,0)*0.475*44/12</f>
        <v>6.5010326574445217E-18</v>
      </c>
      <c r="AC189" s="22">
        <f t="shared" si="163"/>
        <v>12.92480265064547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1.7053025658242404E-13</v>
      </c>
      <c r="AJ189" s="13">
        <f>AI189*VLOOKUP('Données projet'!$B$10,Paramètres!$A$1:$I$89,3,0)*VLOOKUP('Données projet'!$B$10,Paramètres!$A$1:$I$89,5,0)</f>
        <v>7.9808160080574461E-14</v>
      </c>
      <c r="AK189" s="13">
        <f t="shared" si="164"/>
        <v>1.2308384591775343E-12</v>
      </c>
      <c r="AL189" s="20">
        <f t="shared" si="165"/>
        <v>2.282709528541206E-12</v>
      </c>
      <c r="AM189" s="59">
        <f t="shared" si="113"/>
        <v>289.79675810585968</v>
      </c>
      <c r="AN189" s="59">
        <f ca="1">AVERAGE(OFFSET($AM$3,0,0,'Données projet'!$E$10+1,1))-AVERAGE(OFFSET($H$3,0,0,'Données projet'!$E$10+1,1))</f>
        <v>374.38106339726073</v>
      </c>
      <c r="AO189" s="59">
        <f t="shared" si="144"/>
        <v>296.53283288925957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48.940876572845696</v>
      </c>
      <c r="AV189" s="21">
        <f>EXP(-LN(2)/25)*AV188+(1-EXP(-LN(2)/25))/(LN(2)/25)*Calculateur!AQ189*Calculateur!AS189*VLOOKUP('Données projet'!$B$10,Paramètres!$A$1:$I$89,3,0)*0.475*44/12</f>
        <v>9.7747806980311545</v>
      </c>
      <c r="AW189" s="21">
        <f>EXP(-LN(2)/2)*AW188+(1-EXP(-LN(2)/2))/(LN(2)/2)*AQ189*AT189*VLOOKUP('Données projet'!$B$10,Paramètres!$A$1:$I$89,3,0)*0.475*44/12</f>
        <v>1.7074032710806282E-7</v>
      </c>
      <c r="AX189" s="21">
        <f t="shared" si="166"/>
        <v>58.715657441617175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7.9580786405131221E-13</v>
      </c>
      <c r="BE189" s="13">
        <f>BD189*VLOOKUP('Données projet'!$B$11,Paramètres!$A$1:$I$89,3,0)*VLOOKUP('Données projet'!$B$11,Paramètres!$A$1:$I$89,5,0)</f>
        <v>7.2004695539362725E-13</v>
      </c>
      <c r="BF189" s="13">
        <f t="shared" si="167"/>
        <v>8.5963894794935589E-12</v>
      </c>
      <c r="BG189" s="20">
        <f t="shared" si="168"/>
        <v>1.6226126790761848E-11</v>
      </c>
      <c r="BH189" s="59">
        <f t="shared" si="116"/>
        <v>289.79675810587361</v>
      </c>
      <c r="BI189" s="59">
        <f ca="1">AVERAGE(OFFSET($BH$3,0,0,'Données projet'!$E$11+1,1))-AVERAGE(OFFSET($H$3,0,0,'Données projet'!$E$11+1,1))</f>
        <v>681.47578137804555</v>
      </c>
      <c r="BJ189" s="59">
        <f t="shared" si="146"/>
        <v>300.88511065995885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145.24038459878517</v>
      </c>
      <c r="BQ189" s="21">
        <f>EXP(-LN(2)/25)*BQ188+(1-EXP(-LN(2)/25))/(LN(2)/25)*Calculateur!BL189*Calculateur!BN189*VLOOKUP('Données projet'!$B$11,Paramètres!$A$1:$I$89,3,0)*0.475*44/12</f>
        <v>23.686464837685246</v>
      </c>
      <c r="BR189" s="21">
        <f>EXP(-LN(2)/2)*BR188+(1-EXP(-LN(2)/2))/(LN(2)/2)*BL189*BO189*VLOOKUP('Données projet'!$B$11,Paramètres!$A$1:$I$89,3,0)*0.475*44/12</f>
        <v>3.7563852232046777</v>
      </c>
      <c r="BS189" s="22">
        <f t="shared" si="169"/>
        <v>172.68323465967509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8.5265128291212022E-14</v>
      </c>
      <c r="BZ189" s="13">
        <f>BY189*VLOOKUP('Données projet'!$B$12,Paramètres!$A$1:$I$89,3,0)*VLOOKUP('Données projet'!$B$12,Paramètres!$A$1:$I$89,5,0)</f>
        <v>8.9119112089974823E-14</v>
      </c>
      <c r="CA189" s="13">
        <f t="shared" si="170"/>
        <v>1.3568952080113142E-12</v>
      </c>
      <c r="CB189" s="20">
        <f t="shared" si="171"/>
        <v>2.5184749408430782E-12</v>
      </c>
      <c r="CC189" s="59">
        <f t="shared" si="119"/>
        <v>289.79675810585991</v>
      </c>
      <c r="CD189" s="59">
        <f ca="1">AVERAGE(OFFSET($CC$3,0,0,'Données projet'!$E$12+1,1))-AVERAGE(OFFSET($H$3,0,0,'Données projet'!$E$12+1,1))</f>
        <v>290.69667785754848</v>
      </c>
      <c r="CE189" s="59">
        <f t="shared" si="148"/>
        <v>256.28124185489082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3.2413709858280275</v>
      </c>
      <c r="CL189" s="21">
        <f>EXP(-LN(2)/25)*CL188+(1-EXP(-LN(2)/25))/(LN(2)/25)*Calculateur!CG189*Calculateur!CI189*VLOOKUP('Données projet'!$B$12,Paramètres!$A$1:$I$89,3,0)*0.475*44/12</f>
        <v>4.1875449043082424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7.4289158901362704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408.246209980743</v>
      </c>
      <c r="CZ189" s="59">
        <f t="shared" si="150"/>
        <v>394.10236303013903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6.994887399902856</v>
      </c>
      <c r="DG189" s="21">
        <f>EXP(-LN(2)/25)*DG188+(1-EXP(-LN(2)/25))/(LN(2)/25)*Calculateur!DB189*Calculateur!DD189*VLOOKUP('Données projet'!$B$13,Paramètres!$A$1:$I$89,3,0)*0.475*44/12</f>
        <v>2.982421513433223</v>
      </c>
      <c r="DH189" s="21">
        <f>EXP(-LN(2)/2)*DH188+(1-EXP(-LN(2)/2))/(LN(2)/2)*DB189*DE189*VLOOKUP('Données projet'!$B$13,Paramètres!$A$1:$I$89,3,0)*0.475*44/12</f>
        <v>7.6095861364790651E-15</v>
      </c>
      <c r="DI189" s="22">
        <f t="shared" si="175"/>
        <v>9.9773089133360866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5.6843418860808015E-13</v>
      </c>
      <c r="DP189" s="17">
        <f>DO189*VLOOKUP('Données projet'!$B$14,Paramètres!$A$1:$I$89,3,0)*VLOOKUP('Données projet'!$B$14,Paramètres!$A$1:$I$89,5,0)</f>
        <v>3.177547114319168E-13</v>
      </c>
      <c r="DQ189" s="13">
        <f t="shared" si="176"/>
        <v>4.1725404435445377E-12</v>
      </c>
      <c r="DR189" s="20">
        <f t="shared" si="177"/>
        <v>7.820597394917325E-12</v>
      </c>
      <c r="DS189" s="59">
        <f t="shared" si="125"/>
        <v>289.79675810586525</v>
      </c>
      <c r="DT189" s="59">
        <f ca="1">AVERAGE(OFFSET($DS$3,0,0,'Données projet'!$E$14+1,1))-AVERAGE(OFFSET($H$3,0,0,'Données projet'!$E$14+1,1))</f>
        <v>407.05634973057056</v>
      </c>
      <c r="DU189" s="59">
        <f t="shared" si="152"/>
        <v>375.32891954889965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23.197430494941287</v>
      </c>
      <c r="EB189" s="21">
        <f>EXP(-LN(2)/25)*EB188+(1-EXP(-LN(2)/25))/(LN(2)/25)*Calculateur!DW189*Calculateur!DY189*VLOOKUP('Données projet'!$B$14,Paramètres!$A$1:$I$89,3,0)*0.475*44/12</f>
        <v>3.0785113967372517</v>
      </c>
      <c r="EC189" s="21">
        <f>EXP(-LN(2)/2)*EC188+(1-EXP(-LN(2)/2))/(LN(2)/2)*DW189*DZ189*VLOOKUP('Données projet'!$B$14,Paramètres!$A$1:$I$89,3,0)*0.475*44/12</f>
        <v>2.6196241121746701E-16</v>
      </c>
      <c r="ED189" s="22">
        <f t="shared" si="178"/>
        <v>26.275941891678539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1.1368683772161603E-13</v>
      </c>
      <c r="EK189" s="17">
        <f>EJ189*VLOOKUP('Données projet'!$B$15,Paramètres!$A$1:$I$89,3,0)*VLOOKUP('Données projet'!$B$15,Paramètres!$A$1:$I$89,5,0)</f>
        <v>5.0249582272954292E-14</v>
      </c>
      <c r="EL189" s="13">
        <f t="shared" si="179"/>
        <v>8.1784820119191593E-13</v>
      </c>
      <c r="EM189" s="20">
        <f t="shared" si="180"/>
        <v>1.5119369728679821E-12</v>
      </c>
      <c r="EN189" s="59">
        <f t="shared" si="128"/>
        <v>289.79675810585894</v>
      </c>
      <c r="EO189" s="59">
        <f ca="1">AVERAGE(OFFSET($EN$3,0,0,'Données projet'!$E$15+1,1))-AVERAGE(OFFSET($H$3,0,0,'Données projet'!$E$15+1,1))</f>
        <v>418.28022549686278</v>
      </c>
      <c r="EP189" s="59">
        <f t="shared" si="154"/>
        <v>354.55070454517158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25.322708792451142</v>
      </c>
      <c r="EW189" s="21">
        <f>EXP(-LN(2)/25)*EW188+(1-EXP(-LN(2)/25))/(LN(2)/25)*Calculateur!ER189*Calculateur!ET189*VLOOKUP('Données projet'!$B$15,Paramètres!$A$1:$I$89,3,0)*0.475*44/12</f>
        <v>3.8048459611964609</v>
      </c>
      <c r="EX189" s="21">
        <f>EXP(-LN(2)/2)*EX188+(1-EXP(-LN(2)/2))/(LN(2)/2)*ER189*EU189*VLOOKUP('Données projet'!$B$15,Paramètres!$A$1:$I$89,3,0)*0.475*44/12</f>
        <v>8.7267849800204923E-15</v>
      </c>
      <c r="EY189" s="22">
        <f t="shared" si="181"/>
        <v>29.127554753647608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3.0825000000000031</v>
      </c>
      <c r="FE189" s="12">
        <f>IF('Données projet'!$A$218&gt;35,FE188+FD189-FM188,IF(A189&lt;'Données projet'!$A$218,$FB$205^A189,IF(A189='Données projet'!$A$218,'Données projet'!$B$218,FE188+FD189-FM188)))</f>
        <v>205.10499999999971</v>
      </c>
      <c r="FF189" s="17">
        <f>FE189*VLOOKUP('Données projet'!$B$16,Paramètres!$A$1:$I$89,3,0)*VLOOKUP('Données projet'!$B$16,Paramètres!$A$1:$I$89,5,0)</f>
        <v>233.57357399999967</v>
      </c>
      <c r="FG189" s="13">
        <f t="shared" si="182"/>
        <v>57.054677066881858</v>
      </c>
      <c r="FH189" s="20">
        <f t="shared" si="183"/>
        <v>506.17753727481869</v>
      </c>
      <c r="FI189" s="59">
        <f t="shared" si="131"/>
        <v>795.97429538067604</v>
      </c>
      <c r="FJ189" s="59">
        <f ca="1">AVERAGE(OFFSET($FI$3,0,0,'Données projet'!$E$16+1,1))-AVERAGE(OFFSET($H$3,0,0,'Données projet'!$E$16+1,1))</f>
        <v>640.05156427113661</v>
      </c>
      <c r="FK189" s="59">
        <f t="shared" si="156"/>
        <v>308.77220155372902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108.13777574228497</v>
      </c>
      <c r="FR189" s="21">
        <f>EXP(-LN(2)/25)*FR188+(1-EXP(-LN(2)/25))/(LN(2)/25)*Calculateur!FM189*Calculateur!FO189*VLOOKUP('Données projet'!$B$16,Paramètres!$A$1:$I$89,3,0)*0.475*44/12</f>
        <v>42.206719454886894</v>
      </c>
      <c r="FS189" s="21">
        <f>EXP(-LN(2)/2)*FS188+(1-EXP(-LN(2)/2))/(LN(2)/2)*FM189*FP189*VLOOKUP('Données projet'!$B$16,Paramètres!$A$1:$I$89,3,0)*0.475*44/12</f>
        <v>3.1629916327961252E-6</v>
      </c>
      <c r="FT189" s="22">
        <f t="shared" si="184"/>
        <v>150.3444983601635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289.8581097794584</v>
      </c>
      <c r="S190" s="59">
        <f ca="1">AVERAGE(OFFSET($R$3,0,0,'Données projet'!$E$9+1,1))-AVERAGE(OFFSET($H$3,0,0,'Données projet'!$E$9+1,1))</f>
        <v>318.50474972254085</v>
      </c>
      <c r="T190" s="59">
        <f t="shared" si="142"/>
        <v>326.45858332753562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11.227855309781985</v>
      </c>
      <c r="AA190" s="21">
        <f>EXP(-LN(2)/25)*AA189+(1-EXP(-LN(2)/25))/(LN(2)/25)*Calculateur!V190*Calculateur!X190*VLOOKUP('Données projet'!$B$9,Paramètres!$A$1:$I$89,3,0)*0.475*44/12</f>
        <v>1.4321100700574849</v>
      </c>
      <c r="AB190" s="21">
        <f>EXP(-LN(2)/2)*AB189+(1-EXP(-LN(2)/2))/(LN(2)/2)*V190*Y190*VLOOKUP('Données projet'!$B$9,Paramètres!$A$1:$I$89,3,0)*0.475*44/12</f>
        <v>4.5969242767942229E-18</v>
      </c>
      <c r="AC190" s="22">
        <f t="shared" si="163"/>
        <v>12.65996537983947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1.7053025658242404E-13</v>
      </c>
      <c r="AJ190" s="13">
        <f>AI190*VLOOKUP('Données projet'!$B$10,Paramètres!$A$1:$I$89,3,0)*VLOOKUP('Données projet'!$B$10,Paramètres!$A$1:$I$89,5,0)</f>
        <v>7.9808160080574461E-14</v>
      </c>
      <c r="AK190" s="13">
        <f t="shared" si="164"/>
        <v>1.2308384591775343E-12</v>
      </c>
      <c r="AL190" s="20">
        <f t="shared" si="165"/>
        <v>2.282709528541206E-12</v>
      </c>
      <c r="AM190" s="59">
        <f t="shared" si="113"/>
        <v>289.85810977945869</v>
      </c>
      <c r="AN190" s="59">
        <f ca="1">AVERAGE(OFFSET($AM$3,0,0,'Données projet'!$E$10+1,1))-AVERAGE(OFFSET($H$3,0,0,'Données projet'!$E$10+1,1))</f>
        <v>374.38106339726073</v>
      </c>
      <c r="AO190" s="59">
        <f t="shared" si="144"/>
        <v>296.53283288925957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47.981175834239359</v>
      </c>
      <c r="AV190" s="21">
        <f>EXP(-LN(2)/25)*AV189+(1-EXP(-LN(2)/25))/(LN(2)/25)*Calculateur!AQ190*Calculateur!AS190*VLOOKUP('Données projet'!$B$10,Paramètres!$A$1:$I$89,3,0)*0.475*44/12</f>
        <v>9.5074888058101159</v>
      </c>
      <c r="AW190" s="21">
        <f>EXP(-LN(2)/2)*AW189+(1-EXP(-LN(2)/2))/(LN(2)/2)*AQ190*AT190*VLOOKUP('Données projet'!$B$10,Paramètres!$A$1:$I$89,3,0)*0.475*44/12</f>
        <v>1.2073164312012052E-7</v>
      </c>
      <c r="AX190" s="21">
        <f t="shared" si="166"/>
        <v>57.48866476078112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7.9580786405131221E-13</v>
      </c>
      <c r="BE190" s="13">
        <f>BD190*VLOOKUP('Données projet'!$B$11,Paramètres!$A$1:$I$89,3,0)*VLOOKUP('Données projet'!$B$11,Paramètres!$A$1:$I$89,5,0)</f>
        <v>7.2004695539362725E-13</v>
      </c>
      <c r="BF190" s="13">
        <f t="shared" si="167"/>
        <v>8.5963894794935589E-12</v>
      </c>
      <c r="BG190" s="20">
        <f t="shared" si="168"/>
        <v>1.6226126790761848E-11</v>
      </c>
      <c r="BH190" s="59">
        <f t="shared" si="116"/>
        <v>289.85810977947261</v>
      </c>
      <c r="BI190" s="59">
        <f ca="1">AVERAGE(OFFSET($BH$3,0,0,'Données projet'!$E$11+1,1))-AVERAGE(OFFSET($H$3,0,0,'Données projet'!$E$11+1,1))</f>
        <v>681.47578137804555</v>
      </c>
      <c r="BJ190" s="59">
        <f t="shared" si="146"/>
        <v>300.88511065995885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142.39230924469027</v>
      </c>
      <c r="BQ190" s="21">
        <f>EXP(-LN(2)/25)*BQ189+(1-EXP(-LN(2)/25))/(LN(2)/25)*Calculateur!BL190*Calculateur!BN190*VLOOKUP('Données projet'!$B$11,Paramètres!$A$1:$I$89,3,0)*0.475*44/12</f>
        <v>23.038757211081695</v>
      </c>
      <c r="BR190" s="21">
        <f>EXP(-LN(2)/2)*BR189+(1-EXP(-LN(2)/2))/(LN(2)/2)*BL190*BO190*VLOOKUP('Données projet'!$B$11,Paramètres!$A$1:$I$89,3,0)*0.475*44/12</f>
        <v>2.6561654640769707</v>
      </c>
      <c r="BS190" s="22">
        <f t="shared" si="169"/>
        <v>168.08723191984893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8.5265128291212022E-14</v>
      </c>
      <c r="BZ190" s="13">
        <f>BY190*VLOOKUP('Données projet'!$B$12,Paramètres!$A$1:$I$89,3,0)*VLOOKUP('Données projet'!$B$12,Paramètres!$A$1:$I$89,5,0)</f>
        <v>8.9119112089974823E-14</v>
      </c>
      <c r="CA190" s="13">
        <f t="shared" si="170"/>
        <v>1.3568952080113142E-12</v>
      </c>
      <c r="CB190" s="20">
        <f t="shared" si="171"/>
        <v>2.5184749408430782E-12</v>
      </c>
      <c r="CC190" s="59">
        <f t="shared" si="119"/>
        <v>289.85810977945891</v>
      </c>
      <c r="CD190" s="59">
        <f ca="1">AVERAGE(OFFSET($CC$3,0,0,'Données projet'!$E$12+1,1))-AVERAGE(OFFSET($H$3,0,0,'Données projet'!$E$12+1,1))</f>
        <v>290.69667785754848</v>
      </c>
      <c r="CE190" s="59">
        <f t="shared" si="148"/>
        <v>256.28124185489082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3.1778096778370246</v>
      </c>
      <c r="CL190" s="21">
        <f>EXP(-LN(2)/25)*CL189+(1-EXP(-LN(2)/25))/(LN(2)/25)*Calculateur!CG190*Calculateur!CI190*VLOOKUP('Données projet'!$B$12,Paramètres!$A$1:$I$89,3,0)*0.475*44/12</f>
        <v>4.0730362686865176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7.2508459465235422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408.246209980743</v>
      </c>
      <c r="CZ190" s="59">
        <f t="shared" si="150"/>
        <v>394.10236303013903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6.8577219244507974</v>
      </c>
      <c r="DG190" s="21">
        <f>EXP(-LN(2)/25)*DG189+(1-EXP(-LN(2)/25))/(LN(2)/25)*Calculateur!DB190*Calculateur!DD190*VLOOKUP('Données projet'!$B$13,Paramètres!$A$1:$I$89,3,0)*0.475*44/12</f>
        <v>2.9008670403096604</v>
      </c>
      <c r="DH190" s="21">
        <f>EXP(-LN(2)/2)*DH189+(1-EXP(-LN(2)/2))/(LN(2)/2)*DB190*DE190*VLOOKUP('Données projet'!$B$13,Paramètres!$A$1:$I$89,3,0)*0.475*44/12</f>
        <v>5.3807899591274879E-15</v>
      </c>
      <c r="DI190" s="22">
        <f t="shared" si="175"/>
        <v>9.7585889647604631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5.6843418860808015E-13</v>
      </c>
      <c r="DP190" s="17">
        <f>DO190*VLOOKUP('Données projet'!$B$14,Paramètres!$A$1:$I$89,3,0)*VLOOKUP('Données projet'!$B$14,Paramètres!$A$1:$I$89,5,0)</f>
        <v>3.177547114319168E-13</v>
      </c>
      <c r="DQ190" s="13">
        <f t="shared" si="176"/>
        <v>4.1725404435445377E-12</v>
      </c>
      <c r="DR190" s="20">
        <f t="shared" si="177"/>
        <v>7.820597394917325E-12</v>
      </c>
      <c r="DS190" s="59">
        <f t="shared" si="125"/>
        <v>289.85810977946426</v>
      </c>
      <c r="DT190" s="59">
        <f ca="1">AVERAGE(OFFSET($DS$3,0,0,'Données projet'!$E$14+1,1))-AVERAGE(OFFSET($H$3,0,0,'Données projet'!$E$14+1,1))</f>
        <v>407.05634973057056</v>
      </c>
      <c r="DU190" s="59">
        <f t="shared" si="152"/>
        <v>375.32891954889965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22.742543031970989</v>
      </c>
      <c r="EB190" s="21">
        <f>EXP(-LN(2)/25)*EB189+(1-EXP(-LN(2)/25))/(LN(2)/25)*Calculateur!DW190*Calculateur!DY190*VLOOKUP('Données projet'!$B$14,Paramètres!$A$1:$I$89,3,0)*0.475*44/12</f>
        <v>2.9943293407015932</v>
      </c>
      <c r="EC190" s="21">
        <f>EXP(-LN(2)/2)*EC189+(1-EXP(-LN(2)/2))/(LN(2)/2)*DW190*DZ190*VLOOKUP('Données projet'!$B$14,Paramètres!$A$1:$I$89,3,0)*0.475*44/12</f>
        <v>1.8523539738784983E-16</v>
      </c>
      <c r="ED190" s="22">
        <f t="shared" si="178"/>
        <v>25.736872372672583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1.1368683772161603E-13</v>
      </c>
      <c r="EK190" s="17">
        <f>EJ190*VLOOKUP('Données projet'!$B$15,Paramètres!$A$1:$I$89,3,0)*VLOOKUP('Données projet'!$B$15,Paramètres!$A$1:$I$89,5,0)</f>
        <v>5.0249582272954292E-14</v>
      </c>
      <c r="EL190" s="13">
        <f t="shared" si="179"/>
        <v>8.1784820119191593E-13</v>
      </c>
      <c r="EM190" s="20">
        <f t="shared" si="180"/>
        <v>1.5119369728679821E-12</v>
      </c>
      <c r="EN190" s="59">
        <f t="shared" si="128"/>
        <v>289.85810977945795</v>
      </c>
      <c r="EO190" s="59">
        <f ca="1">AVERAGE(OFFSET($EN$3,0,0,'Données projet'!$E$15+1,1))-AVERAGE(OFFSET($H$3,0,0,'Données projet'!$E$15+1,1))</f>
        <v>418.28022549686278</v>
      </c>
      <c r="EP190" s="59">
        <f t="shared" si="154"/>
        <v>354.55070454517158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24.826145918358439</v>
      </c>
      <c r="EW190" s="21">
        <f>EXP(-LN(2)/25)*EW189+(1-EXP(-LN(2)/25))/(LN(2)/25)*Calculateur!ER190*Calculateur!ET190*VLOOKUP('Données projet'!$B$15,Paramètres!$A$1:$I$89,3,0)*0.475*44/12</f>
        <v>3.7008022482993908</v>
      </c>
      <c r="EX190" s="21">
        <f>EXP(-LN(2)/2)*EX189+(1-EXP(-LN(2)/2))/(LN(2)/2)*ER190*EU190*VLOOKUP('Données projet'!$B$15,Paramètres!$A$1:$I$89,3,0)*0.475*44/12</f>
        <v>6.1707688373293999E-15</v>
      </c>
      <c r="EY190" s="22">
        <f t="shared" si="181"/>
        <v>28.526948166657835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3.0825000000000031</v>
      </c>
      <c r="FE190" s="12">
        <f>IF('Données projet'!$A$218&gt;35,FE189+FD190-FM189,IF(A190&lt;'Données projet'!$A$218,$FB$205^A190,IF(A190='Données projet'!$A$218,'Données projet'!$B$218,FE189+FD190-FM189)))</f>
        <v>208.18749999999972</v>
      </c>
      <c r="FF190" s="17">
        <f>FE190*VLOOKUP('Données projet'!$B$16,Paramètres!$A$1:$I$89,3,0)*VLOOKUP('Données projet'!$B$16,Paramètres!$A$1:$I$89,5,0)</f>
        <v>237.08392499999965</v>
      </c>
      <c r="FG190" s="13">
        <f t="shared" si="182"/>
        <v>57.81167705130656</v>
      </c>
      <c r="FH190" s="20">
        <f t="shared" si="183"/>
        <v>513.60984023935839</v>
      </c>
      <c r="FI190" s="59">
        <f t="shared" si="131"/>
        <v>803.4679500188148</v>
      </c>
      <c r="FJ190" s="59">
        <f ca="1">AVERAGE(OFFSET($FI$3,0,0,'Données projet'!$E$16+1,1))-AVERAGE(OFFSET($H$3,0,0,'Données projet'!$E$16+1,1))</f>
        <v>640.05156427113661</v>
      </c>
      <c r="FK190" s="59">
        <f t="shared" si="156"/>
        <v>308.77220155372902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106.01725991750921</v>
      </c>
      <c r="FR190" s="21">
        <f>EXP(-LN(2)/25)*FR189+(1-EXP(-LN(2)/25))/(LN(2)/25)*Calculateur!FM190*Calculateur!FO190*VLOOKUP('Données projet'!$B$16,Paramètres!$A$1:$I$89,3,0)*0.475*44/12</f>
        <v>41.052574491838101</v>
      </c>
      <c r="FS190" s="21">
        <f>EXP(-LN(2)/2)*FS189+(1-EXP(-LN(2)/2))/(LN(2)/2)*FM190*FP190*VLOOKUP('Données projet'!$B$16,Paramètres!$A$1:$I$89,3,0)*0.475*44/12</f>
        <v>2.2365728323864503E-6</v>
      </c>
      <c r="FT190" s="22">
        <f t="shared" si="184"/>
        <v>147.06983664592016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289.91839713868222</v>
      </c>
      <c r="S191" s="59">
        <f ca="1">AVERAGE(OFFSET($R$3,0,0,'Données projet'!$E$9+1,1))-AVERAGE(OFFSET($H$3,0,0,'Données projet'!$E$9+1,1))</f>
        <v>318.50474972254085</v>
      </c>
      <c r="T191" s="59">
        <f t="shared" si="142"/>
        <v>326.45858332753562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11.007683915472684</v>
      </c>
      <c r="AA191" s="21">
        <f>EXP(-LN(2)/25)*AA190+(1-EXP(-LN(2)/25))/(LN(2)/25)*Calculateur!V191*Calculateur!X191*VLOOKUP('Données projet'!$B$9,Paramètres!$A$1:$I$89,3,0)*0.475*44/12</f>
        <v>1.3929489448803676</v>
      </c>
      <c r="AB191" s="21">
        <f>EXP(-LN(2)/2)*AB190+(1-EXP(-LN(2)/2))/(LN(2)/2)*V191*Y191*VLOOKUP('Données projet'!$B$9,Paramètres!$A$1:$I$89,3,0)*0.475*44/12</f>
        <v>3.2505163287222608E-18</v>
      </c>
      <c r="AC191" s="22">
        <f t="shared" si="163"/>
        <v>12.400632860353053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1.7053025658242404E-13</v>
      </c>
      <c r="AJ191" s="13">
        <f>AI191*VLOOKUP('Données projet'!$B$10,Paramètres!$A$1:$I$89,3,0)*VLOOKUP('Données projet'!$B$10,Paramètres!$A$1:$I$89,5,0)</f>
        <v>7.9808160080574461E-14</v>
      </c>
      <c r="AK191" s="13">
        <f t="shared" si="164"/>
        <v>1.2308384591775343E-12</v>
      </c>
      <c r="AL191" s="20">
        <f t="shared" si="165"/>
        <v>2.282709528541206E-12</v>
      </c>
      <c r="AM191" s="59">
        <f t="shared" si="113"/>
        <v>289.91839713868251</v>
      </c>
      <c r="AN191" s="59">
        <f ca="1">AVERAGE(OFFSET($AM$3,0,0,'Données projet'!$E$10+1,1))-AVERAGE(OFFSET($H$3,0,0,'Données projet'!$E$10+1,1))</f>
        <v>374.38106339726073</v>
      </c>
      <c r="AO191" s="59">
        <f t="shared" si="144"/>
        <v>296.53283288925957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47.040294241757444</v>
      </c>
      <c r="AV191" s="21">
        <f>EXP(-LN(2)/25)*AV190+(1-EXP(-LN(2)/25))/(LN(2)/25)*Calculateur!AQ191*Calculateur!AS191*VLOOKUP('Données projet'!$B$10,Paramètres!$A$1:$I$89,3,0)*0.475*44/12</f>
        <v>9.2475060244381311</v>
      </c>
      <c r="AW191" s="21">
        <f>EXP(-LN(2)/2)*AW190+(1-EXP(-LN(2)/2))/(LN(2)/2)*AQ191*AT191*VLOOKUP('Données projet'!$B$10,Paramètres!$A$1:$I$89,3,0)*0.475*44/12</f>
        <v>8.5370163554031411E-8</v>
      </c>
      <c r="AX191" s="21">
        <f t="shared" si="166"/>
        <v>56.287800351565735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7.9580786405131221E-13</v>
      </c>
      <c r="BE191" s="13">
        <f>BD191*VLOOKUP('Données projet'!$B$11,Paramètres!$A$1:$I$89,3,0)*VLOOKUP('Données projet'!$B$11,Paramètres!$A$1:$I$89,5,0)</f>
        <v>7.2004695539362725E-13</v>
      </c>
      <c r="BF191" s="13">
        <f t="shared" si="167"/>
        <v>8.5963894794935589E-12</v>
      </c>
      <c r="BG191" s="20">
        <f t="shared" si="168"/>
        <v>1.6226126790761848E-11</v>
      </c>
      <c r="BH191" s="59">
        <f t="shared" si="116"/>
        <v>289.91839713869643</v>
      </c>
      <c r="BI191" s="59">
        <f ca="1">AVERAGE(OFFSET($BH$3,0,0,'Données projet'!$E$11+1,1))-AVERAGE(OFFSET($H$3,0,0,'Données projet'!$E$11+1,1))</f>
        <v>681.47578137804555</v>
      </c>
      <c r="BJ191" s="59">
        <f t="shared" si="146"/>
        <v>300.88511065995885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139.60008291113473</v>
      </c>
      <c r="BQ191" s="21">
        <f>EXP(-LN(2)/25)*BQ190+(1-EXP(-LN(2)/25))/(LN(2)/25)*Calculateur!BL191*Calculateur!BN191*VLOOKUP('Données projet'!$B$11,Paramètres!$A$1:$I$89,3,0)*0.475*44/12</f>
        <v>22.408761183589078</v>
      </c>
      <c r="BR191" s="21">
        <f>EXP(-LN(2)/2)*BR190+(1-EXP(-LN(2)/2))/(LN(2)/2)*BL191*BO191*VLOOKUP('Données projet'!$B$11,Paramètres!$A$1:$I$89,3,0)*0.475*44/12</f>
        <v>1.8781926116023391</v>
      </c>
      <c r="BS191" s="22">
        <f t="shared" si="169"/>
        <v>163.88703670632617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8.5265128291212022E-14</v>
      </c>
      <c r="BZ191" s="13">
        <f>BY191*VLOOKUP('Données projet'!$B$12,Paramètres!$A$1:$I$89,3,0)*VLOOKUP('Données projet'!$B$12,Paramètres!$A$1:$I$89,5,0)</f>
        <v>8.9119112089974823E-14</v>
      </c>
      <c r="CA191" s="13">
        <f t="shared" si="170"/>
        <v>1.3568952080113142E-12</v>
      </c>
      <c r="CB191" s="20">
        <f t="shared" si="171"/>
        <v>2.5184749408430782E-12</v>
      </c>
      <c r="CC191" s="59">
        <f t="shared" si="119"/>
        <v>289.91839713868274</v>
      </c>
      <c r="CD191" s="59">
        <f ca="1">AVERAGE(OFFSET($CC$3,0,0,'Données projet'!$E$12+1,1))-AVERAGE(OFFSET($H$3,0,0,'Données projet'!$E$12+1,1))</f>
        <v>290.69667785754848</v>
      </c>
      <c r="CE191" s="59">
        <f t="shared" si="148"/>
        <v>256.28124185489082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3.1154947683271557</v>
      </c>
      <c r="CL191" s="21">
        <f>EXP(-LN(2)/25)*CL190+(1-EXP(-LN(2)/25))/(LN(2)/25)*Calculateur!CG191*Calculateur!CI191*VLOOKUP('Données projet'!$B$12,Paramètres!$A$1:$I$89,3,0)*0.475*44/12</f>
        <v>3.9616588777276163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7.0771536460547715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408.246209980743</v>
      </c>
      <c r="CZ191" s="59">
        <f t="shared" si="150"/>
        <v>394.10236303013903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6.7232461803096744</v>
      </c>
      <c r="DG191" s="21">
        <f>EXP(-LN(2)/25)*DG190+(1-EXP(-LN(2)/25))/(LN(2)/25)*Calculateur!DB191*Calculateur!DD191*VLOOKUP('Données projet'!$B$13,Paramètres!$A$1:$I$89,3,0)*0.475*44/12</f>
        <v>2.8215426785424249</v>
      </c>
      <c r="DH191" s="21">
        <f>EXP(-LN(2)/2)*DH190+(1-EXP(-LN(2)/2))/(LN(2)/2)*DB191*DE191*VLOOKUP('Données projet'!$B$13,Paramètres!$A$1:$I$89,3,0)*0.475*44/12</f>
        <v>3.8047930682395325E-15</v>
      </c>
      <c r="DI191" s="22">
        <f t="shared" si="175"/>
        <v>9.5447888588521028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5.6843418860808015E-13</v>
      </c>
      <c r="DP191" s="17">
        <f>DO191*VLOOKUP('Données projet'!$B$14,Paramètres!$A$1:$I$89,3,0)*VLOOKUP('Données projet'!$B$14,Paramètres!$A$1:$I$89,5,0)</f>
        <v>3.177547114319168E-13</v>
      </c>
      <c r="DQ191" s="13">
        <f t="shared" si="176"/>
        <v>4.1725404435445377E-12</v>
      </c>
      <c r="DR191" s="20">
        <f t="shared" si="177"/>
        <v>7.820597394917325E-12</v>
      </c>
      <c r="DS191" s="59">
        <f t="shared" si="125"/>
        <v>289.91839713868808</v>
      </c>
      <c r="DT191" s="59">
        <f ca="1">AVERAGE(OFFSET($DS$3,0,0,'Données projet'!$E$14+1,1))-AVERAGE(OFFSET($H$3,0,0,'Données projet'!$E$14+1,1))</f>
        <v>407.05634973057056</v>
      </c>
      <c r="DU191" s="59">
        <f t="shared" si="152"/>
        <v>375.32891954889965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22.296575634695582</v>
      </c>
      <c r="EB191" s="21">
        <f>EXP(-LN(2)/25)*EB190+(1-EXP(-LN(2)/25))/(LN(2)/25)*Calculateur!DW191*Calculateur!DY191*VLOOKUP('Données projet'!$B$14,Paramètres!$A$1:$I$89,3,0)*0.475*44/12</f>
        <v>2.9124492474151715</v>
      </c>
      <c r="EC191" s="21">
        <f>EXP(-LN(2)/2)*EC190+(1-EXP(-LN(2)/2))/(LN(2)/2)*DW191*DZ191*VLOOKUP('Données projet'!$B$14,Paramètres!$A$1:$I$89,3,0)*0.475*44/12</f>
        <v>1.3098120560873351E-16</v>
      </c>
      <c r="ED191" s="22">
        <f t="shared" si="178"/>
        <v>25.209024882110754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1.1368683772161603E-13</v>
      </c>
      <c r="EK191" s="17">
        <f>EJ191*VLOOKUP('Données projet'!$B$15,Paramètres!$A$1:$I$89,3,0)*VLOOKUP('Données projet'!$B$15,Paramètres!$A$1:$I$89,5,0)</f>
        <v>5.0249582272954292E-14</v>
      </c>
      <c r="EL191" s="13">
        <f t="shared" si="179"/>
        <v>8.1784820119191593E-13</v>
      </c>
      <c r="EM191" s="20">
        <f t="shared" si="180"/>
        <v>1.5119369728679821E-12</v>
      </c>
      <c r="EN191" s="59">
        <f t="shared" si="128"/>
        <v>289.91839713868177</v>
      </c>
      <c r="EO191" s="59">
        <f ca="1">AVERAGE(OFFSET($EN$3,0,0,'Données projet'!$E$15+1,1))-AVERAGE(OFFSET($H$3,0,0,'Données projet'!$E$15+1,1))</f>
        <v>418.28022549686278</v>
      </c>
      <c r="EP191" s="59">
        <f t="shared" si="154"/>
        <v>354.55070454517158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24.339320339353247</v>
      </c>
      <c r="EW191" s="21">
        <f>EXP(-LN(2)/25)*EW190+(1-EXP(-LN(2)/25))/(LN(2)/25)*Calculateur!ER191*Calculateur!ET191*VLOOKUP('Données projet'!$B$15,Paramètres!$A$1:$I$89,3,0)*0.475*44/12</f>
        <v>3.5996036162029119</v>
      </c>
      <c r="EX191" s="21">
        <f>EXP(-LN(2)/2)*EX190+(1-EXP(-LN(2)/2))/(LN(2)/2)*ER191*EU191*VLOOKUP('Données projet'!$B$15,Paramètres!$A$1:$I$89,3,0)*0.475*44/12</f>
        <v>4.3633924900102462E-15</v>
      </c>
      <c r="EY191" s="22">
        <f t="shared" si="181"/>
        <v>27.938923955556163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>
        <f>VLOOKUP(A191,'Données projet'!$A$217:$I$237,2,0)</f>
        <v>211.27</v>
      </c>
      <c r="FC191" s="12">
        <f>VLOOKUP(A191,'Données projet'!$A$217:$I$237,9,0)</f>
        <v>3.0825000000000031</v>
      </c>
      <c r="FD191" s="12">
        <f t="array" ref="FD191">INDEX(FC:FC,MIN(IF(ISNUMBER(FC191:FC387),ROW(FC191:FC387),"")))</f>
        <v>3.0825000000000031</v>
      </c>
      <c r="FE191" s="12">
        <f>IF('Données projet'!$A$218&gt;35,FE190+FD191-FM190,IF(A191&lt;'Données projet'!$A$218,$FB$205^A191,IF(A191='Données projet'!$A$218,'Données projet'!$B$218,FE190+FD191-FM190)))</f>
        <v>211.26999999999973</v>
      </c>
      <c r="FF191" s="17">
        <f>FE191*VLOOKUP('Données projet'!$B$16,Paramètres!$A$1:$I$89,3,0)*VLOOKUP('Données projet'!$B$16,Paramètres!$A$1:$I$89,5,0)</f>
        <v>240.5942759999997</v>
      </c>
      <c r="FG191" s="13">
        <f t="shared" si="182"/>
        <v>58.56737344917299</v>
      </c>
      <c r="FH191" s="20">
        <f t="shared" si="183"/>
        <v>521.03987279064233</v>
      </c>
      <c r="FI191" s="59">
        <f t="shared" si="131"/>
        <v>810.95826992932257</v>
      </c>
      <c r="FJ191" s="59">
        <f ca="1">AVERAGE(OFFSET($FI$3,0,0,'Données projet'!$E$16+1,1))-AVERAGE(OFFSET($H$3,0,0,'Données projet'!$E$16+1,1))</f>
        <v>640.05156427113661</v>
      </c>
      <c r="FK191" s="59">
        <f t="shared" si="156"/>
        <v>308.77220155372902</v>
      </c>
      <c r="FL191" s="15">
        <f>IF(ISNA(VLOOKUP(A191,'Données projet'!$A$217:$I$237,3,0)),0,VLOOKUP(A191,'Données projet'!$A$217:$I$237,3,0))</f>
        <v>15</v>
      </c>
      <c r="FM191" s="15">
        <f>IF(ISNA(VLOOKUP(A191,'Données projet'!$A$217:$I$237,4,0)),0,VLOOKUP(A191,'Données projet'!$A$217:$I$237,4,0))</f>
        <v>72.180000000000007</v>
      </c>
      <c r="FN191" s="16">
        <f>IF(ISNA(VLOOKUP(A191,'Données projet'!$A$217:$I$237,5,0)),0%,VLOOKUP(A191,'Données projet'!$A$217:$I$237,5,0)*VLOOKUP('Données projet'!$B$16,Paramètres!$A$1:$I$89,7,0))</f>
        <v>0.215</v>
      </c>
      <c r="FO191" s="16">
        <f>IF(ISNA(VLOOKUP(A191,'Données projet'!$A$217:$I$237,6,0)),0%,VLOOKUP(A191,'Données projet'!$A$217:$I$237,6,0)*VLOOKUP('Données projet'!$B$16,Paramètres!$A$1:$I$89,7,0))</f>
        <v>8.6000000000000007E-2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123.47496758275383</v>
      </c>
      <c r="FR191" s="21">
        <f>EXP(-LN(2)/25)*FR190+(1-EXP(-LN(2)/25))/(LN(2)/25)*Calculateur!FM191*Calculateur!FO191*VLOOKUP('Données projet'!$B$16,Paramètres!$A$1:$I$89,3,0)*0.475*44/12</f>
        <v>47.713876990129577</v>
      </c>
      <c r="FS191" s="21">
        <f>EXP(-LN(2)/2)*FS190+(1-EXP(-LN(2)/2))/(LN(2)/2)*FM191*FP191*VLOOKUP('Données projet'!$B$16,Paramètres!$A$1:$I$89,3,0)*0.475*44/12</f>
        <v>1.5814958163980626E-6</v>
      </c>
      <c r="FT191" s="22">
        <f t="shared" si="184"/>
        <v>171.18884615437921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289.97763864700585</v>
      </c>
      <c r="S192" s="59">
        <f ca="1">AVERAGE(OFFSET($R$3,0,0,'Données projet'!$E$9+1,1))-AVERAGE(OFFSET($H$3,0,0,'Données projet'!$E$9+1,1))</f>
        <v>318.50474972254085</v>
      </c>
      <c r="T192" s="59">
        <f t="shared" si="142"/>
        <v>326.45858332753562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10.791829947914499</v>
      </c>
      <c r="AA192" s="21">
        <f>EXP(-LN(2)/25)*AA191+(1-EXP(-LN(2)/25))/(LN(2)/25)*Calculateur!V192*Calculateur!X192*VLOOKUP('Données projet'!$B$9,Paramètres!$A$1:$I$89,3,0)*0.475*44/12</f>
        <v>1.3548586827306126</v>
      </c>
      <c r="AB192" s="21">
        <f>EXP(-LN(2)/2)*AB191+(1-EXP(-LN(2)/2))/(LN(2)/2)*V192*Y192*VLOOKUP('Données projet'!$B$9,Paramètres!$A$1:$I$89,3,0)*0.475*44/12</f>
        <v>2.2984621383971115E-18</v>
      </c>
      <c r="AC192" s="22">
        <f t="shared" si="163"/>
        <v>12.146688630645112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1.7053025658242404E-13</v>
      </c>
      <c r="AJ192" s="13">
        <f>AI192*VLOOKUP('Données projet'!$B$10,Paramètres!$A$1:$I$89,3,0)*VLOOKUP('Données projet'!$B$10,Paramètres!$A$1:$I$89,5,0)</f>
        <v>7.9808160080574461E-14</v>
      </c>
      <c r="AK192" s="13">
        <f t="shared" si="164"/>
        <v>1.2308384591775343E-12</v>
      </c>
      <c r="AL192" s="20">
        <f t="shared" si="165"/>
        <v>2.282709528541206E-12</v>
      </c>
      <c r="AM192" s="59">
        <f t="shared" si="113"/>
        <v>289.97763864700613</v>
      </c>
      <c r="AN192" s="59">
        <f ca="1">AVERAGE(OFFSET($AM$3,0,0,'Données projet'!$E$10+1,1))-AVERAGE(OFFSET($H$3,0,0,'Données projet'!$E$10+1,1))</f>
        <v>374.38106339726073</v>
      </c>
      <c r="AO192" s="59">
        <f t="shared" si="144"/>
        <v>296.53283288925957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46.117862763422991</v>
      </c>
      <c r="AV192" s="21">
        <f>EXP(-LN(2)/25)*AV191+(1-EXP(-LN(2)/25))/(LN(2)/25)*Calculateur!AQ192*Calculateur!AS192*VLOOKUP('Données projet'!$B$10,Paramètres!$A$1:$I$89,3,0)*0.475*44/12</f>
        <v>8.9946324858946642</v>
      </c>
      <c r="AW192" s="21">
        <f>EXP(-LN(2)/2)*AW191+(1-EXP(-LN(2)/2))/(LN(2)/2)*AQ192*AT192*VLOOKUP('Données projet'!$B$10,Paramètres!$A$1:$I$89,3,0)*0.475*44/12</f>
        <v>6.0365821560060261E-8</v>
      </c>
      <c r="AX192" s="21">
        <f t="shared" si="166"/>
        <v>55.112495309683474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7.9580786405131221E-13</v>
      </c>
      <c r="BE192" s="13">
        <f>BD192*VLOOKUP('Données projet'!$B$11,Paramètres!$A$1:$I$89,3,0)*VLOOKUP('Données projet'!$B$11,Paramètres!$A$1:$I$89,5,0)</f>
        <v>7.2004695539362725E-13</v>
      </c>
      <c r="BF192" s="13">
        <f t="shared" si="167"/>
        <v>8.5963894794935589E-12</v>
      </c>
      <c r="BG192" s="20">
        <f t="shared" si="168"/>
        <v>1.6226126790761848E-11</v>
      </c>
      <c r="BH192" s="59">
        <f t="shared" si="116"/>
        <v>289.97763864702006</v>
      </c>
      <c r="BI192" s="59">
        <f ca="1">AVERAGE(OFFSET($BH$3,0,0,'Données projet'!$E$11+1,1))-AVERAGE(OFFSET($H$3,0,0,'Données projet'!$E$11+1,1))</f>
        <v>681.47578137804555</v>
      </c>
      <c r="BJ192" s="59">
        <f t="shared" si="146"/>
        <v>300.88511065995885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136.86261043289034</v>
      </c>
      <c r="BQ192" s="21">
        <f>EXP(-LN(2)/25)*BQ191+(1-EXP(-LN(2)/25))/(LN(2)/25)*Calculateur!BL192*Calculateur!BN192*VLOOKUP('Données projet'!$B$11,Paramètres!$A$1:$I$89,3,0)*0.475*44/12</f>
        <v>21.7959924305983</v>
      </c>
      <c r="BR192" s="21">
        <f>EXP(-LN(2)/2)*BR191+(1-EXP(-LN(2)/2))/(LN(2)/2)*BL192*BO192*VLOOKUP('Données projet'!$B$11,Paramètres!$A$1:$I$89,3,0)*0.475*44/12</f>
        <v>1.3280827320384856</v>
      </c>
      <c r="BS192" s="22">
        <f t="shared" si="169"/>
        <v>159.98668559552712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8.5265128291212022E-14</v>
      </c>
      <c r="BZ192" s="13">
        <f>BY192*VLOOKUP('Données projet'!$B$12,Paramètres!$A$1:$I$89,3,0)*VLOOKUP('Données projet'!$B$12,Paramètres!$A$1:$I$89,5,0)</f>
        <v>8.9119112089974823E-14</v>
      </c>
      <c r="CA192" s="13">
        <f t="shared" si="170"/>
        <v>1.3568952080113142E-12</v>
      </c>
      <c r="CB192" s="20">
        <f t="shared" si="171"/>
        <v>2.5184749408430782E-12</v>
      </c>
      <c r="CC192" s="59">
        <f t="shared" si="119"/>
        <v>289.97763864700636</v>
      </c>
      <c r="CD192" s="59">
        <f ca="1">AVERAGE(OFFSET($CC$3,0,0,'Données projet'!$E$12+1,1))-AVERAGE(OFFSET($H$3,0,0,'Données projet'!$E$12+1,1))</f>
        <v>290.69667785754848</v>
      </c>
      <c r="CE192" s="59">
        <f t="shared" si="148"/>
        <v>256.28124185489082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3.0544018161844333</v>
      </c>
      <c r="CL192" s="21">
        <f>EXP(-LN(2)/25)*CL191+(1-EXP(-LN(2)/25))/(LN(2)/25)*Calculateur!CG192*Calculateur!CI192*VLOOKUP('Données projet'!$B$12,Paramètres!$A$1:$I$89,3,0)*0.475*44/12</f>
        <v>3.8533271073815687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6.907728923566002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408.246209980743</v>
      </c>
      <c r="CZ192" s="59">
        <f t="shared" si="150"/>
        <v>394.10236303013903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6.5914074234890538</v>
      </c>
      <c r="DG192" s="21">
        <f>EXP(-LN(2)/25)*DG191+(1-EXP(-LN(2)/25))/(LN(2)/25)*Calculateur!DB192*Calculateur!DD192*VLOOKUP('Données projet'!$B$13,Paramètres!$A$1:$I$89,3,0)*0.475*44/12</f>
        <v>2.7443874456192017</v>
      </c>
      <c r="DH192" s="21">
        <f>EXP(-LN(2)/2)*DH191+(1-EXP(-LN(2)/2))/(LN(2)/2)*DB192*DE192*VLOOKUP('Données projet'!$B$13,Paramètres!$A$1:$I$89,3,0)*0.475*44/12</f>
        <v>2.690394979563744E-15</v>
      </c>
      <c r="DI192" s="22">
        <f t="shared" si="175"/>
        <v>9.3357948691082591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5.6843418860808015E-13</v>
      </c>
      <c r="DP192" s="17">
        <f>DO192*VLOOKUP('Données projet'!$B$14,Paramètres!$A$1:$I$89,3,0)*VLOOKUP('Données projet'!$B$14,Paramètres!$A$1:$I$89,5,0)</f>
        <v>3.177547114319168E-13</v>
      </c>
      <c r="DQ192" s="13">
        <f t="shared" si="176"/>
        <v>4.1725404435445377E-12</v>
      </c>
      <c r="DR192" s="20">
        <f t="shared" si="177"/>
        <v>7.820597394917325E-12</v>
      </c>
      <c r="DS192" s="59">
        <f t="shared" si="125"/>
        <v>289.9776386470117</v>
      </c>
      <c r="DT192" s="59">
        <f ca="1">AVERAGE(OFFSET($DS$3,0,0,'Données projet'!$E$14+1,1))-AVERAGE(OFFSET($H$3,0,0,'Données projet'!$E$14+1,1))</f>
        <v>407.05634973057056</v>
      </c>
      <c r="DU192" s="59">
        <f t="shared" si="152"/>
        <v>375.32891954889965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21.859353386067493</v>
      </c>
      <c r="EB192" s="21">
        <f>EXP(-LN(2)/25)*EB191+(1-EXP(-LN(2)/25))/(LN(2)/25)*Calculateur!DW192*Calculateur!DY192*VLOOKUP('Données projet'!$B$14,Paramètres!$A$1:$I$89,3,0)*0.475*44/12</f>
        <v>2.832808169585554</v>
      </c>
      <c r="EC192" s="21">
        <f>EXP(-LN(2)/2)*EC191+(1-EXP(-LN(2)/2))/(LN(2)/2)*DW192*DZ192*VLOOKUP('Données projet'!$B$14,Paramètres!$A$1:$I$89,3,0)*0.475*44/12</f>
        <v>9.2617698693924917E-17</v>
      </c>
      <c r="ED192" s="22">
        <f t="shared" si="178"/>
        <v>24.692161555653048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1.1368683772161603E-13</v>
      </c>
      <c r="EK192" s="17">
        <f>EJ192*VLOOKUP('Données projet'!$B$15,Paramètres!$A$1:$I$89,3,0)*VLOOKUP('Données projet'!$B$15,Paramètres!$A$1:$I$89,5,0)</f>
        <v>5.0249582272954292E-14</v>
      </c>
      <c r="EL192" s="13">
        <f t="shared" si="179"/>
        <v>8.1784820119191593E-13</v>
      </c>
      <c r="EM192" s="20">
        <f t="shared" si="180"/>
        <v>1.5119369728679821E-12</v>
      </c>
      <c r="EN192" s="59">
        <f t="shared" si="128"/>
        <v>289.97763864700539</v>
      </c>
      <c r="EO192" s="59">
        <f ca="1">AVERAGE(OFFSET($EN$3,0,0,'Données projet'!$E$15+1,1))-AVERAGE(OFFSET($H$3,0,0,'Données projet'!$E$15+1,1))</f>
        <v>418.28022549686278</v>
      </c>
      <c r="EP192" s="59">
        <f t="shared" si="154"/>
        <v>354.55070454517158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23.862041113018062</v>
      </c>
      <c r="EW192" s="21">
        <f>EXP(-LN(2)/25)*EW191+(1-EXP(-LN(2)/25))/(LN(2)/25)*Calculateur!ER192*Calculateur!ET192*VLOOKUP('Données projet'!$B$15,Paramètres!$A$1:$I$89,3,0)*0.475*44/12</f>
        <v>3.5011722660229161</v>
      </c>
      <c r="EX192" s="21">
        <f>EXP(-LN(2)/2)*EX191+(1-EXP(-LN(2)/2))/(LN(2)/2)*ER192*EU192*VLOOKUP('Données projet'!$B$15,Paramètres!$A$1:$I$89,3,0)*0.475*44/12</f>
        <v>3.0853844186646999E-15</v>
      </c>
      <c r="EY192" s="22">
        <f t="shared" si="181"/>
        <v>27.363213379040982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1.9733333333333292</v>
      </c>
      <c r="FE192" s="12">
        <f>IF('Données projet'!$A$218&gt;35,FE191+FD192-FM191,IF(A192&lt;'Données projet'!$A$218,$FB$205^A192,IF(A192='Données projet'!$A$218,'Données projet'!$B$218,FE191+FD192-FM191)))</f>
        <v>141.06333333333305</v>
      </c>
      <c r="FF192" s="17">
        <f>FE192*VLOOKUP('Données projet'!$B$16,Paramètres!$A$1:$I$89,3,0)*VLOOKUP('Données projet'!$B$16,Paramètres!$A$1:$I$89,5,0)</f>
        <v>160.64292399999968</v>
      </c>
      <c r="FG192" s="13">
        <f t="shared" si="182"/>
        <v>40.987494846781502</v>
      </c>
      <c r="FH192" s="20">
        <f t="shared" si="183"/>
        <v>351.17297949147724</v>
      </c>
      <c r="FI192" s="59">
        <f t="shared" si="131"/>
        <v>641.15061813848115</v>
      </c>
      <c r="FJ192" s="59">
        <f ca="1">AVERAGE(OFFSET($FI$3,0,0,'Données projet'!$E$16+1,1))-AVERAGE(OFFSET($H$3,0,0,'Données projet'!$E$16+1,1))</f>
        <v>640.05156427113661</v>
      </c>
      <c r="FK192" s="59">
        <f t="shared" si="156"/>
        <v>308.77220155372902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121.05369878074978</v>
      </c>
      <c r="FR192" s="21">
        <f>EXP(-LN(2)/25)*FR191+(1-EXP(-LN(2)/25))/(LN(2)/25)*Calculateur!FM192*Calculateur!FO192*VLOOKUP('Données projet'!$B$16,Paramètres!$A$1:$I$89,3,0)*0.475*44/12</f>
        <v>46.409138514670744</v>
      </c>
      <c r="FS192" s="21">
        <f>EXP(-LN(2)/2)*FS191+(1-EXP(-LN(2)/2))/(LN(2)/2)*FM192*FP192*VLOOKUP('Données projet'!$B$16,Paramètres!$A$1:$I$89,3,0)*0.475*44/12</f>
        <v>1.1182864161932252E-6</v>
      </c>
      <c r="FT192" s="22">
        <f t="shared" si="184"/>
        <v>167.46283841370692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290.03585244760427</v>
      </c>
      <c r="S193" s="59">
        <f ca="1">AVERAGE(OFFSET($R$3,0,0,'Données projet'!$E$9+1,1))-AVERAGE(OFFSET($H$3,0,0,'Données projet'!$E$9+1,1))</f>
        <v>318.50474972254085</v>
      </c>
      <c r="T193" s="59">
        <f t="shared" si="142"/>
        <v>326.45858332753562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10.580208745002208</v>
      </c>
      <c r="AA193" s="21">
        <f>EXP(-LN(2)/25)*AA192+(1-EXP(-LN(2)/25))/(LN(2)/25)*Calculateur!V193*Calculateur!X193*VLOOKUP('Données projet'!$B$9,Paramètres!$A$1:$I$89,3,0)*0.475*44/12</f>
        <v>1.3178100008024225</v>
      </c>
      <c r="AB193" s="21">
        <f>EXP(-LN(2)/2)*AB192+(1-EXP(-LN(2)/2))/(LN(2)/2)*V193*Y193*VLOOKUP('Données projet'!$B$9,Paramètres!$A$1:$I$89,3,0)*0.475*44/12</f>
        <v>1.6252581643611304E-18</v>
      </c>
      <c r="AC193" s="22">
        <f t="shared" si="163"/>
        <v>11.898018745804631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1.7053025658242404E-13</v>
      </c>
      <c r="AJ193" s="13">
        <f>AI193*VLOOKUP('Données projet'!$B$10,Paramètres!$A$1:$I$89,3,0)*VLOOKUP('Données projet'!$B$10,Paramètres!$A$1:$I$89,5,0)</f>
        <v>7.9808160080574461E-14</v>
      </c>
      <c r="AK193" s="13">
        <f t="shared" si="164"/>
        <v>1.2308384591775343E-12</v>
      </c>
      <c r="AL193" s="20">
        <f t="shared" si="165"/>
        <v>2.282709528541206E-12</v>
      </c>
      <c r="AM193" s="59">
        <f t="shared" si="113"/>
        <v>290.03585244760455</v>
      </c>
      <c r="AN193" s="59">
        <f ca="1">AVERAGE(OFFSET($AM$3,0,0,'Données projet'!$E$10+1,1))-AVERAGE(OFFSET($H$3,0,0,'Données projet'!$E$10+1,1))</f>
        <v>374.38106339726073</v>
      </c>
      <c r="AO193" s="59">
        <f t="shared" si="144"/>
        <v>296.53283288925957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45.213519603751031</v>
      </c>
      <c r="AV193" s="21">
        <f>EXP(-LN(2)/25)*AV192+(1-EXP(-LN(2)/25))/(LN(2)/25)*Calculateur!AQ193*Calculateur!AS193*VLOOKUP('Données projet'!$B$10,Paramètres!$A$1:$I$89,3,0)*0.475*44/12</f>
        <v>8.7486737875607101</v>
      </c>
      <c r="AW193" s="21">
        <f>EXP(-LN(2)/2)*AW192+(1-EXP(-LN(2)/2))/(LN(2)/2)*AQ193*AT193*VLOOKUP('Données projet'!$B$10,Paramètres!$A$1:$I$89,3,0)*0.475*44/12</f>
        <v>4.2685081777015706E-8</v>
      </c>
      <c r="AX193" s="21">
        <f t="shared" si="166"/>
        <v>53.962193433996823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7.9580786405131221E-13</v>
      </c>
      <c r="BE193" s="13">
        <f>BD193*VLOOKUP('Données projet'!$B$11,Paramètres!$A$1:$I$89,3,0)*VLOOKUP('Données projet'!$B$11,Paramètres!$A$1:$I$89,5,0)</f>
        <v>7.2004695539362725E-13</v>
      </c>
      <c r="BF193" s="13">
        <f t="shared" si="167"/>
        <v>8.5963894794935589E-12</v>
      </c>
      <c r="BG193" s="20">
        <f t="shared" si="168"/>
        <v>1.6226126790761848E-11</v>
      </c>
      <c r="BH193" s="59">
        <f t="shared" si="116"/>
        <v>290.03585244761848</v>
      </c>
      <c r="BI193" s="59">
        <f ca="1">AVERAGE(OFFSET($BH$3,0,0,'Données projet'!$E$11+1,1))-AVERAGE(OFFSET($H$3,0,0,'Données projet'!$E$11+1,1))</f>
        <v>681.47578137804555</v>
      </c>
      <c r="BJ193" s="59">
        <f t="shared" si="146"/>
        <v>300.88511065995885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134.17881812025095</v>
      </c>
      <c r="BQ193" s="21">
        <f>EXP(-LN(2)/25)*BQ192+(1-EXP(-LN(2)/25))/(LN(2)/25)*Calculateur!BL193*Calculateur!BN193*VLOOKUP('Données projet'!$B$11,Paramètres!$A$1:$I$89,3,0)*0.475*44/12</f>
        <v>21.199979871382162</v>
      </c>
      <c r="BR193" s="21">
        <f>EXP(-LN(2)/2)*BR192+(1-EXP(-LN(2)/2))/(LN(2)/2)*BL193*BO193*VLOOKUP('Données projet'!$B$11,Paramètres!$A$1:$I$89,3,0)*0.475*44/12</f>
        <v>0.93909630580116976</v>
      </c>
      <c r="BS193" s="22">
        <f t="shared" si="169"/>
        <v>156.31789429743429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8.5265128291212022E-14</v>
      </c>
      <c r="BZ193" s="13">
        <f>BY193*VLOOKUP('Données projet'!$B$12,Paramètres!$A$1:$I$89,3,0)*VLOOKUP('Données projet'!$B$12,Paramètres!$A$1:$I$89,5,0)</f>
        <v>8.9119112089974823E-14</v>
      </c>
      <c r="CA193" s="13">
        <f t="shared" si="170"/>
        <v>1.3568952080113142E-12</v>
      </c>
      <c r="CB193" s="20">
        <f t="shared" si="171"/>
        <v>2.5184749408430782E-12</v>
      </c>
      <c r="CC193" s="59">
        <f t="shared" si="119"/>
        <v>290.03585244760478</v>
      </c>
      <c r="CD193" s="59">
        <f ca="1">AVERAGE(OFFSET($CC$3,0,0,'Données projet'!$E$12+1,1))-AVERAGE(OFFSET($H$3,0,0,'Données projet'!$E$12+1,1))</f>
        <v>290.69667785754848</v>
      </c>
      <c r="CE193" s="59">
        <f t="shared" si="148"/>
        <v>256.28124185489082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2.9945068595702082</v>
      </c>
      <c r="CL193" s="21">
        <f>EXP(-LN(2)/25)*CL192+(1-EXP(-LN(2)/25))/(LN(2)/25)*Calculateur!CG193*Calculateur!CI193*VLOOKUP('Données projet'!$B$12,Paramètres!$A$1:$I$89,3,0)*0.475*44/12</f>
        <v>3.7479576749925538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6.7424645345627621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408.246209980743</v>
      </c>
      <c r="CZ193" s="59">
        <f t="shared" si="150"/>
        <v>394.10236303013903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6.4621539442759843</v>
      </c>
      <c r="DG193" s="21">
        <f>EXP(-LN(2)/25)*DG192+(1-EXP(-LN(2)/25))/(LN(2)/25)*Calculateur!DB193*Calculateur!DD193*VLOOKUP('Données projet'!$B$13,Paramètres!$A$1:$I$89,3,0)*0.475*44/12</f>
        <v>2.6693420265976813</v>
      </c>
      <c r="DH193" s="21">
        <f>EXP(-LN(2)/2)*DH192+(1-EXP(-LN(2)/2))/(LN(2)/2)*DB193*DE193*VLOOKUP('Données projet'!$B$13,Paramètres!$A$1:$I$89,3,0)*0.475*44/12</f>
        <v>1.9023965341197663E-15</v>
      </c>
      <c r="DI193" s="22">
        <f t="shared" si="175"/>
        <v>9.1314959708736669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5.6843418860808015E-13</v>
      </c>
      <c r="DP193" s="17">
        <f>DO193*VLOOKUP('Données projet'!$B$14,Paramètres!$A$1:$I$89,3,0)*VLOOKUP('Données projet'!$B$14,Paramètres!$A$1:$I$89,5,0)</f>
        <v>3.177547114319168E-13</v>
      </c>
      <c r="DQ193" s="13">
        <f t="shared" si="176"/>
        <v>4.1725404435445377E-12</v>
      </c>
      <c r="DR193" s="20">
        <f t="shared" si="177"/>
        <v>7.820597394917325E-12</v>
      </c>
      <c r="DS193" s="59">
        <f t="shared" si="125"/>
        <v>290.03585244761013</v>
      </c>
      <c r="DT193" s="59">
        <f ca="1">AVERAGE(OFFSET($DS$3,0,0,'Données projet'!$E$14+1,1))-AVERAGE(OFFSET($H$3,0,0,'Données projet'!$E$14+1,1))</f>
        <v>407.05634973057056</v>
      </c>
      <c r="DU193" s="59">
        <f t="shared" si="152"/>
        <v>375.32891954889965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21.430704799055761</v>
      </c>
      <c r="EB193" s="21">
        <f>EXP(-LN(2)/25)*EB192+(1-EXP(-LN(2)/25))/(LN(2)/25)*Calculateur!DW193*Calculateur!DY193*VLOOKUP('Données projet'!$B$14,Paramètres!$A$1:$I$89,3,0)*0.475*44/12</f>
        <v>2.7553448812173298</v>
      </c>
      <c r="EC193" s="21">
        <f>EXP(-LN(2)/2)*EC192+(1-EXP(-LN(2)/2))/(LN(2)/2)*DW193*DZ193*VLOOKUP('Données projet'!$B$14,Paramètres!$A$1:$I$89,3,0)*0.475*44/12</f>
        <v>6.5490602804366753E-17</v>
      </c>
      <c r="ED193" s="22">
        <f t="shared" si="178"/>
        <v>24.18604968027309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1.1368683772161603E-13</v>
      </c>
      <c r="EK193" s="17">
        <f>EJ193*VLOOKUP('Données projet'!$B$15,Paramètres!$A$1:$I$89,3,0)*VLOOKUP('Données projet'!$B$15,Paramètres!$A$1:$I$89,5,0)</f>
        <v>5.0249582272954292E-14</v>
      </c>
      <c r="EL193" s="13">
        <f t="shared" si="179"/>
        <v>8.1784820119191593E-13</v>
      </c>
      <c r="EM193" s="20">
        <f t="shared" si="180"/>
        <v>1.5119369728679821E-12</v>
      </c>
      <c r="EN193" s="59">
        <f t="shared" si="128"/>
        <v>290.03585244760382</v>
      </c>
      <c r="EO193" s="59">
        <f ca="1">AVERAGE(OFFSET($EN$3,0,0,'Données projet'!$E$15+1,1))-AVERAGE(OFFSET($H$3,0,0,'Données projet'!$E$15+1,1))</f>
        <v>418.28022549686278</v>
      </c>
      <c r="EP193" s="59">
        <f t="shared" si="154"/>
        <v>354.55070454517158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23.394121041199728</v>
      </c>
      <c r="EW193" s="21">
        <f>EXP(-LN(2)/25)*EW192+(1-EXP(-LN(2)/25))/(LN(2)/25)*Calculateur!ER193*Calculateur!ET193*VLOOKUP('Données projet'!$B$15,Paramètres!$A$1:$I$89,3,0)*0.475*44/12</f>
        <v>3.4054325262898719</v>
      </c>
      <c r="EX193" s="21">
        <f>EXP(-LN(2)/2)*EX192+(1-EXP(-LN(2)/2))/(LN(2)/2)*ER193*EU193*VLOOKUP('Données projet'!$B$15,Paramètres!$A$1:$I$89,3,0)*0.475*44/12</f>
        <v>2.1816962450051231E-15</v>
      </c>
      <c r="EY193" s="22">
        <f t="shared" si="181"/>
        <v>26.799553567489603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1.9733333333333292</v>
      </c>
      <c r="FE193" s="12">
        <f>IF('Données projet'!$A$218&gt;35,FE192+FD193-FM192,IF(A193&lt;'Données projet'!$A$218,$FB$205^A193,IF(A193='Données projet'!$A$218,'Données projet'!$B$218,FE192+FD193-FM192)))</f>
        <v>143.03666666666638</v>
      </c>
      <c r="FF193" s="17">
        <f>FE193*VLOOKUP('Données projet'!$B$16,Paramètres!$A$1:$I$89,3,0)*VLOOKUP('Données projet'!$B$16,Paramètres!$A$1:$I$89,5,0)</f>
        <v>162.89015599999965</v>
      </c>
      <c r="FG193" s="13">
        <f t="shared" si="182"/>
        <v>41.493717402498838</v>
      </c>
      <c r="FH193" s="20">
        <f t="shared" si="183"/>
        <v>355.96857950935151</v>
      </c>
      <c r="FI193" s="59">
        <f t="shared" si="131"/>
        <v>646.00443195695379</v>
      </c>
      <c r="FJ193" s="59">
        <f ca="1">AVERAGE(OFFSET($FI$3,0,0,'Données projet'!$E$16+1,1))-AVERAGE(OFFSET($H$3,0,0,'Données projet'!$E$16+1,1))</f>
        <v>640.05156427113661</v>
      </c>
      <c r="FK193" s="59">
        <f t="shared" si="156"/>
        <v>308.77220155372902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118.6799095831249</v>
      </c>
      <c r="FR193" s="21">
        <f>EXP(-LN(2)/25)*FR192+(1-EXP(-LN(2)/25))/(LN(2)/25)*Calculateur!FM193*Calculateur!FO193*VLOOKUP('Données projet'!$B$16,Paramètres!$A$1:$I$89,3,0)*0.475*44/12</f>
        <v>45.14007818143655</v>
      </c>
      <c r="FS193" s="21">
        <f>EXP(-LN(2)/2)*FS192+(1-EXP(-LN(2)/2))/(LN(2)/2)*FM193*FP193*VLOOKUP('Données projet'!$B$16,Paramètres!$A$1:$I$89,3,0)*0.475*44/12</f>
        <v>7.9074790819903129E-7</v>
      </c>
      <c r="FT193" s="22">
        <f t="shared" si="184"/>
        <v>163.81998855530938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290.09305636890883</v>
      </c>
      <c r="S194" s="59">
        <f ca="1">AVERAGE(OFFSET($R$3,0,0,'Données projet'!$E$9+1,1))-AVERAGE(OFFSET($H$3,0,0,'Données projet'!$E$9+1,1))</f>
        <v>318.50474972254085</v>
      </c>
      <c r="T194" s="59">
        <f t="shared" si="142"/>
        <v>326.45858332753562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10.37273730480284</v>
      </c>
      <c r="AA194" s="21">
        <f>EXP(-LN(2)/25)*AA193+(1-EXP(-LN(2)/25))/(LN(2)/25)*Calculateur!V194*Calculateur!X194*VLOOKUP('Données projet'!$B$9,Paramètres!$A$1:$I$89,3,0)*0.475*44/12</f>
        <v>1.2817744170298642</v>
      </c>
      <c r="AB194" s="21">
        <f>EXP(-LN(2)/2)*AB193+(1-EXP(-LN(2)/2))/(LN(2)/2)*V194*Y194*VLOOKUP('Données projet'!$B$9,Paramètres!$A$1:$I$89,3,0)*0.475*44/12</f>
        <v>1.1492310691985557E-18</v>
      </c>
      <c r="AC194" s="22">
        <f t="shared" si="163"/>
        <v>11.654511721832703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1.7053025658242404E-13</v>
      </c>
      <c r="AJ194" s="13">
        <f>AI194*VLOOKUP('Données projet'!$B$10,Paramètres!$A$1:$I$89,3,0)*VLOOKUP('Données projet'!$B$10,Paramètres!$A$1:$I$89,5,0)</f>
        <v>7.9808160080574461E-14</v>
      </c>
      <c r="AK194" s="13">
        <f t="shared" si="164"/>
        <v>1.2308384591775343E-12</v>
      </c>
      <c r="AL194" s="20">
        <f t="shared" si="165"/>
        <v>2.282709528541206E-12</v>
      </c>
      <c r="AM194" s="59">
        <f t="shared" si="113"/>
        <v>290.09305636890912</v>
      </c>
      <c r="AN194" s="59">
        <f ca="1">AVERAGE(OFFSET($AM$3,0,0,'Données projet'!$E$10+1,1))-AVERAGE(OFFSET($H$3,0,0,'Données projet'!$E$10+1,1))</f>
        <v>374.38106339726073</v>
      </c>
      <c r="AO194" s="59">
        <f t="shared" si="144"/>
        <v>296.53283288925957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44.326910061845375</v>
      </c>
      <c r="AV194" s="21">
        <f>EXP(-LN(2)/25)*AV193+(1-EXP(-LN(2)/25))/(LN(2)/25)*Calculateur!AQ194*Calculateur!AS194*VLOOKUP('Données projet'!$B$10,Paramètres!$A$1:$I$89,3,0)*0.475*44/12</f>
        <v>8.5094408427671038</v>
      </c>
      <c r="AW194" s="21">
        <f>EXP(-LN(2)/2)*AW193+(1-EXP(-LN(2)/2))/(LN(2)/2)*AQ194*AT194*VLOOKUP('Données projet'!$B$10,Paramètres!$A$1:$I$89,3,0)*0.475*44/12</f>
        <v>3.0182910780030131E-8</v>
      </c>
      <c r="AX194" s="21">
        <f t="shared" si="166"/>
        <v>52.836350934795391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7.9580786405131221E-13</v>
      </c>
      <c r="BE194" s="13">
        <f>BD194*VLOOKUP('Données projet'!$B$11,Paramètres!$A$1:$I$89,3,0)*VLOOKUP('Données projet'!$B$11,Paramètres!$A$1:$I$89,5,0)</f>
        <v>7.2004695539362725E-13</v>
      </c>
      <c r="BF194" s="13">
        <f t="shared" si="167"/>
        <v>8.5963894794935589E-12</v>
      </c>
      <c r="BG194" s="20">
        <f t="shared" si="168"/>
        <v>1.6226126790761848E-11</v>
      </c>
      <c r="BH194" s="59">
        <f t="shared" si="116"/>
        <v>290.09305636892304</v>
      </c>
      <c r="BI194" s="59">
        <f ca="1">AVERAGE(OFFSET($BH$3,0,0,'Données projet'!$E$11+1,1))-AVERAGE(OFFSET($H$3,0,0,'Données projet'!$E$11+1,1))</f>
        <v>681.47578137804555</v>
      </c>
      <c r="BJ194" s="59">
        <f t="shared" si="146"/>
        <v>300.88511065995885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131.54765333791076</v>
      </c>
      <c r="BQ194" s="21">
        <f>EXP(-LN(2)/25)*BQ193+(1-EXP(-LN(2)/25))/(LN(2)/25)*Calculateur!BL194*Calculateur!BN194*VLOOKUP('Données projet'!$B$11,Paramètres!$A$1:$I$89,3,0)*0.475*44/12</f>
        <v>20.620265306940727</v>
      </c>
      <c r="BR194" s="21">
        <f>EXP(-LN(2)/2)*BR193+(1-EXP(-LN(2)/2))/(LN(2)/2)*BL194*BO194*VLOOKUP('Données projet'!$B$11,Paramètres!$A$1:$I$89,3,0)*0.475*44/12</f>
        <v>0.66404136601924291</v>
      </c>
      <c r="BS194" s="22">
        <f t="shared" si="169"/>
        <v>152.83196001087072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8.5265128291212022E-14</v>
      </c>
      <c r="BZ194" s="13">
        <f>BY194*VLOOKUP('Données projet'!$B$12,Paramètres!$A$1:$I$89,3,0)*VLOOKUP('Données projet'!$B$12,Paramètres!$A$1:$I$89,5,0)</f>
        <v>8.9119112089974823E-14</v>
      </c>
      <c r="CA194" s="13">
        <f t="shared" si="170"/>
        <v>1.3568952080113142E-12</v>
      </c>
      <c r="CB194" s="20">
        <f t="shared" si="171"/>
        <v>2.5184749408430782E-12</v>
      </c>
      <c r="CC194" s="59">
        <f t="shared" si="119"/>
        <v>290.09305636890934</v>
      </c>
      <c r="CD194" s="59">
        <f ca="1">AVERAGE(OFFSET($CC$3,0,0,'Données projet'!$E$12+1,1))-AVERAGE(OFFSET($H$3,0,0,'Données projet'!$E$12+1,1))</f>
        <v>290.69667785754848</v>
      </c>
      <c r="CE194" s="59">
        <f t="shared" si="148"/>
        <v>256.28124185489082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2.935786406522872</v>
      </c>
      <c r="CL194" s="21">
        <f>EXP(-LN(2)/25)*CL193+(1-EXP(-LN(2)/25))/(LN(2)/25)*Calculateur!CG194*Calculateur!CI194*VLOOKUP('Données projet'!$B$12,Paramètres!$A$1:$I$89,3,0)*0.475*44/12</f>
        <v>3.6454695752733546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6.5812559817962271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408.246209980743</v>
      </c>
      <c r="CZ194" s="59">
        <f t="shared" si="150"/>
        <v>394.10236303013903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6.3354350469534451</v>
      </c>
      <c r="DG194" s="21">
        <f>EXP(-LN(2)/25)*DG193+(1-EXP(-LN(2)/25))/(LN(2)/25)*Calculateur!DB194*Calculateur!DD194*VLOOKUP('Données projet'!$B$13,Paramètres!$A$1:$I$89,3,0)*0.475*44/12</f>
        <v>2.5963487285057711</v>
      </c>
      <c r="DH194" s="21">
        <f>EXP(-LN(2)/2)*DH193+(1-EXP(-LN(2)/2))/(LN(2)/2)*DB194*DE194*VLOOKUP('Données projet'!$B$13,Paramètres!$A$1:$I$89,3,0)*0.475*44/12</f>
        <v>1.345197489781872E-15</v>
      </c>
      <c r="DI194" s="22">
        <f t="shared" si="175"/>
        <v>8.931783775459218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5.6843418860808015E-13</v>
      </c>
      <c r="DP194" s="17">
        <f>DO194*VLOOKUP('Données projet'!$B$14,Paramètres!$A$1:$I$89,3,0)*VLOOKUP('Données projet'!$B$14,Paramètres!$A$1:$I$89,5,0)</f>
        <v>3.177547114319168E-13</v>
      </c>
      <c r="DQ194" s="13">
        <f t="shared" si="176"/>
        <v>4.1725404435445377E-12</v>
      </c>
      <c r="DR194" s="20">
        <f t="shared" si="177"/>
        <v>7.820597394917325E-12</v>
      </c>
      <c r="DS194" s="59">
        <f t="shared" si="125"/>
        <v>290.09305636891469</v>
      </c>
      <c r="DT194" s="59">
        <f ca="1">AVERAGE(OFFSET($DS$3,0,0,'Données projet'!$E$14+1,1))-AVERAGE(OFFSET($H$3,0,0,'Données projet'!$E$14+1,1))</f>
        <v>407.05634973057056</v>
      </c>
      <c r="DU194" s="59">
        <f t="shared" si="152"/>
        <v>375.32891954889965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21.010461749385506</v>
      </c>
      <c r="EB194" s="21">
        <f>EXP(-LN(2)/25)*EB193+(1-EXP(-LN(2)/25))/(LN(2)/25)*Calculateur!DW194*Calculateur!DY194*VLOOKUP('Données projet'!$B$14,Paramètres!$A$1:$I$89,3,0)*0.475*44/12</f>
        <v>2.6799998305431521</v>
      </c>
      <c r="EC194" s="21">
        <f>EXP(-LN(2)/2)*EC193+(1-EXP(-LN(2)/2))/(LN(2)/2)*DW194*DZ194*VLOOKUP('Données projet'!$B$14,Paramètres!$A$1:$I$89,3,0)*0.475*44/12</f>
        <v>4.6308849346962458E-17</v>
      </c>
      <c r="ED194" s="22">
        <f t="shared" si="178"/>
        <v>23.690461579928659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1.1368683772161603E-13</v>
      </c>
      <c r="EK194" s="17">
        <f>EJ194*VLOOKUP('Données projet'!$B$15,Paramètres!$A$1:$I$89,3,0)*VLOOKUP('Données projet'!$B$15,Paramètres!$A$1:$I$89,5,0)</f>
        <v>5.0249582272954292E-14</v>
      </c>
      <c r="EL194" s="13">
        <f t="shared" si="179"/>
        <v>8.1784820119191593E-13</v>
      </c>
      <c r="EM194" s="20">
        <f t="shared" si="180"/>
        <v>1.5119369728679821E-12</v>
      </c>
      <c r="EN194" s="59">
        <f t="shared" si="128"/>
        <v>290.09305636890838</v>
      </c>
      <c r="EO194" s="59">
        <f ca="1">AVERAGE(OFFSET($EN$3,0,0,'Données projet'!$E$15+1,1))-AVERAGE(OFFSET($H$3,0,0,'Données projet'!$E$15+1,1))</f>
        <v>418.28022549686278</v>
      </c>
      <c r="EP194" s="59">
        <f t="shared" si="154"/>
        <v>354.55070454517158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22.935376596586689</v>
      </c>
      <c r="EW194" s="21">
        <f>EXP(-LN(2)/25)*EW193+(1-EXP(-LN(2)/25))/(LN(2)/25)*Calculateur!ER194*Calculateur!ET194*VLOOKUP('Données projet'!$B$15,Paramètres!$A$1:$I$89,3,0)*0.475*44/12</f>
        <v>3.3123107947745623</v>
      </c>
      <c r="EX194" s="21">
        <f>EXP(-LN(2)/2)*EX193+(1-EXP(-LN(2)/2))/(LN(2)/2)*ER194*EU194*VLOOKUP('Données projet'!$B$15,Paramètres!$A$1:$I$89,3,0)*0.475*44/12</f>
        <v>1.54269220933235E-15</v>
      </c>
      <c r="EY194" s="22">
        <f t="shared" si="181"/>
        <v>26.24768739136125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>
        <f>VLOOKUP(A194,'Données projet'!$A$217:$I$237,2,0)</f>
        <v>145.01</v>
      </c>
      <c r="FC194" s="12">
        <f>VLOOKUP(A194,'Données projet'!$A$217:$I$237,9,0)</f>
        <v>1.9733333333333292</v>
      </c>
      <c r="FD194" s="12">
        <f t="array" ref="FD194">INDEX(FC:FC,MIN(IF(ISNUMBER(FC194:FC390),ROW(FC194:FC390),"")))</f>
        <v>1.9733333333333292</v>
      </c>
      <c r="FE194" s="12">
        <f>IF('Données projet'!$A$218&gt;35,FE193+FD194-FM193,IF(A194&lt;'Données projet'!$A$218,$FB$205^A194,IF(A194='Données projet'!$A$218,'Données projet'!$B$218,FE193+FD194-FM193)))</f>
        <v>145.00999999999971</v>
      </c>
      <c r="FF194" s="17">
        <f>FE194*VLOOKUP('Données projet'!$B$16,Paramètres!$A$1:$I$89,3,0)*VLOOKUP('Données projet'!$B$16,Paramètres!$A$1:$I$89,5,0)</f>
        <v>165.13738799999967</v>
      </c>
      <c r="FG194" s="13">
        <f t="shared" si="182"/>
        <v>41.999127663831423</v>
      </c>
      <c r="FH194" s="20">
        <f t="shared" si="183"/>
        <v>360.76276478117251</v>
      </c>
      <c r="FI194" s="59">
        <f t="shared" si="131"/>
        <v>650.85582115007935</v>
      </c>
      <c r="FJ194" s="59">
        <f ca="1">AVERAGE(OFFSET($FI$3,0,0,'Données projet'!$E$16+1,1))-AVERAGE(OFFSET($H$3,0,0,'Données projet'!$E$16+1,1))</f>
        <v>640.05156427113661</v>
      </c>
      <c r="FK194" s="59">
        <f t="shared" si="156"/>
        <v>308.77220155372902</v>
      </c>
      <c r="FL194" s="15">
        <f>IF(ISNA(VLOOKUP(A194,'Données projet'!$A$217:$I$237,3,0)),0,VLOOKUP(A194,'Données projet'!$A$217:$I$237,3,0))</f>
        <v>16</v>
      </c>
      <c r="FM194" s="15">
        <f>IF(ISNA(VLOOKUP(A194,'Données projet'!$A$217:$I$237,4,0)),0,VLOOKUP(A194,'Données projet'!$A$217:$I$237,4,0))</f>
        <v>145.01</v>
      </c>
      <c r="FN194" s="16">
        <f>IF(ISNA(VLOOKUP(A194,'Données projet'!$A$217:$I$237,5,0)),0%,VLOOKUP(A194,'Données projet'!$A$217:$I$237,5,0)*VLOOKUP('Données projet'!$B$16,Paramètres!$A$1:$I$89,7,0))</f>
        <v>0.19350000000000001</v>
      </c>
      <c r="FO194" s="16">
        <f>IF(ISNA(VLOOKUP(A194,'Données projet'!$A$217:$I$237,6,0)),0%,VLOOKUP(A194,'Données projet'!$A$217:$I$237,6,0)*VLOOKUP('Données projet'!$B$16,Paramètres!$A$1:$I$89,7,0))</f>
        <v>2.1500000000000002E-2</v>
      </c>
      <c r="FP194" s="16">
        <f>IF(ISNA(VLOOKUP(A194,'Données projet'!$A$217:$I$237,7,0)),0%,VLOOKUP(A194,'Données projet'!$A$217:$I$237,7,0))</f>
        <v>0.05</v>
      </c>
      <c r="FQ194" s="21">
        <f>EXP(-LN(2)/35)*FQ193+(1-EXP(-LN(2)/35))/(LN(2)/35)*FM194*FN194*VLOOKUP('Données projet'!$B$16,Paramètres!$A$1:$I$89,3,0)*0.475*44/12</f>
        <v>151.67696294986663</v>
      </c>
      <c r="FR194" s="21">
        <f>EXP(-LN(2)/25)*FR193+(1-EXP(-LN(2)/25))/(LN(2)/25)*Calculateur!FM194*Calculateur!FO194*VLOOKUP('Données projet'!$B$16,Paramètres!$A$1:$I$89,3,0)*0.475*44/12</f>
        <v>47.81518801430235</v>
      </c>
      <c r="FS194" s="21">
        <f>EXP(-LN(2)/2)*FS193+(1-EXP(-LN(2)/2))/(LN(2)/2)*FM194*FP194*VLOOKUP('Données projet'!$B$16,Paramètres!$A$1:$I$89,3,0)*0.475*44/12</f>
        <v>7.7905790684248517</v>
      </c>
      <c r="FT194" s="22">
        <f t="shared" si="184"/>
        <v>207.28273003259383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290.14926793006765</v>
      </c>
      <c r="S195" s="59">
        <f ca="1">AVERAGE(OFFSET($R$3,0,0,'Données projet'!$E$9+1,1))-AVERAGE(OFFSET($H$3,0,0,'Données projet'!$E$9+1,1))</f>
        <v>318.50474972254085</v>
      </c>
      <c r="T195" s="59">
        <f t="shared" si="142"/>
        <v>326.45858332753562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10.169334253000697</v>
      </c>
      <c r="AA195" s="21">
        <f>EXP(-LN(2)/25)*AA194+(1-EXP(-LN(2)/25))/(LN(2)/25)*Calculateur!V195*Calculateur!X195*VLOOKUP('Données projet'!$B$9,Paramètres!$A$1:$I$89,3,0)*0.475*44/12</f>
        <v>1.2467242281905955</v>
      </c>
      <c r="AB195" s="21">
        <f>EXP(-LN(2)/2)*AB194+(1-EXP(-LN(2)/2))/(LN(2)/2)*V195*Y195*VLOOKUP('Données projet'!$B$9,Paramètres!$A$1:$I$89,3,0)*0.475*44/12</f>
        <v>8.1262908218056521E-19</v>
      </c>
      <c r="AC195" s="22">
        <f t="shared" si="163"/>
        <v>11.416058481191293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1.7053025658242404E-13</v>
      </c>
      <c r="AJ195" s="13">
        <f>AI195*VLOOKUP('Données projet'!$B$10,Paramètres!$A$1:$I$89,3,0)*VLOOKUP('Données projet'!$B$10,Paramètres!$A$1:$I$89,5,0)</f>
        <v>7.9808160080574461E-14</v>
      </c>
      <c r="AK195" s="13">
        <f t="shared" si="164"/>
        <v>1.2308384591775343E-12</v>
      </c>
      <c r="AL195" s="20">
        <f t="shared" si="165"/>
        <v>2.282709528541206E-12</v>
      </c>
      <c r="AM195" s="59">
        <f t="shared" si="113"/>
        <v>290.14926793006794</v>
      </c>
      <c r="AN195" s="59">
        <f ca="1">AVERAGE(OFFSET($AM$3,0,0,'Données projet'!$E$10+1,1))-AVERAGE(OFFSET($H$3,0,0,'Données projet'!$E$10+1,1))</f>
        <v>374.38106339726073</v>
      </c>
      <c r="AO195" s="59">
        <f t="shared" si="144"/>
        <v>296.53283288925957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43.45768639227807</v>
      </c>
      <c r="AV195" s="21">
        <f>EXP(-LN(2)/25)*AV194+(1-EXP(-LN(2)/25))/(LN(2)/25)*Calculateur!AQ195*Calculateur!AS195*VLOOKUP('Données projet'!$B$10,Paramètres!$A$1:$I$89,3,0)*0.475*44/12</f>
        <v>8.2767497354295916</v>
      </c>
      <c r="AW195" s="21">
        <f>EXP(-LN(2)/2)*AW194+(1-EXP(-LN(2)/2))/(LN(2)/2)*AQ195*AT195*VLOOKUP('Données projet'!$B$10,Paramètres!$A$1:$I$89,3,0)*0.475*44/12</f>
        <v>2.1342540888507853E-8</v>
      </c>
      <c r="AX195" s="21">
        <f t="shared" si="166"/>
        <v>51.734436149050204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7.9580786405131221E-13</v>
      </c>
      <c r="BE195" s="13">
        <f>BD195*VLOOKUP('Données projet'!$B$11,Paramètres!$A$1:$I$89,3,0)*VLOOKUP('Données projet'!$B$11,Paramètres!$A$1:$I$89,5,0)</f>
        <v>7.2004695539362725E-13</v>
      </c>
      <c r="BF195" s="13">
        <f t="shared" si="167"/>
        <v>8.5963894794935589E-12</v>
      </c>
      <c r="BG195" s="20">
        <f t="shared" si="168"/>
        <v>1.6226126790761848E-11</v>
      </c>
      <c r="BH195" s="59">
        <f t="shared" si="116"/>
        <v>290.14926793008186</v>
      </c>
      <c r="BI195" s="59">
        <f ca="1">AVERAGE(OFFSET($BH$3,0,0,'Données projet'!$E$11+1,1))-AVERAGE(OFFSET($H$3,0,0,'Données projet'!$E$11+1,1))</f>
        <v>681.47578137804555</v>
      </c>
      <c r="BJ195" s="59">
        <f t="shared" si="146"/>
        <v>300.88511065995885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128.96808409210021</v>
      </c>
      <c r="BQ195" s="21">
        <f>EXP(-LN(2)/25)*BQ194+(1-EXP(-LN(2)/25))/(LN(2)/25)*Calculateur!BL195*Calculateur!BN195*VLOOKUP('Données projet'!$B$11,Paramètres!$A$1:$I$89,3,0)*0.475*44/12</f>
        <v>20.056403067749809</v>
      </c>
      <c r="BR195" s="21">
        <f>EXP(-LN(2)/2)*BR194+(1-EXP(-LN(2)/2))/(LN(2)/2)*BL195*BO195*VLOOKUP('Données projet'!$B$11,Paramètres!$A$1:$I$89,3,0)*0.475*44/12</f>
        <v>0.46954815290058494</v>
      </c>
      <c r="BS195" s="22">
        <f t="shared" si="169"/>
        <v>149.49403531275061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8.5265128291212022E-14</v>
      </c>
      <c r="BZ195" s="13">
        <f>BY195*VLOOKUP('Données projet'!$B$12,Paramètres!$A$1:$I$89,3,0)*VLOOKUP('Données projet'!$B$12,Paramètres!$A$1:$I$89,5,0)</f>
        <v>8.9119112089974823E-14</v>
      </c>
      <c r="CA195" s="13">
        <f t="shared" si="170"/>
        <v>1.3568952080113142E-12</v>
      </c>
      <c r="CB195" s="20">
        <f t="shared" si="171"/>
        <v>2.5184749408430782E-12</v>
      </c>
      <c r="CC195" s="59">
        <f t="shared" si="119"/>
        <v>290.14926793006816</v>
      </c>
      <c r="CD195" s="59">
        <f ca="1">AVERAGE(OFFSET($CC$3,0,0,'Données projet'!$E$12+1,1))-AVERAGE(OFFSET($H$3,0,0,'Données projet'!$E$12+1,1))</f>
        <v>290.69667785754848</v>
      </c>
      <c r="CE195" s="59">
        <f t="shared" si="148"/>
        <v>256.28124185489082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2.8782174257438542</v>
      </c>
      <c r="CL195" s="21">
        <f>EXP(-LN(2)/25)*CL194+(1-EXP(-LN(2)/25))/(LN(2)/25)*Calculateur!CG195*Calculateur!CI195*VLOOKUP('Données projet'!$B$12,Paramètres!$A$1:$I$89,3,0)*0.475*44/12</f>
        <v>3.5457840180305915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6.4240014437744453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408.246209980743</v>
      </c>
      <c r="CZ195" s="59">
        <f t="shared" si="150"/>
        <v>394.10236303013903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6.2112010299165057</v>
      </c>
      <c r="DG195" s="21">
        <f>EXP(-LN(2)/25)*DG194+(1-EXP(-LN(2)/25))/(LN(2)/25)*Calculateur!DB195*Calculateur!DD195*VLOOKUP('Données projet'!$B$13,Paramètres!$A$1:$I$89,3,0)*0.475*44/12</f>
        <v>2.525351435988735</v>
      </c>
      <c r="DH195" s="21">
        <f>EXP(-LN(2)/2)*DH194+(1-EXP(-LN(2)/2))/(LN(2)/2)*DB195*DE195*VLOOKUP('Données projet'!$B$13,Paramètres!$A$1:$I$89,3,0)*0.475*44/12</f>
        <v>9.5119826705988313E-16</v>
      </c>
      <c r="DI195" s="22">
        <f t="shared" si="175"/>
        <v>8.7365524659052429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5.6843418860808015E-13</v>
      </c>
      <c r="DP195" s="17">
        <f>DO195*VLOOKUP('Données projet'!$B$14,Paramètres!$A$1:$I$89,3,0)*VLOOKUP('Données projet'!$B$14,Paramètres!$A$1:$I$89,5,0)</f>
        <v>3.177547114319168E-13</v>
      </c>
      <c r="DQ195" s="13">
        <f t="shared" si="176"/>
        <v>4.1725404435445377E-12</v>
      </c>
      <c r="DR195" s="20">
        <f t="shared" si="177"/>
        <v>7.820597394917325E-12</v>
      </c>
      <c r="DS195" s="59">
        <f t="shared" si="125"/>
        <v>290.14926793007351</v>
      </c>
      <c r="DT195" s="59">
        <f ca="1">AVERAGE(OFFSET($DS$3,0,0,'Données projet'!$E$14+1,1))-AVERAGE(OFFSET($H$3,0,0,'Données projet'!$E$14+1,1))</f>
        <v>407.05634973057056</v>
      </c>
      <c r="DU195" s="59">
        <f t="shared" si="152"/>
        <v>375.32891954889965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20.598459409596337</v>
      </c>
      <c r="EB195" s="21">
        <f>EXP(-LN(2)/25)*EB194+(1-EXP(-LN(2)/25))/(LN(2)/25)*Calculateur!DW195*Calculateur!DY195*VLOOKUP('Données projet'!$B$14,Paramètres!$A$1:$I$89,3,0)*0.475*44/12</f>
        <v>2.6067150942418835</v>
      </c>
      <c r="EC195" s="21">
        <f>EXP(-LN(2)/2)*EC194+(1-EXP(-LN(2)/2))/(LN(2)/2)*DW195*DZ195*VLOOKUP('Données projet'!$B$14,Paramètres!$A$1:$I$89,3,0)*0.475*44/12</f>
        <v>3.2745301402183376E-17</v>
      </c>
      <c r="ED195" s="22">
        <f t="shared" si="178"/>
        <v>23.205174503838222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1.1368683772161603E-13</v>
      </c>
      <c r="EK195" s="17">
        <f>EJ195*VLOOKUP('Données projet'!$B$15,Paramètres!$A$1:$I$89,3,0)*VLOOKUP('Données projet'!$B$15,Paramètres!$A$1:$I$89,5,0)</f>
        <v>5.0249582272954292E-14</v>
      </c>
      <c r="EL195" s="13">
        <f t="shared" si="179"/>
        <v>8.1784820119191593E-13</v>
      </c>
      <c r="EM195" s="20">
        <f t="shared" si="180"/>
        <v>1.5119369728679821E-12</v>
      </c>
      <c r="EN195" s="59">
        <f t="shared" si="128"/>
        <v>290.1492679300672</v>
      </c>
      <c r="EO195" s="59">
        <f ca="1">AVERAGE(OFFSET($EN$3,0,0,'Données projet'!$E$15+1,1))-AVERAGE(OFFSET($H$3,0,0,'Données projet'!$E$15+1,1))</f>
        <v>418.28022549686278</v>
      </c>
      <c r="EP195" s="59">
        <f t="shared" si="154"/>
        <v>354.55070454517158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22.485627850726029</v>
      </c>
      <c r="EW195" s="21">
        <f>EXP(-LN(2)/25)*EW194+(1-EXP(-LN(2)/25))/(LN(2)/25)*Calculateur!ER195*Calculateur!ET195*VLOOKUP('Données projet'!$B$15,Paramètres!$A$1:$I$89,3,0)*0.475*44/12</f>
        <v>3.2217354819045974</v>
      </c>
      <c r="EX195" s="21">
        <f>EXP(-LN(2)/2)*EX194+(1-EXP(-LN(2)/2))/(LN(2)/2)*ER195*EU195*VLOOKUP('Données projet'!$B$15,Paramètres!$A$1:$I$89,3,0)*0.475*44/12</f>
        <v>1.0908481225025615E-15</v>
      </c>
      <c r="EY195" s="22">
        <f t="shared" si="181"/>
        <v>25.707363332630628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-2.8421709430404007E-13</v>
      </c>
      <c r="FF195" s="17">
        <f>FE195*VLOOKUP('Données projet'!$B$16,Paramètres!$A$1:$I$89,3,0)*VLOOKUP('Données projet'!$B$16,Paramètres!$A$1:$I$89,5,0)</f>
        <v>-3.2366642699344083E-13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640.05156427113661</v>
      </c>
      <c r="FK195" s="59">
        <f t="shared" si="156"/>
        <v>308.77220155372902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148.70267022023216</v>
      </c>
      <c r="FR195" s="21">
        <f>EXP(-LN(2)/25)*FR194+(1-EXP(-LN(2)/25))/(LN(2)/25)*Calculateur!FM195*Calculateur!FO195*VLOOKUP('Données projet'!$B$16,Paramètres!$A$1:$I$89,3,0)*0.475*44/12</f>
        <v>46.507679183559802</v>
      </c>
      <c r="FS195" s="21">
        <f>EXP(-LN(2)/2)*FS194+(1-EXP(-LN(2)/2))/(LN(2)/2)*FM195*FP195*VLOOKUP('Données projet'!$B$16,Paramètres!$A$1:$I$89,3,0)*0.475*44/12</f>
        <v>5.5087712886531897</v>
      </c>
      <c r="FT195" s="22">
        <f t="shared" si="184"/>
        <v>200.71912069244513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290.2045043463105</v>
      </c>
      <c r="S196" s="59">
        <f ca="1">AVERAGE(OFFSET($R$3,0,0,'Données projet'!$E$9+1,1))-AVERAGE(OFFSET($H$3,0,0,'Données projet'!$E$9+1,1))</f>
        <v>318.50474972254085</v>
      </c>
      <c r="T196" s="59">
        <f t="shared" si="142"/>
        <v>326.45858332753562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9.9699198109807838</v>
      </c>
      <c r="AA196" s="21">
        <f>EXP(-LN(2)/25)*AA195+(1-EXP(-LN(2)/25))/(LN(2)/25)*Calculateur!V196*Calculateur!X196*VLOOKUP('Données projet'!$B$9,Paramètres!$A$1:$I$89,3,0)*0.475*44/12</f>
        <v>1.2126324886083459</v>
      </c>
      <c r="AB196" s="21">
        <f>EXP(-LN(2)/2)*AB195+(1-EXP(-LN(2)/2))/(LN(2)/2)*V196*Y196*VLOOKUP('Données projet'!$B$9,Paramètres!$A$1:$I$89,3,0)*0.475*44/12</f>
        <v>5.7461553459927786E-19</v>
      </c>
      <c r="AC196" s="22">
        <f t="shared" si="163"/>
        <v>11.18255229958913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1.7053025658242404E-13</v>
      </c>
      <c r="AJ196" s="13">
        <f>AI196*VLOOKUP('Données projet'!$B$10,Paramètres!$A$1:$I$89,3,0)*VLOOKUP('Données projet'!$B$10,Paramètres!$A$1:$I$89,5,0)</f>
        <v>7.9808160080574461E-14</v>
      </c>
      <c r="AK196" s="13">
        <f t="shared" si="164"/>
        <v>1.2308384591775343E-12</v>
      </c>
      <c r="AL196" s="20">
        <f t="shared" si="165"/>
        <v>2.282709528541206E-12</v>
      </c>
      <c r="AM196" s="59">
        <f t="shared" ref="AM196:AM203" si="193">AL196+(AD196+AE196)*44/12</f>
        <v>290.20450434631078</v>
      </c>
      <c r="AN196" s="59">
        <f ca="1">AVERAGE(OFFSET($AM$3,0,0,'Données projet'!$E$10+1,1))-AVERAGE(OFFSET($H$3,0,0,'Données projet'!$E$10+1,1))</f>
        <v>374.38106339726073</v>
      </c>
      <c r="AO196" s="59">
        <f t="shared" si="144"/>
        <v>296.53283288925957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42.605507668696887</v>
      </c>
      <c r="AV196" s="21">
        <f>EXP(-LN(2)/25)*AV195+(1-EXP(-LN(2)/25))/(LN(2)/25)*Calculateur!AQ196*Calculateur!AS196*VLOOKUP('Données projet'!$B$10,Paramètres!$A$1:$I$89,3,0)*0.475*44/12</f>
        <v>8.0504215786589182</v>
      </c>
      <c r="AW196" s="21">
        <f>EXP(-LN(2)/2)*AW195+(1-EXP(-LN(2)/2))/(LN(2)/2)*AQ196*AT196*VLOOKUP('Données projet'!$B$10,Paramètres!$A$1:$I$89,3,0)*0.475*44/12</f>
        <v>1.5091455390015065E-8</v>
      </c>
      <c r="AX196" s="21">
        <f t="shared" si="166"/>
        <v>50.655929262447266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7.9580786405131221E-13</v>
      </c>
      <c r="BE196" s="13">
        <f>BD196*VLOOKUP('Données projet'!$B$11,Paramètres!$A$1:$I$89,3,0)*VLOOKUP('Données projet'!$B$11,Paramètres!$A$1:$I$89,5,0)</f>
        <v>7.2004695539362725E-13</v>
      </c>
      <c r="BF196" s="13">
        <f t="shared" si="167"/>
        <v>8.5963894794935589E-12</v>
      </c>
      <c r="BG196" s="20">
        <f t="shared" si="168"/>
        <v>1.6226126790761848E-11</v>
      </c>
      <c r="BH196" s="59">
        <f t="shared" ref="BH196:BH203" si="194">BG196+(AY196+AZ196)*44/12</f>
        <v>290.20450434632471</v>
      </c>
      <c r="BI196" s="59">
        <f ca="1">AVERAGE(OFFSET($BH$3,0,0,'Données projet'!$E$11+1,1))-AVERAGE(OFFSET($H$3,0,0,'Données projet'!$E$11+1,1))</f>
        <v>681.47578137804555</v>
      </c>
      <c r="BJ196" s="59">
        <f t="shared" si="146"/>
        <v>300.88511065995885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126.43909862581812</v>
      </c>
      <c r="BQ196" s="21">
        <f>EXP(-LN(2)/25)*BQ195+(1-EXP(-LN(2)/25))/(LN(2)/25)*Calculateur!BL196*Calculateur!BN196*VLOOKUP('Données projet'!$B$11,Paramètres!$A$1:$I$89,3,0)*0.475*44/12</f>
        <v>19.507959671141794</v>
      </c>
      <c r="BR196" s="21">
        <f>EXP(-LN(2)/2)*BR195+(1-EXP(-LN(2)/2))/(LN(2)/2)*BL196*BO196*VLOOKUP('Données projet'!$B$11,Paramètres!$A$1:$I$89,3,0)*0.475*44/12</f>
        <v>0.33202068300962151</v>
      </c>
      <c r="BS196" s="22">
        <f t="shared" si="169"/>
        <v>146.27907897996954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8.5265128291212022E-14</v>
      </c>
      <c r="BZ196" s="13">
        <f>BY196*VLOOKUP('Données projet'!$B$12,Paramètres!$A$1:$I$89,3,0)*VLOOKUP('Données projet'!$B$12,Paramètres!$A$1:$I$89,5,0)</f>
        <v>8.9119112089974823E-14</v>
      </c>
      <c r="CA196" s="13">
        <f t="shared" si="170"/>
        <v>1.3568952080113142E-12</v>
      </c>
      <c r="CB196" s="20">
        <f t="shared" si="171"/>
        <v>2.5184749408430782E-12</v>
      </c>
      <c r="CC196" s="59">
        <f t="shared" ref="CC196:CC203" si="195">CB196+(BT196+BU196)*44/12</f>
        <v>290.20450434631101</v>
      </c>
      <c r="CD196" s="59">
        <f ca="1">AVERAGE(OFFSET($CC$3,0,0,'Données projet'!$E$12+1,1))-AVERAGE(OFFSET($H$3,0,0,'Données projet'!$E$12+1,1))</f>
        <v>290.69667785754848</v>
      </c>
      <c r="CE196" s="59">
        <f t="shared" si="148"/>
        <v>256.28124185489082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2.8217773375643018</v>
      </c>
      <c r="CL196" s="21">
        <f>EXP(-LN(2)/25)*CL195+(1-EXP(-LN(2)/25))/(LN(2)/25)*Calculateur!CG196*Calculateur!CI196*VLOOKUP('Données projet'!$B$12,Paramètres!$A$1:$I$89,3,0)*0.475*44/12</f>
        <v>3.4488243675928674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6.2706017051571692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408.246209980743</v>
      </c>
      <c r="CZ196" s="59">
        <f t="shared" si="150"/>
        <v>394.10236303013903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6.0894031661783918</v>
      </c>
      <c r="DG196" s="21">
        <f>EXP(-LN(2)/25)*DG195+(1-EXP(-LN(2)/25))/(LN(2)/25)*Calculateur!DB196*Calculateur!DD196*VLOOKUP('Données projet'!$B$13,Paramètres!$A$1:$I$89,3,0)*0.475*44/12</f>
        <v>2.4562955681691627</v>
      </c>
      <c r="DH196" s="21">
        <f>EXP(-LN(2)/2)*DH195+(1-EXP(-LN(2)/2))/(LN(2)/2)*DB196*DE196*VLOOKUP('Données projet'!$B$13,Paramètres!$A$1:$I$89,3,0)*0.475*44/12</f>
        <v>6.7259874489093599E-16</v>
      </c>
      <c r="DI196" s="22">
        <f t="shared" si="175"/>
        <v>8.545698734347555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5.6843418860808015E-13</v>
      </c>
      <c r="DP196" s="17">
        <f>DO196*VLOOKUP('Données projet'!$B$14,Paramètres!$A$1:$I$89,3,0)*VLOOKUP('Données projet'!$B$14,Paramètres!$A$1:$I$89,5,0)</f>
        <v>3.177547114319168E-13</v>
      </c>
      <c r="DQ196" s="13">
        <f t="shared" si="176"/>
        <v>4.1725404435445377E-12</v>
      </c>
      <c r="DR196" s="20">
        <f t="shared" si="177"/>
        <v>7.820597394917325E-12</v>
      </c>
      <c r="DS196" s="59">
        <f t="shared" ref="DS196:DS203" si="197">DR196+(DJ196+DK196)*44/12</f>
        <v>290.20450434631636</v>
      </c>
      <c r="DT196" s="59">
        <f ca="1">AVERAGE(OFFSET($DS$3,0,0,'Données projet'!$E$14+1,1))-AVERAGE(OFFSET($H$3,0,0,'Données projet'!$E$14+1,1))</f>
        <v>407.05634973057056</v>
      </c>
      <c r="DU196" s="59">
        <f t="shared" si="152"/>
        <v>375.32891954889965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20.194536184393819</v>
      </c>
      <c r="EB196" s="21">
        <f>EXP(-LN(2)/25)*EB195+(1-EXP(-LN(2)/25))/(LN(2)/25)*Calculateur!DW196*Calculateur!DY196*VLOOKUP('Données projet'!$B$14,Paramètres!$A$1:$I$89,3,0)*0.475*44/12</f>
        <v>2.5354343329086499</v>
      </c>
      <c r="EC196" s="21">
        <f>EXP(-LN(2)/2)*EC195+(1-EXP(-LN(2)/2))/(LN(2)/2)*DW196*DZ196*VLOOKUP('Données projet'!$B$14,Paramètres!$A$1:$I$89,3,0)*0.475*44/12</f>
        <v>2.3154424673481229E-17</v>
      </c>
      <c r="ED196" s="22">
        <f t="shared" si="178"/>
        <v>22.729970517302469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1.1368683772161603E-13</v>
      </c>
      <c r="EK196" s="17">
        <f>EJ196*VLOOKUP('Données projet'!$B$15,Paramètres!$A$1:$I$89,3,0)*VLOOKUP('Données projet'!$B$15,Paramètres!$A$1:$I$89,5,0)</f>
        <v>5.0249582272954292E-14</v>
      </c>
      <c r="EL196" s="13">
        <f t="shared" si="179"/>
        <v>8.1784820119191593E-13</v>
      </c>
      <c r="EM196" s="20">
        <f t="shared" si="180"/>
        <v>1.5119369728679821E-12</v>
      </c>
      <c r="EN196" s="59">
        <f t="shared" ref="EN196:EN203" si="198">EM196+(EE196+EF196)*44/12</f>
        <v>290.20450434631005</v>
      </c>
      <c r="EO196" s="59">
        <f ca="1">AVERAGE(OFFSET($EN$3,0,0,'Données projet'!$E$15+1,1))-AVERAGE(OFFSET($H$3,0,0,'Données projet'!$E$15+1,1))</f>
        <v>418.28022549686278</v>
      </c>
      <c r="EP196" s="59">
        <f t="shared" si="154"/>
        <v>354.55070454517158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22.044698403452049</v>
      </c>
      <c r="EW196" s="21">
        <f>EXP(-LN(2)/25)*EW195+(1-EXP(-LN(2)/25))/(LN(2)/25)*Calculateur!ER196*Calculateur!ET196*VLOOKUP('Données projet'!$B$15,Paramètres!$A$1:$I$89,3,0)*0.475*44/12</f>
        <v>3.1336369557282104</v>
      </c>
      <c r="EX196" s="21">
        <f>EXP(-LN(2)/2)*EX195+(1-EXP(-LN(2)/2))/(LN(2)/2)*ER196*EU196*VLOOKUP('Données projet'!$B$15,Paramètres!$A$1:$I$89,3,0)*0.475*44/12</f>
        <v>7.7134610466617498E-16</v>
      </c>
      <c r="EY196" s="22">
        <f t="shared" si="181"/>
        <v>25.178335359180259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-2.8421709430404007E-13</v>
      </c>
      <c r="FF196" s="17">
        <f>FE196*VLOOKUP('Données projet'!$B$16,Paramètres!$A$1:$I$89,3,0)*VLOOKUP('Données projet'!$B$16,Paramètres!$A$1:$I$89,5,0)</f>
        <v>-3.2366642699344083E-13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640.05156427113661</v>
      </c>
      <c r="FK196" s="59">
        <f t="shared" si="156"/>
        <v>308.77220155372902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145.78670155688638</v>
      </c>
      <c r="FR196" s="21">
        <f>EXP(-LN(2)/25)*FR195+(1-EXP(-LN(2)/25))/(LN(2)/25)*Calculateur!FM196*Calculateur!FO196*VLOOKUP('Données projet'!$B$16,Paramètres!$A$1:$I$89,3,0)*0.475*44/12</f>
        <v>45.235924250552806</v>
      </c>
      <c r="FS196" s="21">
        <f>EXP(-LN(2)/2)*FS195+(1-EXP(-LN(2)/2))/(LN(2)/2)*FM196*FP196*VLOOKUP('Données projet'!$B$16,Paramètres!$A$1:$I$89,3,0)*0.475*44/12</f>
        <v>3.8952895342124267</v>
      </c>
      <c r="FT196" s="22">
        <f t="shared" si="184"/>
        <v>194.91791534165162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290.25878253422172</v>
      </c>
      <c r="S197" s="59">
        <f ca="1">AVERAGE(OFFSET($R$3,0,0,'Données projet'!$E$9+1,1))-AVERAGE(OFFSET($H$3,0,0,'Données projet'!$E$9+1,1))</f>
        <v>318.50474972254085</v>
      </c>
      <c r="T197" s="59">
        <f t="shared" ref="T197:T203" si="204">$T$3</f>
        <v>326.45858332753562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9.774415764538082</v>
      </c>
      <c r="AA197" s="21">
        <f>EXP(-LN(2)/25)*AA196+(1-EXP(-LN(2)/25))/(LN(2)/25)*Calculateur!V197*Calculateur!X197*VLOOKUP('Données projet'!$B$9,Paramètres!$A$1:$I$89,3,0)*0.475*44/12</f>
        <v>1.1794729894377796</v>
      </c>
      <c r="AB197" s="21">
        <f>EXP(-LN(2)/2)*AB196+(1-EXP(-LN(2)/2))/(LN(2)/2)*V197*Y197*VLOOKUP('Données projet'!$B$9,Paramètres!$A$1:$I$89,3,0)*0.475*44/12</f>
        <v>4.063145410902826E-19</v>
      </c>
      <c r="AC197" s="22">
        <f t="shared" si="163"/>
        <v>10.953888753975862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1.7053025658242404E-13</v>
      </c>
      <c r="AJ197" s="13">
        <f>AI197*VLOOKUP('Données projet'!$B$10,Paramètres!$A$1:$I$89,3,0)*VLOOKUP('Données projet'!$B$10,Paramètres!$A$1:$I$89,5,0)</f>
        <v>7.9808160080574461E-14</v>
      </c>
      <c r="AK197" s="13">
        <f t="shared" si="164"/>
        <v>1.2308384591775343E-12</v>
      </c>
      <c r="AL197" s="20">
        <f t="shared" si="165"/>
        <v>2.282709528541206E-12</v>
      </c>
      <c r="AM197" s="59">
        <f t="shared" si="193"/>
        <v>290.25878253422201</v>
      </c>
      <c r="AN197" s="59">
        <f ca="1">AVERAGE(OFFSET($AM$3,0,0,'Données projet'!$E$10+1,1))-AVERAGE(OFFSET($H$3,0,0,'Données projet'!$E$10+1,1))</f>
        <v>374.38106339726073</v>
      </c>
      <c r="AO197" s="59">
        <f t="shared" ref="AO197:AO203" si="205">$AO$3</f>
        <v>296.53283288925957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41.770039650107435</v>
      </c>
      <c r="AV197" s="21">
        <f>EXP(-LN(2)/25)*AV196+(1-EXP(-LN(2)/25))/(LN(2)/25)*Calculateur!AQ197*Calculateur!AS197*VLOOKUP('Données projet'!$B$10,Paramètres!$A$1:$I$89,3,0)*0.475*44/12</f>
        <v>7.8302823772372188</v>
      </c>
      <c r="AW197" s="21">
        <f>EXP(-LN(2)/2)*AW196+(1-EXP(-LN(2)/2))/(LN(2)/2)*AQ197*AT197*VLOOKUP('Données projet'!$B$10,Paramètres!$A$1:$I$89,3,0)*0.475*44/12</f>
        <v>1.0671270444253926E-8</v>
      </c>
      <c r="AX197" s="21">
        <f t="shared" si="166"/>
        <v>49.600322038015925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7.9580786405131221E-13</v>
      </c>
      <c r="BE197" s="13">
        <f>BD197*VLOOKUP('Données projet'!$B$11,Paramètres!$A$1:$I$89,3,0)*VLOOKUP('Données projet'!$B$11,Paramètres!$A$1:$I$89,5,0)</f>
        <v>7.2004695539362725E-13</v>
      </c>
      <c r="BF197" s="13">
        <f t="shared" si="167"/>
        <v>8.5963894794935589E-12</v>
      </c>
      <c r="BG197" s="20">
        <f t="shared" si="168"/>
        <v>1.6226126790761848E-11</v>
      </c>
      <c r="BH197" s="59">
        <f t="shared" si="194"/>
        <v>290.25878253423593</v>
      </c>
      <c r="BI197" s="59">
        <f ca="1">AVERAGE(OFFSET($BH$3,0,0,'Données projet'!$E$11+1,1))-AVERAGE(OFFSET($H$3,0,0,'Données projet'!$E$11+1,1))</f>
        <v>681.47578137804555</v>
      </c>
      <c r="BJ197" s="59">
        <f t="shared" ref="BJ197:BJ203" si="206">$BJ$3</f>
        <v>300.88511065995885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123.959705022001</v>
      </c>
      <c r="BQ197" s="21">
        <f>EXP(-LN(2)/25)*BQ196+(1-EXP(-LN(2)/25))/(LN(2)/25)*Calculateur!BL197*Calculateur!BN197*VLOOKUP('Données projet'!$B$11,Paramètres!$A$1:$I$89,3,0)*0.475*44/12</f>
        <v>18.974513488055408</v>
      </c>
      <c r="BR197" s="21">
        <f>EXP(-LN(2)/2)*BR196+(1-EXP(-LN(2)/2))/(LN(2)/2)*BL197*BO197*VLOOKUP('Données projet'!$B$11,Paramètres!$A$1:$I$89,3,0)*0.475*44/12</f>
        <v>0.2347740764502925</v>
      </c>
      <c r="BS197" s="22">
        <f t="shared" si="169"/>
        <v>143.1689925865067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8.5265128291212022E-14</v>
      </c>
      <c r="BZ197" s="13">
        <f>BY197*VLOOKUP('Données projet'!$B$12,Paramètres!$A$1:$I$89,3,0)*VLOOKUP('Données projet'!$B$12,Paramètres!$A$1:$I$89,5,0)</f>
        <v>8.9119112089974823E-14</v>
      </c>
      <c r="CA197" s="13">
        <f t="shared" si="170"/>
        <v>1.3568952080113142E-12</v>
      </c>
      <c r="CB197" s="20">
        <f t="shared" si="171"/>
        <v>2.5184749408430782E-12</v>
      </c>
      <c r="CC197" s="59">
        <f t="shared" si="195"/>
        <v>290.25878253422223</v>
      </c>
      <c r="CD197" s="59">
        <f ca="1">AVERAGE(OFFSET($CC$3,0,0,'Données projet'!$E$12+1,1))-AVERAGE(OFFSET($H$3,0,0,'Données projet'!$E$12+1,1))</f>
        <v>290.69667785754848</v>
      </c>
      <c r="CE197" s="59">
        <f t="shared" ref="CE197:CE203" si="207">$CE$3</f>
        <v>256.28124185489082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2.7664440050888959</v>
      </c>
      <c r="CL197" s="21">
        <f>EXP(-LN(2)/25)*CL196+(1-EXP(-LN(2)/25))/(LN(2)/25)*Calculateur!CG197*Calculateur!CI197*VLOOKUP('Données projet'!$B$12,Paramètres!$A$1:$I$89,3,0)*0.475*44/12</f>
        <v>3.3545160838952492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6.1209600889841447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408.246209980743</v>
      </c>
      <c r="CZ197" s="59">
        <f t="shared" ref="CZ197:CZ203" si="208">$CZ$3</f>
        <v>394.10236303013903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5.9699936842588208</v>
      </c>
      <c r="DG197" s="21">
        <f>EXP(-LN(2)/25)*DG196+(1-EXP(-LN(2)/25))/(LN(2)/25)*Calculateur!DB197*Calculateur!DD197*VLOOKUP('Données projet'!$B$13,Paramètres!$A$1:$I$89,3,0)*0.475*44/12</f>
        <v>2.389128036686607</v>
      </c>
      <c r="DH197" s="21">
        <f>EXP(-LN(2)/2)*DH196+(1-EXP(-LN(2)/2))/(LN(2)/2)*DB197*DE197*VLOOKUP('Données projet'!$B$13,Paramètres!$A$1:$I$89,3,0)*0.475*44/12</f>
        <v>4.7559913352994157E-16</v>
      </c>
      <c r="DI197" s="22">
        <f t="shared" si="175"/>
        <v>8.3591217209454278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5.6843418860808015E-13</v>
      </c>
      <c r="DP197" s="17">
        <f>DO197*VLOOKUP('Données projet'!$B$14,Paramètres!$A$1:$I$89,3,0)*VLOOKUP('Données projet'!$B$14,Paramètres!$A$1:$I$89,5,0)</f>
        <v>3.177547114319168E-13</v>
      </c>
      <c r="DQ197" s="13">
        <f t="shared" si="176"/>
        <v>4.1725404435445377E-12</v>
      </c>
      <c r="DR197" s="20">
        <f t="shared" si="177"/>
        <v>7.820597394917325E-12</v>
      </c>
      <c r="DS197" s="59">
        <f t="shared" si="197"/>
        <v>290.25878253422758</v>
      </c>
      <c r="DT197" s="59">
        <f ca="1">AVERAGE(OFFSET($DS$3,0,0,'Données projet'!$E$14+1,1))-AVERAGE(OFFSET($H$3,0,0,'Données projet'!$E$14+1,1))</f>
        <v>407.05634973057056</v>
      </c>
      <c r="DU197" s="59">
        <f t="shared" ref="DU197:DU203" si="209">$DU$3</f>
        <v>375.32891954889965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19.79853364726868</v>
      </c>
      <c r="EB197" s="21">
        <f>EXP(-LN(2)/25)*EB196+(1-EXP(-LN(2)/25))/(LN(2)/25)*Calculateur!DW197*Calculateur!DY197*VLOOKUP('Données projet'!$B$14,Paramètres!$A$1:$I$89,3,0)*0.475*44/12</f>
        <v>2.4661027477425663</v>
      </c>
      <c r="EC197" s="21">
        <f>EXP(-LN(2)/2)*EC196+(1-EXP(-LN(2)/2))/(LN(2)/2)*DW197*DZ197*VLOOKUP('Données projet'!$B$14,Paramètres!$A$1:$I$89,3,0)*0.475*44/12</f>
        <v>1.6372650701091688E-17</v>
      </c>
      <c r="ED197" s="22">
        <f t="shared" si="178"/>
        <v>22.264636395011248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1.1368683772161603E-13</v>
      </c>
      <c r="EK197" s="17">
        <f>EJ197*VLOOKUP('Données projet'!$B$15,Paramètres!$A$1:$I$89,3,0)*VLOOKUP('Données projet'!$B$15,Paramètres!$A$1:$I$89,5,0)</f>
        <v>5.0249582272954292E-14</v>
      </c>
      <c r="EL197" s="13">
        <f t="shared" si="179"/>
        <v>8.1784820119191593E-13</v>
      </c>
      <c r="EM197" s="20">
        <f t="shared" si="180"/>
        <v>1.5119369728679821E-12</v>
      </c>
      <c r="EN197" s="59">
        <f t="shared" si="198"/>
        <v>290.25878253422127</v>
      </c>
      <c r="EO197" s="59">
        <f ca="1">AVERAGE(OFFSET($EN$3,0,0,'Données projet'!$E$15+1,1))-AVERAGE(OFFSET($H$3,0,0,'Données projet'!$E$15+1,1))</f>
        <v>418.28022549686278</v>
      </c>
      <c r="EP197" s="59">
        <f t="shared" ref="EP197:EP203" si="210">$EP$3</f>
        <v>354.55070454517158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21.612415313698705</v>
      </c>
      <c r="EW197" s="21">
        <f>EXP(-LN(2)/25)*EW196+(1-EXP(-LN(2)/25))/(LN(2)/25)*Calculateur!ER197*Calculateur!ET197*VLOOKUP('Données projet'!$B$15,Paramètres!$A$1:$I$89,3,0)*0.475*44/12</f>
        <v>3.0479474883830169</v>
      </c>
      <c r="EX197" s="21">
        <f>EXP(-LN(2)/2)*EX196+(1-EXP(-LN(2)/2))/(LN(2)/2)*ER197*EU197*VLOOKUP('Données projet'!$B$15,Paramètres!$A$1:$I$89,3,0)*0.475*44/12</f>
        <v>5.4542406125128077E-16</v>
      </c>
      <c r="EY197" s="22">
        <f t="shared" si="181"/>
        <v>24.660362802081721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-2.8421709430404007E-13</v>
      </c>
      <c r="FF197" s="17">
        <f>FE197*VLOOKUP('Données projet'!$B$16,Paramètres!$A$1:$I$89,3,0)*VLOOKUP('Données projet'!$B$16,Paramètres!$A$1:$I$89,5,0)</f>
        <v>-3.2366642699344083E-13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640.05156427113661</v>
      </c>
      <c r="FK197" s="59">
        <f t="shared" ref="FK197:FK203" si="211">$FK$3</f>
        <v>308.77220155372902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142.92791326046355</v>
      </c>
      <c r="FR197" s="21">
        <f>EXP(-LN(2)/25)*FR196+(1-EXP(-LN(2)/25))/(LN(2)/25)*Calculateur!FM197*Calculateur!FO197*VLOOKUP('Données projet'!$B$16,Paramètres!$A$1:$I$89,3,0)*0.475*44/12</f>
        <v>43.998945523067569</v>
      </c>
      <c r="FS197" s="21">
        <f>EXP(-LN(2)/2)*FS196+(1-EXP(-LN(2)/2))/(LN(2)/2)*FM197*FP197*VLOOKUP('Données projet'!$B$16,Paramètres!$A$1:$I$89,3,0)*0.475*44/12</f>
        <v>2.7543856443265953</v>
      </c>
      <c r="FT197" s="22">
        <f t="shared" si="184"/>
        <v>189.68124442785771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290.31211911692048</v>
      </c>
      <c r="S198" s="59">
        <f ca="1">AVERAGE(OFFSET($R$3,0,0,'Données projet'!$E$9+1,1))-AVERAGE(OFFSET($H$3,0,0,'Données projet'!$E$9+1,1))</f>
        <v>318.50474972254085</v>
      </c>
      <c r="T198" s="59">
        <f t="shared" si="204"/>
        <v>326.45858332753562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9.5827454332004276</v>
      </c>
      <c r="AA198" s="21">
        <f>EXP(-LN(2)/25)*AA197+(1-EXP(-LN(2)/25))/(LN(2)/25)*Calculateur!V198*Calculateur!X198*VLOOKUP('Données projet'!$B$9,Paramètres!$A$1:$I$89,3,0)*0.475*44/12</f>
        <v>1.1472202385158148</v>
      </c>
      <c r="AB198" s="21">
        <f>EXP(-LN(2)/2)*AB197+(1-EXP(-LN(2)/2))/(LN(2)/2)*V198*Y198*VLOOKUP('Données projet'!$B$9,Paramètres!$A$1:$I$89,3,0)*0.475*44/12</f>
        <v>2.8730776729963893E-19</v>
      </c>
      <c r="AC198" s="22">
        <f t="shared" si="163"/>
        <v>10.729965671716242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1.7053025658242404E-13</v>
      </c>
      <c r="AJ198" s="13">
        <f>AI198*VLOOKUP('Données projet'!$B$10,Paramètres!$A$1:$I$89,3,0)*VLOOKUP('Données projet'!$B$10,Paramètres!$A$1:$I$89,5,0)</f>
        <v>7.9808160080574461E-14</v>
      </c>
      <c r="AK198" s="13">
        <f t="shared" si="164"/>
        <v>1.2308384591775343E-12</v>
      </c>
      <c r="AL198" s="20">
        <f t="shared" si="165"/>
        <v>2.282709528541206E-12</v>
      </c>
      <c r="AM198" s="59">
        <f t="shared" si="193"/>
        <v>290.31211911692077</v>
      </c>
      <c r="AN198" s="59">
        <f ca="1">AVERAGE(OFFSET($AM$3,0,0,'Données projet'!$E$10+1,1))-AVERAGE(OFFSET($H$3,0,0,'Données projet'!$E$10+1,1))</f>
        <v>374.38106339726073</v>
      </c>
      <c r="AO198" s="59">
        <f t="shared" si="205"/>
        <v>296.53283288925957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40.950954649777351</v>
      </c>
      <c r="AV198" s="21">
        <f>EXP(-LN(2)/25)*AV197+(1-EXP(-LN(2)/25))/(LN(2)/25)*Calculateur!AQ198*Calculateur!AS198*VLOOKUP('Données projet'!$B$10,Paramètres!$A$1:$I$89,3,0)*0.475*44/12</f>
        <v>7.6161628938550132</v>
      </c>
      <c r="AW198" s="21">
        <f>EXP(-LN(2)/2)*AW197+(1-EXP(-LN(2)/2))/(LN(2)/2)*AQ198*AT198*VLOOKUP('Données projet'!$B$10,Paramètres!$A$1:$I$89,3,0)*0.475*44/12</f>
        <v>7.5457276950075326E-9</v>
      </c>
      <c r="AX198" s="21">
        <f t="shared" si="166"/>
        <v>48.567117551178093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7.9580786405131221E-13</v>
      </c>
      <c r="BE198" s="13">
        <f>BD198*VLOOKUP('Données projet'!$B$11,Paramètres!$A$1:$I$89,3,0)*VLOOKUP('Données projet'!$B$11,Paramètres!$A$1:$I$89,5,0)</f>
        <v>7.2004695539362725E-13</v>
      </c>
      <c r="BF198" s="13">
        <f t="shared" si="167"/>
        <v>8.5963894794935589E-12</v>
      </c>
      <c r="BG198" s="20">
        <f t="shared" si="168"/>
        <v>1.6226126790761848E-11</v>
      </c>
      <c r="BH198" s="59">
        <f t="shared" si="194"/>
        <v>290.3121191169347</v>
      </c>
      <c r="BI198" s="59">
        <f ca="1">AVERAGE(OFFSET($BH$3,0,0,'Données projet'!$E$11+1,1))-AVERAGE(OFFSET($H$3,0,0,'Données projet'!$E$11+1,1))</f>
        <v>681.47578137804555</v>
      </c>
      <c r="BJ198" s="59">
        <f t="shared" si="206"/>
        <v>300.88511065995885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121.52893081447397</v>
      </c>
      <c r="BQ198" s="21">
        <f>EXP(-LN(2)/25)*BQ197+(1-EXP(-LN(2)/25))/(LN(2)/25)*Calculateur!BL198*Calculateur!BN198*VLOOKUP('Données projet'!$B$11,Paramètres!$A$1:$I$89,3,0)*0.475*44/12</f>
        <v>18.455654418898234</v>
      </c>
      <c r="BR198" s="21">
        <f>EXP(-LN(2)/2)*BR197+(1-EXP(-LN(2)/2))/(LN(2)/2)*BL198*BO198*VLOOKUP('Données projet'!$B$11,Paramètres!$A$1:$I$89,3,0)*0.475*44/12</f>
        <v>0.16601034150481075</v>
      </c>
      <c r="BS198" s="22">
        <f t="shared" si="169"/>
        <v>140.150595574877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8.5265128291212022E-14</v>
      </c>
      <c r="BZ198" s="13">
        <f>BY198*VLOOKUP('Données projet'!$B$12,Paramètres!$A$1:$I$89,3,0)*VLOOKUP('Données projet'!$B$12,Paramètres!$A$1:$I$89,5,0)</f>
        <v>8.9119112089974823E-14</v>
      </c>
      <c r="CA198" s="13">
        <f t="shared" si="170"/>
        <v>1.3568952080113142E-12</v>
      </c>
      <c r="CB198" s="20">
        <f t="shared" si="171"/>
        <v>2.5184749408430782E-12</v>
      </c>
      <c r="CC198" s="59">
        <f t="shared" si="195"/>
        <v>290.312119116921</v>
      </c>
      <c r="CD198" s="59">
        <f ca="1">AVERAGE(OFFSET($CC$3,0,0,'Données projet'!$E$12+1,1))-AVERAGE(OFFSET($H$3,0,0,'Données projet'!$E$12+1,1))</f>
        <v>290.69667785754848</v>
      </c>
      <c r="CE198" s="59">
        <f t="shared" si="207"/>
        <v>256.28124185489082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2.7121957255133324</v>
      </c>
      <c r="CL198" s="21">
        <f>EXP(-LN(2)/25)*CL197+(1-EXP(-LN(2)/25))/(LN(2)/25)*Calculateur!CG198*Calculateur!CI198*VLOOKUP('Données projet'!$B$12,Paramètres!$A$1:$I$89,3,0)*0.475*44/12</f>
        <v>3.2627866651747999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5.9749823906881323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408.246209980743</v>
      </c>
      <c r="CZ198" s="59">
        <f t="shared" si="208"/>
        <v>394.10236303013903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5.8529257494471008</v>
      </c>
      <c r="DG198" s="21">
        <f>EXP(-LN(2)/25)*DG197+(1-EXP(-LN(2)/25))/(LN(2)/25)*Calculateur!DB198*Calculateur!DD198*VLOOKUP('Données projet'!$B$13,Paramètres!$A$1:$I$89,3,0)*0.475*44/12</f>
        <v>2.3237972048846287</v>
      </c>
      <c r="DH198" s="21">
        <f>EXP(-LN(2)/2)*DH197+(1-EXP(-LN(2)/2))/(LN(2)/2)*DB198*DE198*VLOOKUP('Données projet'!$B$13,Paramètres!$A$1:$I$89,3,0)*0.475*44/12</f>
        <v>3.3629937244546799E-16</v>
      </c>
      <c r="DI198" s="22">
        <f t="shared" si="175"/>
        <v>8.1767229543317299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5.6843418860808015E-13</v>
      </c>
      <c r="DP198" s="17">
        <f>DO198*VLOOKUP('Données projet'!$B$14,Paramètres!$A$1:$I$89,3,0)*VLOOKUP('Données projet'!$B$14,Paramètres!$A$1:$I$89,5,0)</f>
        <v>3.177547114319168E-13</v>
      </c>
      <c r="DQ198" s="13">
        <f t="shared" si="176"/>
        <v>4.1725404435445377E-12</v>
      </c>
      <c r="DR198" s="20">
        <f t="shared" si="177"/>
        <v>7.820597394917325E-12</v>
      </c>
      <c r="DS198" s="59">
        <f t="shared" si="197"/>
        <v>290.31211911692634</v>
      </c>
      <c r="DT198" s="59">
        <f ca="1">AVERAGE(OFFSET($DS$3,0,0,'Données projet'!$E$14+1,1))-AVERAGE(OFFSET($H$3,0,0,'Données projet'!$E$14+1,1))</f>
        <v>407.05634973057056</v>
      </c>
      <c r="DU198" s="59">
        <f t="shared" si="209"/>
        <v>375.32891954889965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19.41029647835887</v>
      </c>
      <c r="EB198" s="21">
        <f>EXP(-LN(2)/25)*EB197+(1-EXP(-LN(2)/25))/(LN(2)/25)*Calculateur!DW198*Calculateur!DY198*VLOOKUP('Données projet'!$B$14,Paramètres!$A$1:$I$89,3,0)*0.475*44/12</f>
        <v>2.3986670384188389</v>
      </c>
      <c r="EC198" s="21">
        <f>EXP(-LN(2)/2)*EC197+(1-EXP(-LN(2)/2))/(LN(2)/2)*DW198*DZ198*VLOOKUP('Données projet'!$B$14,Paramètres!$A$1:$I$89,3,0)*0.475*44/12</f>
        <v>1.1577212336740615E-17</v>
      </c>
      <c r="ED198" s="22">
        <f t="shared" si="178"/>
        <v>21.808963516777709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1.1368683772161603E-13</v>
      </c>
      <c r="EK198" s="17">
        <f>EJ198*VLOOKUP('Données projet'!$B$15,Paramètres!$A$1:$I$89,3,0)*VLOOKUP('Données projet'!$B$15,Paramètres!$A$1:$I$89,5,0)</f>
        <v>5.0249582272954292E-14</v>
      </c>
      <c r="EL198" s="13">
        <f t="shared" si="179"/>
        <v>8.1784820119191593E-13</v>
      </c>
      <c r="EM198" s="20">
        <f t="shared" si="180"/>
        <v>1.5119369728679821E-12</v>
      </c>
      <c r="EN198" s="59">
        <f t="shared" si="198"/>
        <v>290.31211911692003</v>
      </c>
      <c r="EO198" s="59">
        <f ca="1">AVERAGE(OFFSET($EN$3,0,0,'Données projet'!$E$15+1,1))-AVERAGE(OFFSET($H$3,0,0,'Données projet'!$E$15+1,1))</f>
        <v>418.28022549686278</v>
      </c>
      <c r="EP198" s="59">
        <f t="shared" si="210"/>
        <v>354.55070454517158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21.188609031668772</v>
      </c>
      <c r="EW198" s="21">
        <f>EXP(-LN(2)/25)*EW197+(1-EXP(-LN(2)/25))/(LN(2)/25)*Calculateur!ER198*Calculateur!ET198*VLOOKUP('Données projet'!$B$15,Paramètres!$A$1:$I$89,3,0)*0.475*44/12</f>
        <v>2.964601204028591</v>
      </c>
      <c r="EX198" s="21">
        <f>EXP(-LN(2)/2)*EX197+(1-EXP(-LN(2)/2))/(LN(2)/2)*ER198*EU198*VLOOKUP('Données projet'!$B$15,Paramètres!$A$1:$I$89,3,0)*0.475*44/12</f>
        <v>3.8567305233308749E-16</v>
      </c>
      <c r="EY198" s="22">
        <f t="shared" si="181"/>
        <v>24.153210235697362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-2.8421709430404007E-13</v>
      </c>
      <c r="FF198" s="17">
        <f>FE198*VLOOKUP('Données projet'!$B$16,Paramètres!$A$1:$I$89,3,0)*VLOOKUP('Données projet'!$B$16,Paramètres!$A$1:$I$89,5,0)</f>
        <v>-3.2366642699344083E-13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640.05156427113661</v>
      </c>
      <c r="FK198" s="59">
        <f t="shared" si="211"/>
        <v>308.77220155372902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140.12518405884489</v>
      </c>
      <c r="FR198" s="21">
        <f>EXP(-LN(2)/25)*FR197+(1-EXP(-LN(2)/25))/(LN(2)/25)*Calculateur!FM198*Calculateur!FO198*VLOOKUP('Données projet'!$B$16,Paramètres!$A$1:$I$89,3,0)*0.475*44/12</f>
        <v>42.7957920439353</v>
      </c>
      <c r="FS198" s="21">
        <f>EXP(-LN(2)/2)*FS197+(1-EXP(-LN(2)/2))/(LN(2)/2)*FM198*FP198*VLOOKUP('Données projet'!$B$16,Paramètres!$A$1:$I$89,3,0)*0.475*44/12</f>
        <v>1.9476447671062136</v>
      </c>
      <c r="FT198" s="22">
        <f t="shared" si="184"/>
        <v>184.86862086988643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290.36453042915218</v>
      </c>
      <c r="S199" s="59">
        <f ca="1">AVERAGE(OFFSET($R$3,0,0,'Données projet'!$E$9+1,1))-AVERAGE(OFFSET($H$3,0,0,'Données projet'!$E$9+1,1))</f>
        <v>318.50474972254085</v>
      </c>
      <c r="T199" s="59">
        <f t="shared" si="204"/>
        <v>326.45858332753562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9.394833640152946</v>
      </c>
      <c r="AA199" s="21">
        <f>EXP(-LN(2)/25)*AA198+(1-EXP(-LN(2)/25))/(LN(2)/25)*Calculateur!V199*Calculateur!X199*VLOOKUP('Données projet'!$B$9,Paramètres!$A$1:$I$89,3,0)*0.475*44/12</f>
        <v>1.1158494407639095</v>
      </c>
      <c r="AB199" s="21">
        <f>EXP(-LN(2)/2)*AB198+(1-EXP(-LN(2)/2))/(LN(2)/2)*V199*Y199*VLOOKUP('Données projet'!$B$9,Paramètres!$A$1:$I$89,3,0)*0.475*44/12</f>
        <v>2.031572705451413E-19</v>
      </c>
      <c r="AC199" s="22">
        <f t="shared" si="163"/>
        <v>10.510683080916856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1.7053025658242404E-13</v>
      </c>
      <c r="AJ199" s="13">
        <f>AI199*VLOOKUP('Données projet'!$B$10,Paramètres!$A$1:$I$89,3,0)*VLOOKUP('Données projet'!$B$10,Paramètres!$A$1:$I$89,5,0)</f>
        <v>7.9808160080574461E-14</v>
      </c>
      <c r="AK199" s="13">
        <f t="shared" si="164"/>
        <v>1.2308384591775343E-12</v>
      </c>
      <c r="AL199" s="20">
        <f t="shared" si="165"/>
        <v>2.282709528541206E-12</v>
      </c>
      <c r="AM199" s="59">
        <f t="shared" si="193"/>
        <v>290.36453042915247</v>
      </c>
      <c r="AN199" s="59">
        <f ca="1">AVERAGE(OFFSET($AM$3,0,0,'Données projet'!$E$10+1,1))-AVERAGE(OFFSET($H$3,0,0,'Données projet'!$E$10+1,1))</f>
        <v>374.38106339726073</v>
      </c>
      <c r="AO199" s="59">
        <f t="shared" si="205"/>
        <v>296.53283288925957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40.147931406711216</v>
      </c>
      <c r="AV199" s="21">
        <f>EXP(-LN(2)/25)*AV198+(1-EXP(-LN(2)/25))/(LN(2)/25)*Calculateur!AQ199*Calculateur!AS199*VLOOKUP('Données projet'!$B$10,Paramètres!$A$1:$I$89,3,0)*0.475*44/12</f>
        <v>7.4078985190059479</v>
      </c>
      <c r="AW199" s="21">
        <f>EXP(-LN(2)/2)*AW198+(1-EXP(-LN(2)/2))/(LN(2)/2)*AQ199*AT199*VLOOKUP('Données projet'!$B$10,Paramètres!$A$1:$I$89,3,0)*0.475*44/12</f>
        <v>5.3356352221269632E-9</v>
      </c>
      <c r="AX199" s="21">
        <f t="shared" si="166"/>
        <v>47.555829931052799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7.9580786405131221E-13</v>
      </c>
      <c r="BE199" s="13">
        <f>BD199*VLOOKUP('Données projet'!$B$11,Paramètres!$A$1:$I$89,3,0)*VLOOKUP('Données projet'!$B$11,Paramètres!$A$1:$I$89,5,0)</f>
        <v>7.2004695539362725E-13</v>
      </c>
      <c r="BF199" s="13">
        <f t="shared" si="167"/>
        <v>8.5963894794935589E-12</v>
      </c>
      <c r="BG199" s="20">
        <f t="shared" si="168"/>
        <v>1.6226126790761848E-11</v>
      </c>
      <c r="BH199" s="59">
        <f t="shared" si="194"/>
        <v>290.36453042916639</v>
      </c>
      <c r="BI199" s="59">
        <f ca="1">AVERAGE(OFFSET($BH$3,0,0,'Données projet'!$E$11+1,1))-AVERAGE(OFFSET($H$3,0,0,'Données projet'!$E$11+1,1))</f>
        <v>681.47578137804555</v>
      </c>
      <c r="BJ199" s="59">
        <f t="shared" si="206"/>
        <v>300.88511065995885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119.14582260653066</v>
      </c>
      <c r="BQ199" s="21">
        <f>EXP(-LN(2)/25)*BQ198+(1-EXP(-LN(2)/25))/(LN(2)/25)*Calculateur!BL199*Calculateur!BN199*VLOOKUP('Données projet'!$B$11,Paramètres!$A$1:$I$89,3,0)*0.475*44/12</f>
        <v>17.950983578272776</v>
      </c>
      <c r="BR199" s="21">
        <f>EXP(-LN(2)/2)*BR198+(1-EXP(-LN(2)/2))/(LN(2)/2)*BL199*BO199*VLOOKUP('Données projet'!$B$11,Paramètres!$A$1:$I$89,3,0)*0.475*44/12</f>
        <v>0.11738703822514625</v>
      </c>
      <c r="BS199" s="22">
        <f t="shared" si="169"/>
        <v>137.21419322302856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8.5265128291212022E-14</v>
      </c>
      <c r="BZ199" s="13">
        <f>BY199*VLOOKUP('Données projet'!$B$12,Paramètres!$A$1:$I$89,3,0)*VLOOKUP('Données projet'!$B$12,Paramètres!$A$1:$I$89,5,0)</f>
        <v>8.9119112089974823E-14</v>
      </c>
      <c r="CA199" s="13">
        <f t="shared" si="170"/>
        <v>1.3568952080113142E-12</v>
      </c>
      <c r="CB199" s="20">
        <f t="shared" si="171"/>
        <v>2.5184749408430782E-12</v>
      </c>
      <c r="CC199" s="59">
        <f t="shared" si="195"/>
        <v>290.36453042915269</v>
      </c>
      <c r="CD199" s="59">
        <f ca="1">AVERAGE(OFFSET($CC$3,0,0,'Données projet'!$E$12+1,1))-AVERAGE(OFFSET($H$3,0,0,'Données projet'!$E$12+1,1))</f>
        <v>290.69667785754848</v>
      </c>
      <c r="CE199" s="59">
        <f t="shared" si="207"/>
        <v>256.28124185489082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2.6590112216120625</v>
      </c>
      <c r="CL199" s="21">
        <f>EXP(-LN(2)/25)*CL198+(1-EXP(-LN(2)/25))/(LN(2)/25)*Calculateur!CG199*Calculateur!CI199*VLOOKUP('Données projet'!$B$12,Paramètres!$A$1:$I$89,3,0)*0.475*44/12</f>
        <v>3.1735655922331016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5.8325768138451641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408.246209980743</v>
      </c>
      <c r="CZ199" s="59">
        <f t="shared" si="208"/>
        <v>394.10236303013903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5.7381534454326486</v>
      </c>
      <c r="DG199" s="21">
        <f>EXP(-LN(2)/25)*DG198+(1-EXP(-LN(2)/25))/(LN(2)/25)*Calculateur!DB199*Calculateur!DD199*VLOOKUP('Données projet'!$B$13,Paramètres!$A$1:$I$89,3,0)*0.475*44/12</f>
        <v>2.2602528481138746</v>
      </c>
      <c r="DH199" s="21">
        <f>EXP(-LN(2)/2)*DH198+(1-EXP(-LN(2)/2))/(LN(2)/2)*DB199*DE199*VLOOKUP('Données projet'!$B$13,Paramètres!$A$1:$I$89,3,0)*0.475*44/12</f>
        <v>2.3779956676497078E-16</v>
      </c>
      <c r="DI199" s="22">
        <f t="shared" si="175"/>
        <v>7.9984062935465232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5.6843418860808015E-13</v>
      </c>
      <c r="DP199" s="17">
        <f>DO199*VLOOKUP('Données projet'!$B$14,Paramètres!$A$1:$I$89,3,0)*VLOOKUP('Données projet'!$B$14,Paramètres!$A$1:$I$89,5,0)</f>
        <v>3.177547114319168E-13</v>
      </c>
      <c r="DQ199" s="13">
        <f t="shared" si="176"/>
        <v>4.1725404435445377E-12</v>
      </c>
      <c r="DR199" s="20">
        <f t="shared" si="177"/>
        <v>7.820597394917325E-12</v>
      </c>
      <c r="DS199" s="59">
        <f t="shared" si="197"/>
        <v>290.36453042915804</v>
      </c>
      <c r="DT199" s="59">
        <f ca="1">AVERAGE(OFFSET($DS$3,0,0,'Données projet'!$E$14+1,1))-AVERAGE(OFFSET($H$3,0,0,'Données projet'!$E$14+1,1))</f>
        <v>407.05634973057056</v>
      </c>
      <c r="DU199" s="59">
        <f t="shared" si="209"/>
        <v>375.32891954889965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19.029672403530089</v>
      </c>
      <c r="EB199" s="21">
        <f>EXP(-LN(2)/25)*EB198+(1-EXP(-LN(2)/25))/(LN(2)/25)*Calculateur!DW199*Calculateur!DY199*VLOOKUP('Données projet'!$B$14,Paramètres!$A$1:$I$89,3,0)*0.475*44/12</f>
        <v>2.3330753621128584</v>
      </c>
      <c r="EC199" s="21">
        <f>EXP(-LN(2)/2)*EC198+(1-EXP(-LN(2)/2))/(LN(2)/2)*DW199*DZ199*VLOOKUP('Données projet'!$B$14,Paramètres!$A$1:$I$89,3,0)*0.475*44/12</f>
        <v>8.1863253505458441E-18</v>
      </c>
      <c r="ED199" s="22">
        <f t="shared" si="178"/>
        <v>21.362747765642947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1.1368683772161603E-13</v>
      </c>
      <c r="EK199" s="17">
        <f>EJ199*VLOOKUP('Données projet'!$B$15,Paramètres!$A$1:$I$89,3,0)*VLOOKUP('Données projet'!$B$15,Paramètres!$A$1:$I$89,5,0)</f>
        <v>5.0249582272954292E-14</v>
      </c>
      <c r="EL199" s="13">
        <f t="shared" si="179"/>
        <v>8.1784820119191593E-13</v>
      </c>
      <c r="EM199" s="20">
        <f t="shared" si="180"/>
        <v>1.5119369728679821E-12</v>
      </c>
      <c r="EN199" s="59">
        <f t="shared" si="198"/>
        <v>290.36453042915173</v>
      </c>
      <c r="EO199" s="59">
        <f ca="1">AVERAGE(OFFSET($EN$3,0,0,'Données projet'!$E$15+1,1))-AVERAGE(OFFSET($H$3,0,0,'Données projet'!$E$15+1,1))</f>
        <v>418.28022549686278</v>
      </c>
      <c r="EP199" s="59">
        <f t="shared" si="210"/>
        <v>354.55070454517158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20.773113332333139</v>
      </c>
      <c r="EW199" s="21">
        <f>EXP(-LN(2)/25)*EW198+(1-EXP(-LN(2)/25))/(LN(2)/25)*Calculateur!ER199*Calculateur!ET199*VLOOKUP('Données projet'!$B$15,Paramètres!$A$1:$I$89,3,0)*0.475*44/12</f>
        <v>2.8835340282028277</v>
      </c>
      <c r="EX199" s="21">
        <f>EXP(-LN(2)/2)*EX198+(1-EXP(-LN(2)/2))/(LN(2)/2)*ER199*EU199*VLOOKUP('Données projet'!$B$15,Paramètres!$A$1:$I$89,3,0)*0.475*44/12</f>
        <v>2.7271203062564038E-16</v>
      </c>
      <c r="EY199" s="22">
        <f t="shared" si="181"/>
        <v>23.656647360535967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-2.8421709430404007E-13</v>
      </c>
      <c r="FF199" s="17">
        <f>FE199*VLOOKUP('Données projet'!$B$16,Paramètres!$A$1:$I$89,3,0)*VLOOKUP('Données projet'!$B$16,Paramètres!$A$1:$I$89,5,0)</f>
        <v>-3.2366642699344083E-13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640.05156427113661</v>
      </c>
      <c r="FK199" s="59">
        <f t="shared" si="211"/>
        <v>308.77220155372902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137.37741466737396</v>
      </c>
      <c r="FR199" s="21">
        <f>EXP(-LN(2)/25)*FR198+(1-EXP(-LN(2)/25))/(LN(2)/25)*Calculateur!FM199*Calculateur!FO199*VLOOKUP('Données projet'!$B$16,Paramètres!$A$1:$I$89,3,0)*0.475*44/12</f>
        <v>41.625538859960997</v>
      </c>
      <c r="FS199" s="21">
        <f>EXP(-LN(2)/2)*FS198+(1-EXP(-LN(2)/2))/(LN(2)/2)*FM199*FP199*VLOOKUP('Données projet'!$B$16,Paramètres!$A$1:$I$89,3,0)*0.475*44/12</f>
        <v>1.3771928221632979</v>
      </c>
      <c r="FT199" s="22">
        <f t="shared" si="184"/>
        <v>180.38014634949826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290.41603252229078</v>
      </c>
      <c r="S200" s="59">
        <f ca="1">AVERAGE(OFFSET($R$3,0,0,'Données projet'!$E$9+1,1))-AVERAGE(OFFSET($H$3,0,0,'Données projet'!$E$9+1,1))</f>
        <v>318.50474972254085</v>
      </c>
      <c r="T200" s="59">
        <f t="shared" si="204"/>
        <v>326.45858332753562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9.2106066827522479</v>
      </c>
      <c r="AA200" s="21">
        <f>EXP(-LN(2)/25)*AA199+(1-EXP(-LN(2)/25))/(LN(2)/25)*Calculateur!V200*Calculateur!X200*VLOOKUP('Données projet'!$B$9,Paramètres!$A$1:$I$89,3,0)*0.475*44/12</f>
        <v>1.0853364791262485</v>
      </c>
      <c r="AB200" s="21">
        <f>EXP(-LN(2)/2)*AB199+(1-EXP(-LN(2)/2))/(LN(2)/2)*V200*Y200*VLOOKUP('Données projet'!$B$9,Paramètres!$A$1:$I$89,3,0)*0.475*44/12</f>
        <v>1.4365388364981947E-19</v>
      </c>
      <c r="AC200" s="22">
        <f t="shared" si="163"/>
        <v>10.295943161878496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1.7053025658242404E-13</v>
      </c>
      <c r="AJ200" s="13">
        <f>AI200*VLOOKUP('Données projet'!$B$10,Paramètres!$A$1:$I$89,3,0)*VLOOKUP('Données projet'!$B$10,Paramètres!$A$1:$I$89,5,0)</f>
        <v>7.9808160080574461E-14</v>
      </c>
      <c r="AK200" s="13">
        <f t="shared" si="164"/>
        <v>1.2308384591775343E-12</v>
      </c>
      <c r="AL200" s="20">
        <f t="shared" si="165"/>
        <v>2.282709528541206E-12</v>
      </c>
      <c r="AM200" s="59">
        <f t="shared" si="193"/>
        <v>290.41603252229106</v>
      </c>
      <c r="AN200" s="59">
        <f ca="1">AVERAGE(OFFSET($AM$3,0,0,'Données projet'!$E$10+1,1))-AVERAGE(OFFSET($H$3,0,0,'Données projet'!$E$10+1,1))</f>
        <v>374.38106339726073</v>
      </c>
      <c r="AO200" s="59">
        <f t="shared" si="205"/>
        <v>296.53283288925957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39.360654959645792</v>
      </c>
      <c r="AV200" s="21">
        <f>EXP(-LN(2)/25)*AV199+(1-EXP(-LN(2)/25))/(LN(2)/25)*Calculateur!AQ200*Calculateur!AS200*VLOOKUP('Données projet'!$B$10,Paramètres!$A$1:$I$89,3,0)*0.475*44/12</f>
        <v>7.2053291444392782</v>
      </c>
      <c r="AW200" s="21">
        <f>EXP(-LN(2)/2)*AW199+(1-EXP(-LN(2)/2))/(LN(2)/2)*AQ200*AT200*VLOOKUP('Données projet'!$B$10,Paramètres!$A$1:$I$89,3,0)*0.475*44/12</f>
        <v>3.7728638475037663E-9</v>
      </c>
      <c r="AX200" s="21">
        <f t="shared" si="166"/>
        <v>46.565984107857929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7.9580786405131221E-13</v>
      </c>
      <c r="BE200" s="13">
        <f>BD200*VLOOKUP('Données projet'!$B$11,Paramètres!$A$1:$I$89,3,0)*VLOOKUP('Données projet'!$B$11,Paramètres!$A$1:$I$89,5,0)</f>
        <v>7.2004695539362725E-13</v>
      </c>
      <c r="BF200" s="13">
        <f t="shared" si="167"/>
        <v>8.5963894794935589E-12</v>
      </c>
      <c r="BG200" s="20">
        <f t="shared" si="168"/>
        <v>1.6226126790761848E-11</v>
      </c>
      <c r="BH200" s="59">
        <f t="shared" si="194"/>
        <v>290.41603252230499</v>
      </c>
      <c r="BI200" s="59">
        <f ca="1">AVERAGE(OFFSET($BH$3,0,0,'Données projet'!$E$11+1,1))-AVERAGE(OFFSET($H$3,0,0,'Données projet'!$E$11+1,1))</f>
        <v>681.47578137804555</v>
      </c>
      <c r="BJ200" s="59">
        <f t="shared" si="206"/>
        <v>300.88511065995885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116.80944569699264</v>
      </c>
      <c r="BQ200" s="21">
        <f>EXP(-LN(2)/25)*BQ199+(1-EXP(-LN(2)/25))/(LN(2)/25)*Calculateur!BL200*Calculateur!BN200*VLOOKUP('Données projet'!$B$11,Paramètres!$A$1:$I$89,3,0)*0.475*44/12</f>
        <v>17.460112988323708</v>
      </c>
      <c r="BR200" s="21">
        <f>EXP(-LN(2)/2)*BR199+(1-EXP(-LN(2)/2))/(LN(2)/2)*BL200*BO200*VLOOKUP('Données projet'!$B$11,Paramètres!$A$1:$I$89,3,0)*0.475*44/12</f>
        <v>8.3005170752405377E-2</v>
      </c>
      <c r="BS200" s="22">
        <f t="shared" si="169"/>
        <v>134.35256385606877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8.5265128291212022E-14</v>
      </c>
      <c r="BZ200" s="13">
        <f>BY200*VLOOKUP('Données projet'!$B$12,Paramètres!$A$1:$I$89,3,0)*VLOOKUP('Données projet'!$B$12,Paramètres!$A$1:$I$89,5,0)</f>
        <v>8.9119112089974823E-14</v>
      </c>
      <c r="CA200" s="13">
        <f t="shared" si="170"/>
        <v>1.3568952080113142E-12</v>
      </c>
      <c r="CB200" s="20">
        <f t="shared" si="171"/>
        <v>2.5184749408430782E-12</v>
      </c>
      <c r="CC200" s="59">
        <f t="shared" si="195"/>
        <v>290.41603252229129</v>
      </c>
      <c r="CD200" s="59">
        <f ca="1">AVERAGE(OFFSET($CC$3,0,0,'Données projet'!$E$12+1,1))-AVERAGE(OFFSET($H$3,0,0,'Données projet'!$E$12+1,1))</f>
        <v>290.69667785754848</v>
      </c>
      <c r="CE200" s="59">
        <f t="shared" si="207"/>
        <v>256.28124185489082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2.606869633392952</v>
      </c>
      <c r="CL200" s="21">
        <f>EXP(-LN(2)/25)*CL199+(1-EXP(-LN(2)/25))/(LN(2)/25)*Calculateur!CG200*Calculateur!CI200*VLOOKUP('Données projet'!$B$12,Paramètres!$A$1:$I$89,3,0)*0.475*44/12</f>
        <v>3.0867842742229263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5.6936539076158788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408.246209980743</v>
      </c>
      <c r="CZ200" s="59">
        <f t="shared" si="208"/>
        <v>394.10236303013903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5.6256317562957268</v>
      </c>
      <c r="DG200" s="21">
        <f>EXP(-LN(2)/25)*DG199+(1-EXP(-LN(2)/25))/(LN(2)/25)*Calculateur!DB200*Calculateur!DD200*VLOOKUP('Données projet'!$B$13,Paramètres!$A$1:$I$89,3,0)*0.475*44/12</f>
        <v>2.1984461151206691</v>
      </c>
      <c r="DH200" s="21">
        <f>EXP(-LN(2)/2)*DH199+(1-EXP(-LN(2)/2))/(LN(2)/2)*DB200*DE200*VLOOKUP('Données projet'!$B$13,Paramètres!$A$1:$I$89,3,0)*0.475*44/12</f>
        <v>1.68149686222734E-16</v>
      </c>
      <c r="DI200" s="22">
        <f t="shared" si="175"/>
        <v>7.8240778714163959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5.6843418860808015E-13</v>
      </c>
      <c r="DP200" s="17">
        <f>DO200*VLOOKUP('Données projet'!$B$14,Paramètres!$A$1:$I$89,3,0)*VLOOKUP('Données projet'!$B$14,Paramètres!$A$1:$I$89,5,0)</f>
        <v>3.177547114319168E-13</v>
      </c>
      <c r="DQ200" s="13">
        <f t="shared" si="176"/>
        <v>4.1725404435445377E-12</v>
      </c>
      <c r="DR200" s="20">
        <f t="shared" si="177"/>
        <v>7.820597394917325E-12</v>
      </c>
      <c r="DS200" s="59">
        <f t="shared" si="197"/>
        <v>290.41603252229663</v>
      </c>
      <c r="DT200" s="59">
        <f ca="1">AVERAGE(OFFSET($DS$3,0,0,'Données projet'!$E$14+1,1))-AVERAGE(OFFSET($H$3,0,0,'Données projet'!$E$14+1,1))</f>
        <v>407.05634973057056</v>
      </c>
      <c r="DU200" s="59">
        <f t="shared" si="209"/>
        <v>375.32891954889965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18.656512134650939</v>
      </c>
      <c r="EB200" s="21">
        <f>EXP(-LN(2)/25)*EB199+(1-EXP(-LN(2)/25))/(LN(2)/25)*Calculateur!DW200*Calculateur!DY200*VLOOKUP('Données projet'!$B$14,Paramètres!$A$1:$I$89,3,0)*0.475*44/12</f>
        <v>2.2692772936447811</v>
      </c>
      <c r="EC200" s="21">
        <f>EXP(-LN(2)/2)*EC199+(1-EXP(-LN(2)/2))/(LN(2)/2)*DW200*DZ200*VLOOKUP('Données projet'!$B$14,Paramètres!$A$1:$I$89,3,0)*0.475*44/12</f>
        <v>5.7886061683703073E-18</v>
      </c>
      <c r="ED200" s="22">
        <f t="shared" si="178"/>
        <v>20.925789428295719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1.1368683772161603E-13</v>
      </c>
      <c r="EK200" s="17">
        <f>EJ200*VLOOKUP('Données projet'!$B$15,Paramètres!$A$1:$I$89,3,0)*VLOOKUP('Données projet'!$B$15,Paramètres!$A$1:$I$89,5,0)</f>
        <v>5.0249582272954292E-14</v>
      </c>
      <c r="EL200" s="13">
        <f t="shared" si="179"/>
        <v>8.1784820119191593E-13</v>
      </c>
      <c r="EM200" s="20">
        <f t="shared" si="180"/>
        <v>1.5119369728679821E-12</v>
      </c>
      <c r="EN200" s="59">
        <f t="shared" si="198"/>
        <v>290.41603252229032</v>
      </c>
      <c r="EO200" s="59">
        <f ca="1">AVERAGE(OFFSET($EN$3,0,0,'Données projet'!$E$15+1,1))-AVERAGE(OFFSET($H$3,0,0,'Données projet'!$E$15+1,1))</f>
        <v>418.28022549686278</v>
      </c>
      <c r="EP200" s="59">
        <f t="shared" si="210"/>
        <v>354.55070454517158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20.365765250234126</v>
      </c>
      <c r="EW200" s="21">
        <f>EXP(-LN(2)/25)*EW199+(1-EXP(-LN(2)/25))/(LN(2)/25)*Calculateur!ER200*Calculateur!ET200*VLOOKUP('Données projet'!$B$15,Paramètres!$A$1:$I$89,3,0)*0.475*44/12</f>
        <v>2.8046836385631573</v>
      </c>
      <c r="EX200" s="21">
        <f>EXP(-LN(2)/2)*EX199+(1-EXP(-LN(2)/2))/(LN(2)/2)*ER200*EU200*VLOOKUP('Données projet'!$B$15,Paramètres!$A$1:$I$89,3,0)*0.475*44/12</f>
        <v>1.9283652616654375E-16</v>
      </c>
      <c r="EY200" s="22">
        <f t="shared" si="181"/>
        <v>23.170448888797285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-2.8421709430404007E-13</v>
      </c>
      <c r="FF200" s="17">
        <f>FE200*VLOOKUP('Données projet'!$B$16,Paramètres!$A$1:$I$89,3,0)*VLOOKUP('Données projet'!$B$16,Paramètres!$A$1:$I$89,5,0)</f>
        <v>-3.2366642699344083E-13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640.05156427113661</v>
      </c>
      <c r="FK200" s="59">
        <f t="shared" si="211"/>
        <v>308.77220155372902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134.68352735769594</v>
      </c>
      <c r="FR200" s="21">
        <f>EXP(-LN(2)/25)*FR199+(1-EXP(-LN(2)/25))/(LN(2)/25)*Calculateur!FM200*Calculateur!FO200*VLOOKUP('Données projet'!$B$16,Paramètres!$A$1:$I$89,3,0)*0.475*44/12</f>
        <v>40.487286310843409</v>
      </c>
      <c r="FS200" s="21">
        <f>EXP(-LN(2)/2)*FS199+(1-EXP(-LN(2)/2))/(LN(2)/2)*FM200*FP200*VLOOKUP('Données projet'!$B$16,Paramètres!$A$1:$I$89,3,0)*0.475*44/12</f>
        <v>0.97382238355310702</v>
      </c>
      <c r="FT200" s="22">
        <f t="shared" si="184"/>
        <v>176.14463605209247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290.4666411692549</v>
      </c>
      <c r="S201" s="59">
        <f ca="1">AVERAGE(OFFSET($R$3,0,0,'Données projet'!$E$9+1,1))-AVERAGE(OFFSET($H$3,0,0,'Données projet'!$E$9+1,1))</f>
        <v>318.50474972254085</v>
      </c>
      <c r="T201" s="59">
        <f t="shared" si="204"/>
        <v>326.45858332753562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9.0299923036188297</v>
      </c>
      <c r="AA201" s="21">
        <f>EXP(-LN(2)/25)*AA200+(1-EXP(-LN(2)/25))/(LN(2)/25)*Calculateur!V201*Calculateur!X201*VLOOKUP('Données projet'!$B$9,Paramètres!$A$1:$I$89,3,0)*0.475*44/12</f>
        <v>1.0556578960291765</v>
      </c>
      <c r="AB201" s="21">
        <f>EXP(-LN(2)/2)*AB200+(1-EXP(-LN(2)/2))/(LN(2)/2)*V201*Y201*VLOOKUP('Données projet'!$B$9,Paramètres!$A$1:$I$89,3,0)*0.475*44/12</f>
        <v>1.0157863527257065E-19</v>
      </c>
      <c r="AC201" s="22">
        <f t="shared" si="163"/>
        <v>10.085650199648006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1.7053025658242404E-13</v>
      </c>
      <c r="AJ201" s="13">
        <f>AI201*VLOOKUP('Données projet'!$B$10,Paramètres!$A$1:$I$89,3,0)*VLOOKUP('Données projet'!$B$10,Paramètres!$A$1:$I$89,5,0)</f>
        <v>7.9808160080574461E-14</v>
      </c>
      <c r="AK201" s="13">
        <f t="shared" si="164"/>
        <v>1.2308384591775343E-12</v>
      </c>
      <c r="AL201" s="20">
        <f t="shared" si="165"/>
        <v>2.282709528541206E-12</v>
      </c>
      <c r="AM201" s="59">
        <f t="shared" si="193"/>
        <v>290.46664116925518</v>
      </c>
      <c r="AN201" s="59">
        <f ca="1">AVERAGE(OFFSET($AM$3,0,0,'Données projet'!$E$10+1,1))-AVERAGE(OFFSET($H$3,0,0,'Données projet'!$E$10+1,1))</f>
        <v>374.38106339726073</v>
      </c>
      <c r="AO201" s="59">
        <f t="shared" si="205"/>
        <v>296.53283288925957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38.588816523516108</v>
      </c>
      <c r="AV201" s="21">
        <f>EXP(-LN(2)/25)*AV200+(1-EXP(-LN(2)/25))/(LN(2)/25)*Calculateur!AQ201*Calculateur!AS201*VLOOKUP('Données projet'!$B$10,Paramètres!$A$1:$I$89,3,0)*0.475*44/12</f>
        <v>7.008299040072794</v>
      </c>
      <c r="AW201" s="21">
        <f>EXP(-LN(2)/2)*AW200+(1-EXP(-LN(2)/2))/(LN(2)/2)*AQ201*AT201*VLOOKUP('Données projet'!$B$10,Paramètres!$A$1:$I$89,3,0)*0.475*44/12</f>
        <v>2.6678176110634816E-9</v>
      </c>
      <c r="AX201" s="21">
        <f t="shared" si="166"/>
        <v>45.597115566256718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7.9580786405131221E-13</v>
      </c>
      <c r="BE201" s="13">
        <f>BD201*VLOOKUP('Données projet'!$B$11,Paramètres!$A$1:$I$89,3,0)*VLOOKUP('Données projet'!$B$11,Paramètres!$A$1:$I$89,5,0)</f>
        <v>7.2004695539362725E-13</v>
      </c>
      <c r="BF201" s="13">
        <f t="shared" si="167"/>
        <v>8.5963894794935589E-12</v>
      </c>
      <c r="BG201" s="20">
        <f t="shared" si="168"/>
        <v>1.6226126790761848E-11</v>
      </c>
      <c r="BH201" s="59">
        <f t="shared" si="194"/>
        <v>290.46664116926911</v>
      </c>
      <c r="BI201" s="59">
        <f ca="1">AVERAGE(OFFSET($BH$3,0,0,'Données projet'!$E$11+1,1))-AVERAGE(OFFSET($H$3,0,0,'Données projet'!$E$11+1,1))</f>
        <v>681.47578137804555</v>
      </c>
      <c r="BJ201" s="59">
        <f t="shared" si="206"/>
        <v>300.88511065995885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114.51888371360145</v>
      </c>
      <c r="BQ201" s="21">
        <f>EXP(-LN(2)/25)*BQ200+(1-EXP(-LN(2)/25))/(LN(2)/25)*Calculateur!BL201*Calculateur!BN201*VLOOKUP('Données projet'!$B$11,Paramètres!$A$1:$I$89,3,0)*0.475*44/12</f>
        <v>16.98266528047056</v>
      </c>
      <c r="BR201" s="21">
        <f>EXP(-LN(2)/2)*BR200+(1-EXP(-LN(2)/2))/(LN(2)/2)*BL201*BO201*VLOOKUP('Données projet'!$B$11,Paramètres!$A$1:$I$89,3,0)*0.475*44/12</f>
        <v>5.8693519112573124E-2</v>
      </c>
      <c r="BS201" s="22">
        <f t="shared" si="169"/>
        <v>131.56024251318459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8.5265128291212022E-14</v>
      </c>
      <c r="BZ201" s="13">
        <f>BY201*VLOOKUP('Données projet'!$B$12,Paramètres!$A$1:$I$89,3,0)*VLOOKUP('Données projet'!$B$12,Paramètres!$A$1:$I$89,5,0)</f>
        <v>8.9119112089974823E-14</v>
      </c>
      <c r="CA201" s="13">
        <f t="shared" si="170"/>
        <v>1.3568952080113142E-12</v>
      </c>
      <c r="CB201" s="20">
        <f t="shared" si="171"/>
        <v>2.5184749408430782E-12</v>
      </c>
      <c r="CC201" s="59">
        <f t="shared" si="195"/>
        <v>290.46664116925541</v>
      </c>
      <c r="CD201" s="59">
        <f ca="1">AVERAGE(OFFSET($CC$3,0,0,'Données projet'!$E$12+1,1))-AVERAGE(OFFSET($H$3,0,0,'Données projet'!$E$12+1,1))</f>
        <v>290.69667785754848</v>
      </c>
      <c r="CE201" s="59">
        <f t="shared" si="207"/>
        <v>256.28124185489082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2.5557505099155899</v>
      </c>
      <c r="CL201" s="21">
        <f>EXP(-LN(2)/25)*CL200+(1-EXP(-LN(2)/25))/(LN(2)/25)*Calculateur!CG201*Calculateur!CI201*VLOOKUP('Données projet'!$B$12,Paramètres!$A$1:$I$89,3,0)*0.475*44/12</f>
        <v>3.0023759959173706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5.558126505832961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408.246209980743</v>
      </c>
      <c r="CZ201" s="59">
        <f t="shared" si="208"/>
        <v>394.10236303013903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5.5153165488513265</v>
      </c>
      <c r="DG201" s="21">
        <f>EXP(-LN(2)/25)*DG200+(1-EXP(-LN(2)/25))/(LN(2)/25)*Calculateur!DB201*Calculateur!DD201*VLOOKUP('Données projet'!$B$13,Paramètres!$A$1:$I$89,3,0)*0.475*44/12</f>
        <v>2.1383294904914378</v>
      </c>
      <c r="DH201" s="21">
        <f>EXP(-LN(2)/2)*DH200+(1-EXP(-LN(2)/2))/(LN(2)/2)*DB201*DE201*VLOOKUP('Données projet'!$B$13,Paramètres!$A$1:$I$89,3,0)*0.475*44/12</f>
        <v>1.1889978338248539E-16</v>
      </c>
      <c r="DI201" s="22">
        <f t="shared" si="175"/>
        <v>7.6536460393427639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5.6843418860808015E-13</v>
      </c>
      <c r="DP201" s="17">
        <f>DO201*VLOOKUP('Données projet'!$B$14,Paramètres!$A$1:$I$89,3,0)*VLOOKUP('Données projet'!$B$14,Paramètres!$A$1:$I$89,5,0)</f>
        <v>3.177547114319168E-13</v>
      </c>
      <c r="DQ201" s="13">
        <f t="shared" si="176"/>
        <v>4.1725404435445377E-12</v>
      </c>
      <c r="DR201" s="20">
        <f t="shared" si="177"/>
        <v>7.820597394917325E-12</v>
      </c>
      <c r="DS201" s="59">
        <f t="shared" si="197"/>
        <v>290.46664116926075</v>
      </c>
      <c r="DT201" s="59">
        <f ca="1">AVERAGE(OFFSET($DS$3,0,0,'Données projet'!$E$14+1,1))-AVERAGE(OFFSET($H$3,0,0,'Données projet'!$E$14+1,1))</f>
        <v>407.05634973057056</v>
      </c>
      <c r="DU201" s="59">
        <f t="shared" si="209"/>
        <v>375.32891954889965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18.290669311039217</v>
      </c>
      <c r="EB201" s="21">
        <f>EXP(-LN(2)/25)*EB200+(1-EXP(-LN(2)/25))/(LN(2)/25)*Calculateur!DW201*Calculateur!DY201*VLOOKUP('Données projet'!$B$14,Paramètres!$A$1:$I$89,3,0)*0.475*44/12</f>
        <v>2.2072237867139584</v>
      </c>
      <c r="EC201" s="21">
        <f>EXP(-LN(2)/2)*EC200+(1-EXP(-LN(2)/2))/(LN(2)/2)*DW201*DZ201*VLOOKUP('Données projet'!$B$14,Paramètres!$A$1:$I$89,3,0)*0.475*44/12</f>
        <v>4.0931626752729221E-18</v>
      </c>
      <c r="ED201" s="22">
        <f t="shared" si="178"/>
        <v>20.497893097753174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1.1368683772161603E-13</v>
      </c>
      <c r="EK201" s="17">
        <f>EJ201*VLOOKUP('Données projet'!$B$15,Paramètres!$A$1:$I$89,3,0)*VLOOKUP('Données projet'!$B$15,Paramètres!$A$1:$I$89,5,0)</f>
        <v>5.0249582272954292E-14</v>
      </c>
      <c r="EL201" s="13">
        <f t="shared" si="179"/>
        <v>8.1784820119191593E-13</v>
      </c>
      <c r="EM201" s="20">
        <f t="shared" si="180"/>
        <v>1.5119369728679821E-12</v>
      </c>
      <c r="EN201" s="59">
        <f t="shared" si="198"/>
        <v>290.46664116925444</v>
      </c>
      <c r="EO201" s="59">
        <f ca="1">AVERAGE(OFFSET($EN$3,0,0,'Données projet'!$E$15+1,1))-AVERAGE(OFFSET($H$3,0,0,'Données projet'!$E$15+1,1))</f>
        <v>418.28022549686278</v>
      </c>
      <c r="EP201" s="59">
        <f t="shared" si="210"/>
        <v>354.55070454517158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19.966405015567279</v>
      </c>
      <c r="EW201" s="21">
        <f>EXP(-LN(2)/25)*EW200+(1-EXP(-LN(2)/25))/(LN(2)/25)*Calculateur!ER201*Calculateur!ET201*VLOOKUP('Données projet'!$B$15,Paramètres!$A$1:$I$89,3,0)*0.475*44/12</f>
        <v>2.7279894169747454</v>
      </c>
      <c r="EX201" s="21">
        <f>EXP(-LN(2)/2)*EX200+(1-EXP(-LN(2)/2))/(LN(2)/2)*ER201*EU201*VLOOKUP('Données projet'!$B$15,Paramètres!$A$1:$I$89,3,0)*0.475*44/12</f>
        <v>1.3635601531282019E-16</v>
      </c>
      <c r="EY201" s="22">
        <f t="shared" si="181"/>
        <v>22.694394432542026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-2.8421709430404007E-13</v>
      </c>
      <c r="FF201" s="17">
        <f>FE201*VLOOKUP('Données projet'!$B$16,Paramètres!$A$1:$I$89,3,0)*VLOOKUP('Données projet'!$B$16,Paramètres!$A$1:$I$89,5,0)</f>
        <v>-3.2366642699344083E-13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640.05156427113661</v>
      </c>
      <c r="FK201" s="59">
        <f t="shared" si="211"/>
        <v>308.77220155372902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132.04246553505169</v>
      </c>
      <c r="FR201" s="21">
        <f>EXP(-LN(2)/25)*FR200+(1-EXP(-LN(2)/25))/(LN(2)/25)*Calculateur!FM201*Calculateur!FO201*VLOOKUP('Données projet'!$B$16,Paramètres!$A$1:$I$89,3,0)*0.475*44/12</f>
        <v>39.380159337539546</v>
      </c>
      <c r="FS201" s="21">
        <f>EXP(-LN(2)/2)*FS200+(1-EXP(-LN(2)/2))/(LN(2)/2)*FM201*FP201*VLOOKUP('Données projet'!$B$16,Paramètres!$A$1:$I$89,3,0)*0.475*44/12</f>
        <v>0.68859641108164904</v>
      </c>
      <c r="FT201" s="22">
        <f t="shared" si="184"/>
        <v>172.11122128367288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290.51637186933812</v>
      </c>
      <c r="S202" s="59">
        <f ca="1">AVERAGE(OFFSET($R$3,0,0,'Données projet'!$E$9+1,1))-AVERAGE(OFFSET($H$3,0,0,'Données projet'!$E$9+1,1))</f>
        <v>318.50474972254085</v>
      </c>
      <c r="T202" s="59">
        <f t="shared" si="204"/>
        <v>326.45858332753562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8.8529196622963244</v>
      </c>
      <c r="AA202" s="21">
        <f>EXP(-LN(2)/25)*AA201+(1-EXP(-LN(2)/25))/(LN(2)/25)*Calculateur!V202*Calculateur!X202*VLOOKUP('Données projet'!$B$9,Paramètres!$A$1:$I$89,3,0)*0.475*44/12</f>
        <v>1.0267908753476227</v>
      </c>
      <c r="AB202" s="21">
        <f>EXP(-LN(2)/2)*AB201+(1-EXP(-LN(2)/2))/(LN(2)/2)*V202*Y202*VLOOKUP('Données projet'!$B$9,Paramètres!$A$1:$I$89,3,0)*0.475*44/12</f>
        <v>7.1826941824909733E-20</v>
      </c>
      <c r="AC202" s="22">
        <f t="shared" si="163"/>
        <v>9.8797105376439465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1.7053025658242404E-13</v>
      </c>
      <c r="AJ202" s="13">
        <f>AI202*VLOOKUP('Données projet'!$B$10,Paramètres!$A$1:$I$89,3,0)*VLOOKUP('Données projet'!$B$10,Paramètres!$A$1:$I$89,5,0)</f>
        <v>7.9808160080574461E-14</v>
      </c>
      <c r="AK202" s="13">
        <f t="shared" si="164"/>
        <v>1.2308384591775343E-12</v>
      </c>
      <c r="AL202" s="20">
        <f t="shared" si="165"/>
        <v>2.282709528541206E-12</v>
      </c>
      <c r="AM202" s="59">
        <f t="shared" si="193"/>
        <v>290.5163718693384</v>
      </c>
      <c r="AN202" s="59">
        <f ca="1">AVERAGE(OFFSET($AM$3,0,0,'Données projet'!$E$10+1,1))-AVERAGE(OFFSET($H$3,0,0,'Données projet'!$E$10+1,1))</f>
        <v>374.38106339726073</v>
      </c>
      <c r="AO202" s="59">
        <f t="shared" si="205"/>
        <v>296.53283288925957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37.832113368343968</v>
      </c>
      <c r="AV202" s="21">
        <f>EXP(-LN(2)/25)*AV201+(1-EXP(-LN(2)/25))/(LN(2)/25)*Calculateur!AQ202*Calculateur!AS202*VLOOKUP('Données projet'!$B$10,Paramètres!$A$1:$I$89,3,0)*0.475*44/12</f>
        <v>6.8166567342715743</v>
      </c>
      <c r="AW202" s="21">
        <f>EXP(-LN(2)/2)*AW201+(1-EXP(-LN(2)/2))/(LN(2)/2)*AQ202*AT202*VLOOKUP('Données projet'!$B$10,Paramètres!$A$1:$I$89,3,0)*0.475*44/12</f>
        <v>1.8864319237518832E-9</v>
      </c>
      <c r="AX202" s="21">
        <f t="shared" si="166"/>
        <v>44.648770104501978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7.9580786405131221E-13</v>
      </c>
      <c r="BE202" s="13">
        <f>BD202*VLOOKUP('Données projet'!$B$11,Paramètres!$A$1:$I$89,3,0)*VLOOKUP('Données projet'!$B$11,Paramètres!$A$1:$I$89,5,0)</f>
        <v>7.2004695539362725E-13</v>
      </c>
      <c r="BF202" s="13">
        <f t="shared" si="167"/>
        <v>8.5963894794935589E-12</v>
      </c>
      <c r="BG202" s="20">
        <f t="shared" si="168"/>
        <v>1.6226126790761848E-11</v>
      </c>
      <c r="BH202" s="59">
        <f t="shared" si="194"/>
        <v>290.51637186935233</v>
      </c>
      <c r="BI202" s="59">
        <f ca="1">AVERAGE(OFFSET($BH$3,0,0,'Données projet'!$E$11+1,1))-AVERAGE(OFFSET($H$3,0,0,'Données projet'!$E$11+1,1))</f>
        <v>681.47578137804555</v>
      </c>
      <c r="BJ202" s="59">
        <f t="shared" si="206"/>
        <v>300.88511065995885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112.27323825359971</v>
      </c>
      <c r="BQ202" s="21">
        <f>EXP(-LN(2)/25)*BQ201+(1-EXP(-LN(2)/25))/(LN(2)/25)*Calculateur!BL202*Calculateur!BN202*VLOOKUP('Données projet'!$B$11,Paramètres!$A$1:$I$89,3,0)*0.475*44/12</f>
        <v>16.51827340529654</v>
      </c>
      <c r="BR202" s="21">
        <f>EXP(-LN(2)/2)*BR201+(1-EXP(-LN(2)/2))/(LN(2)/2)*BL202*BO202*VLOOKUP('Données projet'!$B$11,Paramètres!$A$1:$I$89,3,0)*0.475*44/12</f>
        <v>4.1502585376202689E-2</v>
      </c>
      <c r="BS202" s="22">
        <f t="shared" si="169"/>
        <v>128.83301424427245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8.5265128291212022E-14</v>
      </c>
      <c r="BZ202" s="13">
        <f>BY202*VLOOKUP('Données projet'!$B$12,Paramètres!$A$1:$I$89,3,0)*VLOOKUP('Données projet'!$B$12,Paramètres!$A$1:$I$89,5,0)</f>
        <v>8.9119112089974823E-14</v>
      </c>
      <c r="CA202" s="13">
        <f t="shared" si="170"/>
        <v>1.3568952080113142E-12</v>
      </c>
      <c r="CB202" s="20">
        <f t="shared" si="171"/>
        <v>2.5184749408430782E-12</v>
      </c>
      <c r="CC202" s="59">
        <f t="shared" si="195"/>
        <v>290.51637186933863</v>
      </c>
      <c r="CD202" s="59">
        <f ca="1">AVERAGE(OFFSET($CC$3,0,0,'Données projet'!$E$12+1,1))-AVERAGE(OFFSET($H$3,0,0,'Données projet'!$E$12+1,1))</f>
        <v>290.69667785754848</v>
      </c>
      <c r="CE202" s="59">
        <f t="shared" si="207"/>
        <v>256.28124185489082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2.5056338012700321</v>
      </c>
      <c r="CL202" s="21">
        <f>EXP(-LN(2)/25)*CL201+(1-EXP(-LN(2)/25))/(LN(2)/25)*Calculateur!CG202*Calculateur!CI202*VLOOKUP('Données projet'!$B$12,Paramètres!$A$1:$I$89,3,0)*0.475*44/12</f>
        <v>2.9202758664209183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5.4259096676909504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408.246209980743</v>
      </c>
      <c r="CZ202" s="59">
        <f t="shared" si="208"/>
        <v>394.10236303013903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5.4071645553392784</v>
      </c>
      <c r="DG202" s="21">
        <f>EXP(-LN(2)/25)*DG201+(1-EXP(-LN(2)/25))/(LN(2)/25)*Calculateur!DB202*Calculateur!DD202*VLOOKUP('Données projet'!$B$13,Paramètres!$A$1:$I$89,3,0)*0.475*44/12</f>
        <v>2.0798567581240888</v>
      </c>
      <c r="DH202" s="21">
        <f>EXP(-LN(2)/2)*DH201+(1-EXP(-LN(2)/2))/(LN(2)/2)*DB202*DE202*VLOOKUP('Données projet'!$B$13,Paramètres!$A$1:$I$89,3,0)*0.475*44/12</f>
        <v>8.4074843111366999E-17</v>
      </c>
      <c r="DI202" s="22">
        <f t="shared" si="175"/>
        <v>7.4870213134633676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5.6843418860808015E-13</v>
      </c>
      <c r="DP202" s="17">
        <f>DO202*VLOOKUP('Données projet'!$B$14,Paramètres!$A$1:$I$89,3,0)*VLOOKUP('Données projet'!$B$14,Paramètres!$A$1:$I$89,5,0)</f>
        <v>3.177547114319168E-13</v>
      </c>
      <c r="DQ202" s="13">
        <f t="shared" si="176"/>
        <v>4.1725404435445377E-12</v>
      </c>
      <c r="DR202" s="20">
        <f t="shared" si="177"/>
        <v>7.820597394917325E-12</v>
      </c>
      <c r="DS202" s="59">
        <f t="shared" si="197"/>
        <v>290.51637186934397</v>
      </c>
      <c r="DT202" s="59">
        <f ca="1">AVERAGE(OFFSET($DS$3,0,0,'Données projet'!$E$14+1,1))-AVERAGE(OFFSET($H$3,0,0,'Données projet'!$E$14+1,1))</f>
        <v>407.05634973057056</v>
      </c>
      <c r="DU202" s="59">
        <f t="shared" si="209"/>
        <v>375.32891954889965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17.932000442056435</v>
      </c>
      <c r="EB202" s="21">
        <f>EXP(-LN(2)/25)*EB201+(1-EXP(-LN(2)/25))/(LN(2)/25)*Calculateur!DW202*Calculateur!DY202*VLOOKUP('Données projet'!$B$14,Paramètres!$A$1:$I$89,3,0)*0.475*44/12</f>
        <v>2.1468671361934111</v>
      </c>
      <c r="EC202" s="21">
        <f>EXP(-LN(2)/2)*EC201+(1-EXP(-LN(2)/2))/(LN(2)/2)*DW202*DZ202*VLOOKUP('Données projet'!$B$14,Paramètres!$A$1:$I$89,3,0)*0.475*44/12</f>
        <v>2.8943030841851536E-18</v>
      </c>
      <c r="ED202" s="22">
        <f t="shared" si="178"/>
        <v>20.078867578249845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1.1368683772161603E-13</v>
      </c>
      <c r="EK202" s="17">
        <f>EJ202*VLOOKUP('Données projet'!$B$15,Paramètres!$A$1:$I$89,3,0)*VLOOKUP('Données projet'!$B$15,Paramètres!$A$1:$I$89,5,0)</f>
        <v>5.0249582272954292E-14</v>
      </c>
      <c r="EL202" s="13">
        <f t="shared" si="179"/>
        <v>8.1784820119191593E-13</v>
      </c>
      <c r="EM202" s="20">
        <f t="shared" si="180"/>
        <v>1.5119369728679821E-12</v>
      </c>
      <c r="EN202" s="59">
        <f t="shared" si="198"/>
        <v>290.51637186933766</v>
      </c>
      <c r="EO202" s="59">
        <f ca="1">AVERAGE(OFFSET($EN$3,0,0,'Données projet'!$E$15+1,1))-AVERAGE(OFFSET($H$3,0,0,'Données projet'!$E$15+1,1))</f>
        <v>418.28022549686278</v>
      </c>
      <c r="EP202" s="59">
        <f t="shared" si="210"/>
        <v>354.55070454517158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19.574875991516556</v>
      </c>
      <c r="EW202" s="21">
        <f>EXP(-LN(2)/25)*EW201+(1-EXP(-LN(2)/25))/(LN(2)/25)*Calculateur!ER202*Calculateur!ET202*VLOOKUP('Données projet'!$B$15,Paramètres!$A$1:$I$89,3,0)*0.475*44/12</f>
        <v>2.6533924029088425</v>
      </c>
      <c r="EX202" s="21">
        <f>EXP(-LN(2)/2)*EX201+(1-EXP(-LN(2)/2))/(LN(2)/2)*ER202*EU202*VLOOKUP('Données projet'!$B$15,Paramètres!$A$1:$I$89,3,0)*0.475*44/12</f>
        <v>9.6418263083271873E-17</v>
      </c>
      <c r="EY202" s="22">
        <f t="shared" si="181"/>
        <v>22.228268394425399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-2.8421709430404007E-13</v>
      </c>
      <c r="FF202" s="17">
        <f>FE202*VLOOKUP('Données projet'!$B$16,Paramètres!$A$1:$I$89,3,0)*VLOOKUP('Données projet'!$B$16,Paramètres!$A$1:$I$89,5,0)</f>
        <v>-3.2366642699344083E-13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640.05156427113661</v>
      </c>
      <c r="FK202" s="59">
        <f t="shared" si="211"/>
        <v>308.77220155372902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129.45319332386083</v>
      </c>
      <c r="FR202" s="21">
        <f>EXP(-LN(2)/25)*FR201+(1-EXP(-LN(2)/25))/(LN(2)/25)*Calculateur!FM202*Calculateur!FO202*VLOOKUP('Données projet'!$B$16,Paramètres!$A$1:$I$89,3,0)*0.475*44/12</f>
        <v>38.303306809541951</v>
      </c>
      <c r="FS202" s="21">
        <f>EXP(-LN(2)/2)*FS201+(1-EXP(-LN(2)/2))/(LN(2)/2)*FM202*FP202*VLOOKUP('Données projet'!$B$16,Paramètres!$A$1:$I$89,3,0)*0.475*44/12</f>
        <v>0.48691119177655356</v>
      </c>
      <c r="FT202" s="22">
        <f t="shared" si="184"/>
        <v>168.24341132517932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290.5652398529561</v>
      </c>
      <c r="S203" s="59">
        <f ca="1">AVERAGE(OFFSET($R$3,0,0,'Données projet'!$E$9+1,1))-AVERAGE(OFFSET($H$3,0,0,'Données projet'!$E$9+1,1))</f>
        <v>318.50474972254085</v>
      </c>
      <c r="T203" s="59">
        <f t="shared" si="204"/>
        <v>326.45858332753562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8.6793193074665069</v>
      </c>
      <c r="AA203" s="21">
        <f>EXP(-LN(2)/25)*AA202+(1-EXP(-LN(2)/25))/(LN(2)/25)*Calculateur!V203*Calculateur!X203*VLOOKUP('Données projet'!$B$9,Paramètres!$A$1:$I$89,3,0)*0.475*44/12</f>
        <v>0.99871322486465663</v>
      </c>
      <c r="AB203" s="21">
        <f>EXP(-LN(2)/2)*AB202+(1-EXP(-LN(2)/2))/(LN(2)/2)*V203*Y203*VLOOKUP('Données projet'!$B$9,Paramètres!$A$1:$I$89,3,0)*0.475*44/12</f>
        <v>5.0789317636285325E-20</v>
      </c>
      <c r="AC203" s="22">
        <f t="shared" si="163"/>
        <v>9.678032532331164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1.7053025658242404E-13</v>
      </c>
      <c r="AJ203" s="13">
        <f>AI203*VLOOKUP('Données projet'!$B$10,Paramètres!$A$1:$I$89,3,0)*VLOOKUP('Données projet'!$B$10,Paramètres!$A$1:$I$89,5,0)</f>
        <v>7.9808160080574461E-14</v>
      </c>
      <c r="AK203" s="13">
        <f t="shared" si="164"/>
        <v>1.2308384591775343E-12</v>
      </c>
      <c r="AL203" s="20">
        <f t="shared" si="165"/>
        <v>2.282709528541206E-12</v>
      </c>
      <c r="AM203" s="59">
        <f t="shared" si="193"/>
        <v>290.56523985295638</v>
      </c>
      <c r="AN203" s="59">
        <f ca="1">AVERAGE(OFFSET($AM$3,0,0,'Données projet'!$E$10+1,1))-AVERAGE(OFFSET($H$3,0,0,'Données projet'!$E$10+1,1))</f>
        <v>374.38106339726073</v>
      </c>
      <c r="AO203" s="59">
        <f t="shared" si="205"/>
        <v>296.53283288925957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37.090248700501398</v>
      </c>
      <c r="AV203" s="21">
        <f>EXP(-LN(2)/25)*AV202+(1-EXP(-LN(2)/25))/(LN(2)/25)*Calculateur!AQ203*Calculateur!AS203*VLOOKUP('Données projet'!$B$10,Paramètres!$A$1:$I$89,3,0)*0.475*44/12</f>
        <v>6.63025489740052</v>
      </c>
      <c r="AW203" s="21">
        <f>EXP(-LN(2)/2)*AW202+(1-EXP(-LN(2)/2))/(LN(2)/2)*AQ203*AT203*VLOOKUP('Données projet'!$B$10,Paramètres!$A$1:$I$89,3,0)*0.475*44/12</f>
        <v>1.3339088055317408E-9</v>
      </c>
      <c r="AX203" s="21">
        <f t="shared" si="166"/>
        <v>43.720503599235826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7.9580786405131221E-13</v>
      </c>
      <c r="BE203" s="13">
        <f>BD203*VLOOKUP('Données projet'!$B$11,Paramètres!$A$1:$I$89,3,0)*VLOOKUP('Données projet'!$B$11,Paramètres!$A$1:$I$89,5,0)</f>
        <v>7.2004695539362725E-13</v>
      </c>
      <c r="BF203" s="13">
        <f t="shared" si="167"/>
        <v>8.5963894794935589E-12</v>
      </c>
      <c r="BG203" s="20">
        <f t="shared" si="168"/>
        <v>1.6226126790761848E-11</v>
      </c>
      <c r="BH203" s="59">
        <f t="shared" si="194"/>
        <v>290.56523985297031</v>
      </c>
      <c r="BI203" s="59">
        <f ca="1">AVERAGE(OFFSET($BH$3,0,0,'Données projet'!$E$11+1,1))-AVERAGE(OFFSET($H$3,0,0,'Données projet'!$E$11+1,1))</f>
        <v>681.47578137804555</v>
      </c>
      <c r="BJ203" s="59">
        <f t="shared" si="206"/>
        <v>300.88511065995885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110.07162853136013</v>
      </c>
      <c r="BQ203" s="21">
        <f>EXP(-LN(2)/25)*BQ202+(1-EXP(-LN(2)/25))/(LN(2)/25)*Calculateur!BL203*Calculateur!BN203*VLOOKUP('Données projet'!$B$11,Paramètres!$A$1:$I$89,3,0)*0.475*44/12</f>
        <v>16.066580350370462</v>
      </c>
      <c r="BR203" s="21">
        <f>EXP(-LN(2)/2)*BR202+(1-EXP(-LN(2)/2))/(LN(2)/2)*BL203*BO203*VLOOKUP('Données projet'!$B$11,Paramètres!$A$1:$I$89,3,0)*0.475*44/12</f>
        <v>2.9346759556286562E-2</v>
      </c>
      <c r="BS203" s="22">
        <f t="shared" si="169"/>
        <v>126.16755564128688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8.5265128291212022E-14</v>
      </c>
      <c r="BZ203" s="13">
        <f>BY203*VLOOKUP('Données projet'!$B$12,Paramètres!$A$1:$I$89,3,0)*VLOOKUP('Données projet'!$B$12,Paramètres!$A$1:$I$89,5,0)</f>
        <v>8.9119112089974823E-14</v>
      </c>
      <c r="CA203" s="13">
        <f t="shared" si="170"/>
        <v>1.3568952080113142E-12</v>
      </c>
      <c r="CB203" s="20">
        <f t="shared" si="171"/>
        <v>2.5184749408430782E-12</v>
      </c>
      <c r="CC203" s="59">
        <f t="shared" si="195"/>
        <v>290.56523985295661</v>
      </c>
      <c r="CD203" s="59">
        <f ca="1">AVERAGE(OFFSET($CC$3,0,0,'Données projet'!$E$12+1,1))-AVERAGE(OFFSET($H$3,0,0,'Données projet'!$E$12+1,1))</f>
        <v>290.69667785754848</v>
      </c>
      <c r="CE203" s="59">
        <f t="shared" si="207"/>
        <v>256.28124185489082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2.4564998507128397</v>
      </c>
      <c r="CL203" s="21">
        <f>EXP(-LN(2)/25)*CL202+(1-EXP(-LN(2)/25))/(LN(2)/25)*Calculateur!CG203*Calculateur!CI203*VLOOKUP('Données projet'!$B$12,Paramètres!$A$1:$I$89,3,0)*0.475*44/12</f>
        <v>2.8404207692830048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5.296920619995845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408.246209980743</v>
      </c>
      <c r="CZ203" s="59">
        <f t="shared" si="208"/>
        <v>394.10236303013903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5.301133356453799</v>
      </c>
      <c r="DG203" s="21">
        <f>EXP(-LN(2)/25)*DG202+(1-EXP(-LN(2)/25))/(LN(2)/25)*Calculateur!DB203*Calculateur!DD203*VLOOKUP('Données projet'!$B$13,Paramètres!$A$1:$I$89,3,0)*0.475*44/12</f>
        <v>2.0229829656982723</v>
      </c>
      <c r="DH203" s="21">
        <f>EXP(-LN(2)/2)*DH202+(1-EXP(-LN(2)/2))/(LN(2)/2)*DB203*DE203*VLOOKUP('Données projet'!$B$13,Paramètres!$A$1:$I$89,3,0)*0.475*44/12</f>
        <v>5.9449891691242696E-17</v>
      </c>
      <c r="DI203" s="22">
        <f t="shared" si="175"/>
        <v>7.3241163221520713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5.6843418860808015E-13</v>
      </c>
      <c r="DP203" s="17">
        <f>DO203*VLOOKUP('Données projet'!$B$14,Paramètres!$A$1:$I$89,3,0)*VLOOKUP('Données projet'!$B$14,Paramètres!$A$1:$I$89,5,0)</f>
        <v>3.177547114319168E-13</v>
      </c>
      <c r="DQ203" s="13">
        <f t="shared" si="176"/>
        <v>4.1725404435445377E-12</v>
      </c>
      <c r="DR203" s="20">
        <f t="shared" si="177"/>
        <v>7.820597394917325E-12</v>
      </c>
      <c r="DS203" s="59">
        <f t="shared" si="197"/>
        <v>290.56523985296195</v>
      </c>
      <c r="DT203" s="59">
        <f ca="1">AVERAGE(OFFSET($DS$3,0,0,'Données projet'!$E$14+1,1))-AVERAGE(OFFSET($H$3,0,0,'Données projet'!$E$14+1,1))</f>
        <v>407.05634973057056</v>
      </c>
      <c r="DU203" s="59">
        <f t="shared" si="209"/>
        <v>375.32891954889965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17.580364850827994</v>
      </c>
      <c r="EB203" s="21">
        <f>EXP(-LN(2)/25)*EB202+(1-EXP(-LN(2)/25))/(LN(2)/25)*Calculateur!DW203*Calculateur!DY203*VLOOKUP('Données projet'!$B$14,Paramètres!$A$1:$I$89,3,0)*0.475*44/12</f>
        <v>2.0881609414553663</v>
      </c>
      <c r="EC203" s="21">
        <f>EXP(-LN(2)/2)*EC202+(1-EXP(-LN(2)/2))/(LN(2)/2)*DW203*DZ203*VLOOKUP('Données projet'!$B$14,Paramètres!$A$1:$I$89,3,0)*0.475*44/12</f>
        <v>2.046581337636461E-18</v>
      </c>
      <c r="ED203" s="22">
        <f t="shared" si="178"/>
        <v>19.668525792283361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1.1368683772161603E-13</v>
      </c>
      <c r="EK203" s="17">
        <f>EJ203*VLOOKUP('Données projet'!$B$15,Paramètres!$A$1:$I$89,3,0)*VLOOKUP('Données projet'!$B$15,Paramètres!$A$1:$I$89,5,0)</f>
        <v>5.0249582272954292E-14</v>
      </c>
      <c r="EL203" s="13">
        <f t="shared" si="179"/>
        <v>8.1784820119191593E-13</v>
      </c>
      <c r="EM203" s="20">
        <f t="shared" si="180"/>
        <v>1.5119369728679821E-12</v>
      </c>
      <c r="EN203" s="59">
        <f t="shared" si="198"/>
        <v>290.56523985295564</v>
      </c>
      <c r="EO203" s="59">
        <f ca="1">AVERAGE(OFFSET($EN$3,0,0,'Données projet'!$E$15+1,1))-AVERAGE(OFFSET($H$3,0,0,'Données projet'!$E$15+1,1))</f>
        <v>418.28022549686278</v>
      </c>
      <c r="EP203" s="59">
        <f t="shared" si="210"/>
        <v>354.55070454517158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19.191024612818346</v>
      </c>
      <c r="EW203" s="21">
        <f>EXP(-LN(2)/25)*EW202+(1-EXP(-LN(2)/25))/(LN(2)/25)*Calculateur!ER203*Calculateur!ET203*VLOOKUP('Données projet'!$B$15,Paramètres!$A$1:$I$89,3,0)*0.475*44/12</f>
        <v>2.5808352481154579</v>
      </c>
      <c r="EX203" s="21">
        <f>EXP(-LN(2)/2)*EX202+(1-EXP(-LN(2)/2))/(LN(2)/2)*ER203*EU203*VLOOKUP('Données projet'!$B$15,Paramètres!$A$1:$I$89,3,0)*0.475*44/12</f>
        <v>6.8178007656410096E-17</v>
      </c>
      <c r="EY203" s="22">
        <f t="shared" si="181"/>
        <v>21.771859860933805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-2.8421709430404007E-13</v>
      </c>
      <c r="FF203" s="17">
        <f>FE203*VLOOKUP('Données projet'!$B$16,Paramètres!$A$1:$I$89,3,0)*VLOOKUP('Données projet'!$B$16,Paramètres!$A$1:$I$89,5,0)</f>
        <v>-3.2366642699344083E-13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640.05156427113661</v>
      </c>
      <c r="FK203" s="59">
        <f t="shared" si="211"/>
        <v>308.77220155372902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126.91469516143133</v>
      </c>
      <c r="FR203" s="21">
        <f>EXP(-LN(2)/25)*FR202+(1-EXP(-LN(2)/25))/(LN(2)/25)*Calculateur!FM203*Calculateur!FO203*VLOOKUP('Données projet'!$B$16,Paramètres!$A$1:$I$89,3,0)*0.475*44/12</f>
        <v>37.255900870551663</v>
      </c>
      <c r="FS203" s="21">
        <f>EXP(-LN(2)/2)*FS202+(1-EXP(-LN(2)/2))/(LN(2)/2)*FM203*FP203*VLOOKUP('Données projet'!$B$16,Paramètres!$A$1:$I$89,3,0)*0.475*44/12</f>
        <v>0.34429820554082458</v>
      </c>
      <c r="FT203" s="22">
        <f t="shared" si="184"/>
        <v>164.51489423752383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1.3275965341357465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1.1244566645013536</v>
      </c>
      <c r="BA205" s="82">
        <f>EXP(LN('Données projet'!B88)/'Données projet'!A88)</f>
        <v>1.1303799945549604</v>
      </c>
      <c r="BV205" s="82">
        <f>EXP(LN('Données projet'!B114)/'Données projet'!A114)</f>
        <v>1.3087609363064139</v>
      </c>
      <c r="CQ205" s="82">
        <f>EXP(LN('Données projet'!B140)/'Données projet'!A140)</f>
        <v>1.3208724756526424</v>
      </c>
      <c r="DL205" s="82">
        <f>EXP(LN('Données projet'!B166)/'Données projet'!A166)</f>
        <v>1.2855297099408214</v>
      </c>
      <c r="EG205" s="82">
        <f>EXP(LN('Données projet'!B192)/'Données projet'!A192)</f>
        <v>1.277483324775911</v>
      </c>
      <c r="FB205" s="82">
        <f>EXP(LN('Données projet'!B218)/'Données projet'!A218)</f>
        <v>1.0924684246274448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L16" sqref="L16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2.75</v>
      </c>
      <c r="C6" s="147">
        <f ca="1">IF(OR('Données projet'!B9="",'Données projet'!C9="",'Données projet'!C9=0%),0,Calculateur!S3)</f>
        <v>318.50474972254085</v>
      </c>
      <c r="D6" s="147">
        <f>IF(OR('Données projet'!B9="",'Données projet'!C9="",'Données projet'!C9=0%),0,Calculateur!T3)</f>
        <v>326.45858332753562</v>
      </c>
      <c r="E6" s="147">
        <f ca="1">MIN(C6,D6)</f>
        <v>318.50474972254085</v>
      </c>
      <c r="F6" s="147">
        <f ca="1">E6*B6</f>
        <v>875.88806173698731</v>
      </c>
      <c r="G6" s="147">
        <f ca="1">F6*(100%-'Données projet'!$C$24)*(100%-'Données projet'!$C$25)*(100%-'Données projet'!$C$26)*(100%-'Données projet'!$C$27)</f>
        <v>788.29925556328863</v>
      </c>
      <c r="H6" s="148">
        <f>IF(OR('Données projet'!B9="",'Données projet'!C9="",'Données projet'!C9=0%),0,AVERAGE(Calculateur!$AC$3:$AC$33)*B6)</f>
        <v>28.382587581511121</v>
      </c>
      <c r="I6" s="149">
        <f>H6*(100%-'Données projet'!$C$24)*(100%-'Données projet'!$C$25)*(100%-'Données projet'!$C$26)*(100%-'Données projet'!$C$27)</f>
        <v>25.544328823360008</v>
      </c>
      <c r="J6" s="150">
        <f>IF(OR('Données projet'!B9="",'Données projet'!C9="",'Données projet'!C9=0%),0,SUM(Calculateur!$V$3:$V$33)*VLOOKUP('Données projet'!$B$9,Paramètres!$A$1:$I$89,9,0)*B6)</f>
        <v>250.70869999999994</v>
      </c>
      <c r="K6" s="151">
        <f>J6*(100%-'Données projet'!$C$24)*(100%-'Données projet'!$C$25)*(100%-'Données projet'!$C$26)*(100%-'Données projet'!$C$27)</f>
        <v>225.63782999999995</v>
      </c>
      <c r="L6" s="152">
        <f ca="1">G6+I6+K6</f>
        <v>1039.4814143866486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Cèdre de l'Atlas</v>
      </c>
      <c r="B7" s="154">
        <f>'Données projet'!D10</f>
        <v>1.87</v>
      </c>
      <c r="C7" s="147">
        <f ca="1">IF(OR('Données projet'!B10="",'Données projet'!C10="",'Données projet'!C10=0%),0,Calculateur!AN3)</f>
        <v>374.38106339726073</v>
      </c>
      <c r="D7" s="147">
        <f>IF(OR('Données projet'!B10="",'Données projet'!C10="",'Données projet'!C10=0%),0,Calculateur!AO3)</f>
        <v>296.53283288925957</v>
      </c>
      <c r="E7" s="147">
        <f t="shared" ref="E7:E15" ca="1" si="0">MIN(C7,D7)</f>
        <v>296.53283288925957</v>
      </c>
      <c r="F7" s="147">
        <f t="shared" ref="F7:F15" ca="1" si="1">E7*B7</f>
        <v>554.51639750291542</v>
      </c>
      <c r="G7" s="147">
        <f ca="1">F7*(100%-'Données projet'!$C$24)*(100%-'Données projet'!$C$25)*(100%-'Données projet'!$C$26)*(100%-'Données projet'!$C$27)</f>
        <v>499.0647577526239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499.0647577526239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sessile</v>
      </c>
      <c r="B8" s="154">
        <f>'Données projet'!D11</f>
        <v>2.97</v>
      </c>
      <c r="C8" s="147">
        <f ca="1">IF(OR('Données projet'!B11="",'Données projet'!C11="",'Données projet'!C11=0%),0,Calculateur!BI3)</f>
        <v>681.47578137804555</v>
      </c>
      <c r="D8" s="147">
        <f>IF(OR('Données projet'!B11="",'Données projet'!C11="",'Données projet'!C11=0%),0,Calculateur!BJ3)</f>
        <v>300.88511065995885</v>
      </c>
      <c r="E8" s="147">
        <f t="shared" ca="1" si="0"/>
        <v>300.88511065995885</v>
      </c>
      <c r="F8" s="147">
        <f t="shared" ca="1" si="1"/>
        <v>893.62877866007784</v>
      </c>
      <c r="G8" s="147">
        <f ca="1">F8*(100%-'Données projet'!$C$24)*(100%-'Données projet'!$C$25)*(100%-'Données projet'!$C$26)*(100%-'Données projet'!$C$27)</f>
        <v>804.26590079407003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804.26590079407003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chevelu</v>
      </c>
      <c r="B9" s="154">
        <f>'Données projet'!D12</f>
        <v>1.54</v>
      </c>
      <c r="C9" s="147">
        <f ca="1">IF(OR('Données projet'!B12="",'Données projet'!C12="",'Données projet'!C12=0%),0,Calculateur!CD3)</f>
        <v>290.69667785754848</v>
      </c>
      <c r="D9" s="147">
        <f>IF(OR('Données projet'!B12="",'Données projet'!C12="",'Données projet'!C12=0%),0,Calculateur!CE3)</f>
        <v>256.28124185489082</v>
      </c>
      <c r="E9" s="147">
        <f t="shared" ca="1" si="0"/>
        <v>256.28124185489082</v>
      </c>
      <c r="F9" s="147">
        <f t="shared" ca="1" si="1"/>
        <v>394.6731124565319</v>
      </c>
      <c r="G9" s="147">
        <f ca="1">F9*(100%-'Données projet'!$C$24)*(100%-'Données projet'!$C$25)*(100%-'Données projet'!$C$26)*(100%-'Données projet'!$C$27)</f>
        <v>355.20580121087869</v>
      </c>
      <c r="H9" s="155">
        <f>IF(OR('Données projet'!B12="",'Données projet'!C12="",'Données projet'!C12=0%),0,AVERAGE(Calculateur!$CN$3:$CN$33)*B9)</f>
        <v>4.3104122897044546</v>
      </c>
      <c r="I9" s="149">
        <f>H9*(100%-'Données projet'!$C$24)*(100%-'Données projet'!$C$25)*(100%-'Données projet'!$C$26)*(100%-'Données projet'!$C$27)</f>
        <v>3.8793710607340093</v>
      </c>
      <c r="J9" s="150">
        <f>IF(OR('Données projet'!B12="",'Données projet'!C12="",'Données projet'!C12=0%),0,SUM(Calculateur!$CG$3:$CG$33)*VLOOKUP('Données projet'!$B$12,Paramètres!$A$1:$I$89,9,0)*B9)</f>
        <v>21.717948717948719</v>
      </c>
      <c r="K9" s="151">
        <f>J9*(100%-'Données projet'!$C$24)*(100%-'Données projet'!$C$25)*(100%-'Données projet'!$C$26)*(100%-'Données projet'!$C$27)</f>
        <v>19.546153846153846</v>
      </c>
      <c r="L9" s="152">
        <f t="shared" ca="1" si="2"/>
        <v>378.63132611776655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Erable champêtre</v>
      </c>
      <c r="B10" s="154">
        <f>'Données projet'!D13</f>
        <v>0.55000000000000004</v>
      </c>
      <c r="C10" s="147">
        <f ca="1">IF(OR('Données projet'!B13="",'Données projet'!C13="",'Données projet'!C13=0%),0,Calculateur!CY3)</f>
        <v>408.246209980743</v>
      </c>
      <c r="D10" s="147">
        <f>IF(OR('Données projet'!B13="",'Données projet'!C13="",'Données projet'!C13=0%),0,Calculateur!CZ3)</f>
        <v>394.10236303013903</v>
      </c>
      <c r="E10" s="147">
        <f t="shared" ca="1" si="0"/>
        <v>394.10236303013903</v>
      </c>
      <c r="F10" s="147">
        <f t="shared" ca="1" si="1"/>
        <v>216.7562996665765</v>
      </c>
      <c r="G10" s="147">
        <f ca="1">F10*(100%-'Données projet'!$C$24)*(100%-'Données projet'!$C$25)*(100%-'Données projet'!$C$26)*(100%-'Données projet'!$C$27)</f>
        <v>195.08066969991884</v>
      </c>
      <c r="H10" s="155">
        <f>IF(OR('Données projet'!B13="",'Données projet'!C13="",'Données projet'!C13=0%),0,AVERAGE(Calculateur!$DI$3:$DI$33)*B10)</f>
        <v>3.646474006901701</v>
      </c>
      <c r="I10" s="149">
        <f>H10*(100%-'Données projet'!$C$24)*(100%-'Données projet'!$C$25)*(100%-'Données projet'!$C$26)*(100%-'Données projet'!$C$27)</f>
        <v>3.2818266062115309</v>
      </c>
      <c r="J10" s="150">
        <f>IF(OR('Données projet'!B13="",'Données projet'!C13="",'Données projet'!C13=0%),0,SUM(Calculateur!$DB$3:$DB$33)*VLOOKUP('Données projet'!$B$13,Paramètres!$A$1:$I$89,9,0)*B10)</f>
        <v>18.837500000000002</v>
      </c>
      <c r="K10" s="151">
        <f>J10*(100%-'Données projet'!$C$24)*(100%-'Données projet'!$C$25)*(100%-'Données projet'!$C$26)*(100%-'Données projet'!$C$27)</f>
        <v>16.953750000000003</v>
      </c>
      <c r="L10" s="152">
        <f t="shared" ca="1" si="2"/>
        <v>215.31624630613038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Douglas</v>
      </c>
      <c r="B11" s="154">
        <f>'Données projet'!D14</f>
        <v>0.22</v>
      </c>
      <c r="C11" s="147">
        <f ca="1">IF(OR('Données projet'!B14="",'Données projet'!C14="",'Données projet'!C14=0%),0,Calculateur!DT3)</f>
        <v>407.05634973057056</v>
      </c>
      <c r="D11" s="147">
        <f>IF(OR('Données projet'!B14="",'Données projet'!C14="",'Données projet'!C14=0%),0,Calculateur!DU3)</f>
        <v>375.32891954889965</v>
      </c>
      <c r="E11" s="147">
        <f t="shared" ca="1" si="0"/>
        <v>375.32891954889965</v>
      </c>
      <c r="F11" s="147">
        <f t="shared" ca="1" si="1"/>
        <v>82.572362300757916</v>
      </c>
      <c r="G11" s="147">
        <f ca="1">F11*(100%-'Données projet'!$C$24)*(100%-'Données projet'!$C$25)*(100%-'Données projet'!$C$26)*(100%-'Données projet'!$C$27)</f>
        <v>74.315126070682126</v>
      </c>
      <c r="H11" s="155">
        <f>IF(OR('Données projet'!B14="",'Données projet'!C14="",'Données projet'!C14=0%),0,AVERAGE(Calculateur!$ED$3:$ED$33)*B11)</f>
        <v>2.0125644164427068</v>
      </c>
      <c r="I11" s="149">
        <f>H11*(100%-'Données projet'!$C$24)*(100%-'Données projet'!$C$25)*(100%-'Données projet'!$C$26)*(100%-'Données projet'!$C$27)</f>
        <v>1.8113079747984362</v>
      </c>
      <c r="J11" s="150">
        <f>IF(OR('Données projet'!B14="",'Données projet'!C14="",'Données projet'!C14=0%),0,SUM(Calculateur!$DW$3:$DW$33)*VLOOKUP('Données projet'!$B$14,Paramètres!$A$1:$I$89,9,0)*B11)</f>
        <v>12.509903999999999</v>
      </c>
      <c r="K11" s="151">
        <f>J11*(100%-'Données projet'!$C$24)*(100%-'Données projet'!$C$25)*(100%-'Données projet'!$C$26)*(100%-'Données projet'!$C$27)</f>
        <v>11.2589136</v>
      </c>
      <c r="L11" s="152">
        <f t="shared" ca="1" si="2"/>
        <v>87.385347645480564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Séquoia toujours vert</v>
      </c>
      <c r="B12" s="154">
        <f>'Données projet'!D15</f>
        <v>0.11</v>
      </c>
      <c r="C12" s="147">
        <f ca="1">IF(OR('Données projet'!B15="",'Données projet'!C15="",'Données projet'!C15=0%),0,Calculateur!EO3)</f>
        <v>418.28022549686278</v>
      </c>
      <c r="D12" s="147">
        <f>IF(OR('Données projet'!B15="",'Données projet'!C15="",'Données projet'!C15=0%),0,Calculateur!EP3)</f>
        <v>354.55070454517158</v>
      </c>
      <c r="E12" s="147">
        <f t="shared" ca="1" si="0"/>
        <v>354.55070454517158</v>
      </c>
      <c r="F12" s="147">
        <f t="shared" ca="1" si="1"/>
        <v>39.000577499968877</v>
      </c>
      <c r="G12" s="147">
        <f ca="1">F12*(100%-'Données projet'!$C$24)*(100%-'Données projet'!$C$25)*(100%-'Données projet'!$C$26)*(100%-'Données projet'!$C$27)</f>
        <v>35.100519749971987</v>
      </c>
      <c r="H12" s="155">
        <f>IF(OR('Données projet'!B15="",'Données projet'!C15="",'Données projet'!C15=0%),0,AVERAGE(Calculateur!$EY$3:$EY$33)*B12)</f>
        <v>0.51179763101933173</v>
      </c>
      <c r="I12" s="149">
        <f>H12*(100%-'Données projet'!$C$24)*(100%-'Données projet'!$C$25)*(100%-'Données projet'!$C$26)*(100%-'Données projet'!$C$27)</f>
        <v>0.46061786791739856</v>
      </c>
      <c r="J12" s="150">
        <f>IF(OR('Données projet'!B15="",'Données projet'!C15="",'Données projet'!C15=0%),0,SUM(Calculateur!$ER$3:$ER$33)*VLOOKUP('Données projet'!$B$15,Paramètres!$A$1:$I$89,9,0)*B12)</f>
        <v>6.1962999999999999</v>
      </c>
      <c r="K12" s="151">
        <f>J12*(100%-'Données projet'!$C$24)*(100%-'Données projet'!$C$25)*(100%-'Données projet'!$C$26)*(100%-'Données projet'!$C$27)</f>
        <v>5.57667</v>
      </c>
      <c r="L12" s="152">
        <f t="shared" ca="1" si="2"/>
        <v>41.137807617889386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>Chêne vert</v>
      </c>
      <c r="B13" s="154">
        <f>'Données projet'!D16</f>
        <v>0.99</v>
      </c>
      <c r="C13" s="147">
        <f ca="1">IF(OR('Données projet'!B16="",'Données projet'!C16="",'Données projet'!C16=0%),0,Calculateur!FJ3)</f>
        <v>640.05156427113661</v>
      </c>
      <c r="D13" s="147">
        <f>IF(OR('Données projet'!B16="",'Données projet'!C16="",'Données projet'!C16=0%),0,Calculateur!FK3)</f>
        <v>308.77220155372902</v>
      </c>
      <c r="E13" s="147">
        <f t="shared" ca="1" si="0"/>
        <v>308.77220155372902</v>
      </c>
      <c r="F13" s="147">
        <f t="shared" ca="1" si="1"/>
        <v>305.68447953819174</v>
      </c>
      <c r="G13" s="147">
        <f ca="1">F13*(100%-'Données projet'!$C$24)*(100%-'Données projet'!$C$25)*(100%-'Données projet'!$C$26)*(100%-'Données projet'!$C$27)</f>
        <v>275.11603158437259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275.11603158437259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3362.7200693620075</v>
      </c>
      <c r="G16" s="166">
        <f t="shared" ca="1" si="3"/>
        <v>3026.4480624258072</v>
      </c>
      <c r="H16" s="167">
        <f t="shared" si="3"/>
        <v>38.863835925579316</v>
      </c>
      <c r="I16" s="167">
        <f t="shared" si="3"/>
        <v>34.977452333021382</v>
      </c>
      <c r="J16" s="168">
        <f t="shared" si="3"/>
        <v>309.97035271794863</v>
      </c>
      <c r="K16" s="168">
        <f t="shared" si="3"/>
        <v>278.97331744615377</v>
      </c>
      <c r="L16" s="169">
        <f t="shared" ca="1" si="3"/>
        <v>3340.3988322049822</v>
      </c>
      <c r="M16" s="23">
        <f ca="1">L16/'Données projet'!C5</f>
        <v>303.67262110954385</v>
      </c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chevelu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Erable champêtre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Douglas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Séquoia toujours vert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>Chêne vert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4" zoomScale="81" zoomScaleNormal="80" workbookViewId="0">
      <selection activeCell="F30" sqref="F30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2325.0549232718267</v>
      </c>
      <c r="U10" s="178">
        <f>'Données projet'!D9</f>
        <v>2.75</v>
      </c>
      <c r="V10" s="177">
        <f>U10*T10</f>
        <v>6393.9010389975238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662.59494100521761</v>
      </c>
      <c r="U11" s="178">
        <f>'Données projet'!D10</f>
        <v>1.87</v>
      </c>
      <c r="V11" s="177">
        <f t="shared" ref="V11" si="0">U11*T11</f>
        <v>1239.052539679757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893.10352573904379</v>
      </c>
      <c r="U12" s="178">
        <f>'Données projet'!D11</f>
        <v>2.97</v>
      </c>
      <c r="V12" s="177">
        <f t="shared" ref="V12:V19" si="1">U12*T12</f>
        <v>2652.5174714449604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chevelu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609.82961533519097</v>
      </c>
      <c r="U13" s="178">
        <f>'Données projet'!D12</f>
        <v>1.54</v>
      </c>
      <c r="V13" s="177">
        <f t="shared" si="1"/>
        <v>939.13760761619415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champêtre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1877.9095714066245</v>
      </c>
      <c r="U14" s="178">
        <f>'Données projet'!D13</f>
        <v>0.55000000000000004</v>
      </c>
      <c r="V14" s="177">
        <f t="shared" si="1"/>
        <v>1032.8502642736437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Douglas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4908.7719141236084</v>
      </c>
      <c r="U15" s="178">
        <f>'Données projet'!D14</f>
        <v>0.22</v>
      </c>
      <c r="V15" s="177">
        <f t="shared" si="1"/>
        <v>1079.9298211071939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Séquoia toujours vert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2461.511067400203</v>
      </c>
      <c r="U16" s="178">
        <f>'Données projet'!D15</f>
        <v>0.11</v>
      </c>
      <c r="V16" s="177">
        <f t="shared" si="1"/>
        <v>270.76621741402232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Chêne vert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332.63672573143879</v>
      </c>
      <c r="U17" s="178">
        <f>'Données projet'!D16</f>
        <v>0.99</v>
      </c>
      <c r="V17" s="177">
        <f t="shared" si="1"/>
        <v>329.31035847412437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6122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17</v>
      </c>
      <c r="B23" s="181">
        <f>'Données projet'!D36</f>
        <v>41.179999999999993</v>
      </c>
      <c r="C23" s="193">
        <v>8</v>
      </c>
      <c r="D23" s="182">
        <f>B23*C23</f>
        <v>329.43999999999994</v>
      </c>
      <c r="E23" s="193">
        <v>60</v>
      </c>
      <c r="F23" s="230"/>
      <c r="H23" s="190">
        <v>4</v>
      </c>
      <c r="I23" s="191">
        <v>800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-80715.382663548939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23</v>
      </c>
      <c r="B24" s="181">
        <f>'Données projet'!D37</f>
        <v>58.370000000000005</v>
      </c>
      <c r="C24" s="193">
        <v>13.125</v>
      </c>
      <c r="D24" s="182">
        <f t="shared" ref="D24:D42" si="2">B24*C24</f>
        <v>766.10625000000005</v>
      </c>
      <c r="E24" s="193">
        <v>60</v>
      </c>
      <c r="F24" s="233"/>
      <c r="H24" s="190">
        <v>5</v>
      </c>
      <c r="I24" s="191">
        <v>800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38082.918787242277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29</v>
      </c>
      <c r="B25" s="181">
        <f>'Données projet'!D38</f>
        <v>54.97</v>
      </c>
      <c r="C25" s="193">
        <v>24.5</v>
      </c>
      <c r="D25" s="182">
        <f t="shared" si="2"/>
        <v>1346.7649999999999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160</v>
      </c>
      <c r="Q25" s="234"/>
      <c r="R25" s="23"/>
      <c r="S25" s="186" t="s">
        <v>266</v>
      </c>
      <c r="T25" s="303">
        <f ca="1">T23-T24</f>
        <v>-118798.30145079122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76.509999999999991</v>
      </c>
      <c r="C26" s="193">
        <v>24.5</v>
      </c>
      <c r="D26" s="182">
        <f t="shared" si="2"/>
        <v>1874.4949999999999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44</v>
      </c>
      <c r="B27" s="181">
        <f>'Données projet'!D40</f>
        <v>78.240000000000009</v>
      </c>
      <c r="C27" s="193">
        <v>24.5</v>
      </c>
      <c r="D27" s="182">
        <f t="shared" si="2"/>
        <v>1916.88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52</v>
      </c>
      <c r="B28" s="181">
        <f>'Données projet'!D41</f>
        <v>75.70999999999998</v>
      </c>
      <c r="C28" s="193">
        <v>24.5</v>
      </c>
      <c r="D28" s="182">
        <f t="shared" si="2"/>
        <v>1854.8949999999995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60</v>
      </c>
      <c r="B29" s="181">
        <f>'Données projet'!D42</f>
        <v>437.74</v>
      </c>
      <c r="C29" s="193">
        <v>24.5</v>
      </c>
      <c r="D29" s="182">
        <f t="shared" si="2"/>
        <v>10724.630000000001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3462.0835261129346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160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153.11004784688996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146.51679219798083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140.2074566487855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134.16981497491437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128.39216744010946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122.86331812450669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117.57255322919299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112.50962031501726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107.66470843542322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103.02842912480692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98.59179820555687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94.346218378523332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90.283462563180223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86.395657955196413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82.675270770522872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79.115091646433399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75.708221671228131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72.448059015529324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69.328286139262516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66.342857549533534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51</v>
      </c>
      <c r="B54" s="181">
        <f>'Données projet'!D62</f>
        <v>173.97000000000003</v>
      </c>
      <c r="C54" s="191">
        <v>17.774999999999999</v>
      </c>
      <c r="D54" s="179">
        <f>B54*C54</f>
        <v>3092.3167500000004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63.485988085678009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61</v>
      </c>
      <c r="B55" s="181">
        <f>'Données projet'!D63</f>
        <v>101.36000000000001</v>
      </c>
      <c r="C55" s="191">
        <v>30.375</v>
      </c>
      <c r="D55" s="179">
        <f t="shared" ref="D55:D73" si="4">B55*C55</f>
        <v>3078.8100000000004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60.752141708782808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73</v>
      </c>
      <c r="B56" s="181">
        <f>'Données projet'!D64</f>
        <v>103.23000000000002</v>
      </c>
      <c r="C56" s="191">
        <v>30.375</v>
      </c>
      <c r="D56" s="179">
        <f t="shared" si="4"/>
        <v>3135.6112500000004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58.136020773954833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85</v>
      </c>
      <c r="B57" s="181">
        <f>'Données projet'!D65</f>
        <v>95.720000000000027</v>
      </c>
      <c r="C57" s="191">
        <v>30.375</v>
      </c>
      <c r="D57" s="179">
        <f t="shared" si="4"/>
        <v>2907.4950000000008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55.632555764550091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97</v>
      </c>
      <c r="B58" s="181">
        <f>'Données projet'!D66</f>
        <v>90.589999999999975</v>
      </c>
      <c r="C58" s="191">
        <v>30.375</v>
      </c>
      <c r="D58" s="179">
        <f t="shared" si="4"/>
        <v>2751.6712499999994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53.236895468468994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109</v>
      </c>
      <c r="B59" s="181">
        <f>'Données projet'!D67</f>
        <v>92.199999999999989</v>
      </c>
      <c r="C59" s="191">
        <v>30.375</v>
      </c>
      <c r="D59" s="179">
        <f t="shared" si="4"/>
        <v>2800.5749999999998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50.944397577482306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121</v>
      </c>
      <c r="B60" s="181">
        <f>'Données projet'!D68</f>
        <v>236.89000000000001</v>
      </c>
      <c r="C60" s="191">
        <v>37.53</v>
      </c>
      <c r="D60" s="179">
        <f t="shared" si="4"/>
        <v>8890.4817000000003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48.750619691370623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131</v>
      </c>
      <c r="B61" s="181">
        <f>'Données projet'!D69</f>
        <v>298.36</v>
      </c>
      <c r="C61" s="191">
        <v>37.53</v>
      </c>
      <c r="D61" s="179">
        <f t="shared" si="4"/>
        <v>11197.450800000001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46.651310709445582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44.642402592770885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42.720002481120481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40.880385149397583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39.119985788897225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37.435393099423187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35.823342678873871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34.28071069748696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32.80450784448513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31.391873535392474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30.040070368796631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28.746478821814957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27.508592173985612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26.324011649747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25.190441770092828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24.105685904395049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23.067642013775171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22.074298577775281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21.123730696435683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20.214096360225529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19.343632880598602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18.510653474257037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17.713543994504345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16.950759803353439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42</v>
      </c>
      <c r="B85" s="181">
        <f>'Données projet'!D88</f>
        <v>44.510000000000005</v>
      </c>
      <c r="C85" s="191">
        <v>15</v>
      </c>
      <c r="D85" s="179">
        <f>B85*C85</f>
        <v>667.65000000000009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16.220822778328653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50</v>
      </c>
      <c r="B86" s="181">
        <f>'Données projet'!D89</f>
        <v>37.54000000000002</v>
      </c>
      <c r="C86" s="191">
        <v>15</v>
      </c>
      <c r="D86" s="179">
        <f t="shared" ref="D86:D104" si="6">B86*C86</f>
        <v>563.10000000000036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15.522318448161391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58</v>
      </c>
      <c r="B87" s="181">
        <f>'Données projet'!D90</f>
        <v>47.789999999999992</v>
      </c>
      <c r="C87" s="191">
        <v>15</v>
      </c>
      <c r="D87" s="179">
        <f t="shared" si="6"/>
        <v>716.84999999999991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14.853893251829088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66</v>
      </c>
      <c r="B88" s="181">
        <f>'Données projet'!D91</f>
        <v>53.679999999999978</v>
      </c>
      <c r="C88" s="191">
        <v>60</v>
      </c>
      <c r="D88" s="179">
        <f t="shared" si="6"/>
        <v>3220.7999999999988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14.214251915625919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74</v>
      </c>
      <c r="B89" s="181">
        <f>'Données projet'!D92</f>
        <v>51.339999999999975</v>
      </c>
      <c r="C89" s="191">
        <v>60</v>
      </c>
      <c r="D89" s="179">
        <f t="shared" si="6"/>
        <v>3080.3999999999987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13.6021549431827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84</v>
      </c>
      <c r="B90" s="181">
        <f>'Données projet'!D93</f>
        <v>66.69</v>
      </c>
      <c r="C90" s="191">
        <v>59.87</v>
      </c>
      <c r="D90" s="179">
        <f t="shared" si="6"/>
        <v>3992.7302999999997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13.016416213571965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94</v>
      </c>
      <c r="B91" s="181">
        <f>'Données projet'!D94</f>
        <v>67.350000000000023</v>
      </c>
      <c r="C91" s="191">
        <v>59.87</v>
      </c>
      <c r="D91" s="179">
        <f t="shared" si="6"/>
        <v>4032.2445000000012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12.455900682843987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104</v>
      </c>
      <c r="B92" s="181">
        <f>'Données projet'!D95</f>
        <v>66.089999999999975</v>
      </c>
      <c r="C92" s="191">
        <v>59.87</v>
      </c>
      <c r="D92" s="179">
        <f t="shared" si="6"/>
        <v>3956.8082999999983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11.919522184539701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114</v>
      </c>
      <c r="B93" s="181">
        <f>'Données projet'!D96</f>
        <v>61.860000000000014</v>
      </c>
      <c r="C93" s="191">
        <v>59.87</v>
      </c>
      <c r="D93" s="179">
        <f t="shared" si="6"/>
        <v>3703.5582000000009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11.406241324918376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124</v>
      </c>
      <c r="B94" s="181">
        <f>'Données projet'!D97</f>
        <v>57.81</v>
      </c>
      <c r="C94" s="191">
        <v>59.87</v>
      </c>
      <c r="D94" s="179">
        <f t="shared" si="6"/>
        <v>3461.0846999999999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134</v>
      </c>
      <c r="B95" s="181">
        <f>'Données projet'!D98</f>
        <v>60.779999999999973</v>
      </c>
      <c r="C95" s="191">
        <v>180</v>
      </c>
      <c r="D95" s="179">
        <f t="shared" si="6"/>
        <v>10940.399999999994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144</v>
      </c>
      <c r="B96" s="181">
        <f>'Données projet'!D99</f>
        <v>61.800000000000068</v>
      </c>
      <c r="C96" s="191">
        <v>180</v>
      </c>
      <c r="D96" s="179">
        <f t="shared" si="6"/>
        <v>11124.000000000013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154</v>
      </c>
      <c r="B97" s="181">
        <f>'Données projet'!D100</f>
        <v>61.050000000000011</v>
      </c>
      <c r="C97" s="191">
        <v>180</v>
      </c>
      <c r="D97" s="179">
        <f t="shared" si="6"/>
        <v>10989.000000000002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164</v>
      </c>
      <c r="B98" s="181">
        <f>'Données projet'!D101</f>
        <v>66.020000000000095</v>
      </c>
      <c r="C98" s="191">
        <v>180</v>
      </c>
      <c r="D98" s="179">
        <f t="shared" si="6"/>
        <v>11883.600000000017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174</v>
      </c>
      <c r="B99" s="181">
        <f>'Données projet'!D102</f>
        <v>240</v>
      </c>
      <c r="C99" s="191">
        <v>235</v>
      </c>
      <c r="D99" s="179">
        <f t="shared" si="6"/>
        <v>56400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177</v>
      </c>
      <c r="B100" s="181">
        <f>'Données projet'!D103</f>
        <v>128.66000000000003</v>
      </c>
      <c r="C100" s="191">
        <v>235</v>
      </c>
      <c r="D100" s="179">
        <f t="shared" si="6"/>
        <v>30235.100000000006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180</v>
      </c>
      <c r="B101" s="181">
        <f>'Données projet'!D104</f>
        <v>86.97</v>
      </c>
      <c r="C101" s="191">
        <v>235</v>
      </c>
      <c r="D101" s="179">
        <f t="shared" si="6"/>
        <v>20437.95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183</v>
      </c>
      <c r="B102" s="181">
        <f>'Données projet'!D105</f>
        <v>191.47</v>
      </c>
      <c r="C102" s="191">
        <v>235</v>
      </c>
      <c r="D102" s="179">
        <f t="shared" si="6"/>
        <v>44995.45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Chêne chevelu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10</v>
      </c>
      <c r="B116" s="181">
        <f>'Données projet'!D114</f>
        <v>0</v>
      </c>
      <c r="C116" s="191">
        <v>13.5625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15</v>
      </c>
      <c r="B117" s="181">
        <f>'Données projet'!D115</f>
        <v>0</v>
      </c>
      <c r="C117" s="191">
        <v>13.5625</v>
      </c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20</v>
      </c>
      <c r="B118" s="181">
        <f>'Données projet'!D116</f>
        <v>26.282051282051281</v>
      </c>
      <c r="C118" s="191">
        <v>13.5625</v>
      </c>
      <c r="D118" s="179">
        <f t="shared" si="8"/>
        <v>356.4503205128205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25</v>
      </c>
      <c r="B119" s="181">
        <f>'Données projet'!D117</f>
        <v>14.743589743589743</v>
      </c>
      <c r="C119" s="191">
        <v>13.5625</v>
      </c>
      <c r="D119" s="179">
        <f t="shared" si="8"/>
        <v>199.95993589743588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30</v>
      </c>
      <c r="B120" s="181">
        <f>'Données projet'!D118</f>
        <v>15.384615384615383</v>
      </c>
      <c r="C120" s="191">
        <v>13.5625</v>
      </c>
      <c r="D120" s="179">
        <f t="shared" si="8"/>
        <v>208.65384615384613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35</v>
      </c>
      <c r="B121" s="181">
        <f>'Données projet'!D119</f>
        <v>15.384615384615383</v>
      </c>
      <c r="C121" s="191">
        <v>13.5625</v>
      </c>
      <c r="D121" s="179">
        <f t="shared" si="8"/>
        <v>208.65384615384613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40</v>
      </c>
      <c r="B122" s="181">
        <f>'Données projet'!D120</f>
        <v>14.743589743589743</v>
      </c>
      <c r="C122" s="191">
        <v>13.5625</v>
      </c>
      <c r="D122" s="179">
        <f t="shared" si="8"/>
        <v>199.95993589743588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45</v>
      </c>
      <c r="B123" s="181">
        <f>'Données projet'!D121</f>
        <v>14.102564102564102</v>
      </c>
      <c r="C123" s="191">
        <v>13.5625</v>
      </c>
      <c r="D123" s="179">
        <f t="shared" si="8"/>
        <v>191.26602564102564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50</v>
      </c>
      <c r="B124" s="181">
        <f>'Données projet'!D122</f>
        <v>13.461538461538462</v>
      </c>
      <c r="C124" s="191">
        <v>13.5625</v>
      </c>
      <c r="D124" s="179">
        <f t="shared" si="8"/>
        <v>182.57211538461539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55</v>
      </c>
      <c r="B125" s="181">
        <f>'Données projet'!D123</f>
        <v>12.820512820512819</v>
      </c>
      <c r="C125" s="191">
        <v>32.787500000000001</v>
      </c>
      <c r="D125" s="179">
        <f t="shared" si="8"/>
        <v>420.35256410256409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60</v>
      </c>
      <c r="B126" s="181">
        <f>'Données projet'!D124</f>
        <v>11.538461538461538</v>
      </c>
      <c r="C126" s="191">
        <v>32.787500000000001</v>
      </c>
      <c r="D126" s="179">
        <f t="shared" si="8"/>
        <v>378.31730769230768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65</v>
      </c>
      <c r="B127" s="181">
        <f>'Données projet'!D125</f>
        <v>10.897435897435898</v>
      </c>
      <c r="C127" s="191">
        <v>32.787500000000001</v>
      </c>
      <c r="D127" s="179">
        <f t="shared" si="8"/>
        <v>357.2996794871795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70</v>
      </c>
      <c r="B128" s="181">
        <f>'Données projet'!D126</f>
        <v>10.256410256410255</v>
      </c>
      <c r="C128" s="191">
        <v>32.787500000000001</v>
      </c>
      <c r="D128" s="179">
        <f t="shared" si="8"/>
        <v>336.28205128205127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75</v>
      </c>
      <c r="B129" s="181">
        <f>'Données projet'!D127</f>
        <v>8.9743589743589745</v>
      </c>
      <c r="C129" s="191">
        <v>32.787500000000001</v>
      </c>
      <c r="D129" s="179">
        <f t="shared" si="8"/>
        <v>294.24679487179486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80</v>
      </c>
      <c r="B130" s="181">
        <f>'Données projet'!D128</f>
        <v>8.3333333333333339</v>
      </c>
      <c r="C130" s="191">
        <v>32.787500000000001</v>
      </c>
      <c r="D130" s="179">
        <f t="shared" si="8"/>
        <v>273.22916666666669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85</v>
      </c>
      <c r="B131" s="181">
        <f>'Données projet'!D129</f>
        <v>7.6923076923076916</v>
      </c>
      <c r="C131" s="191">
        <v>32.787500000000001</v>
      </c>
      <c r="D131" s="179">
        <f t="shared" si="8"/>
        <v>252.21153846153845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90</v>
      </c>
      <c r="B132" s="181">
        <f>'Données projet'!D130</f>
        <v>7.0512820512820511</v>
      </c>
      <c r="C132" s="191">
        <v>32.787500000000001</v>
      </c>
      <c r="D132" s="179">
        <f t="shared" si="8"/>
        <v>231.19391025641025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95</v>
      </c>
      <c r="B133" s="181">
        <f>'Données projet'!D131</f>
        <v>7.0512820512820511</v>
      </c>
      <c r="C133" s="191">
        <v>32.787500000000001</v>
      </c>
      <c r="D133" s="179">
        <f t="shared" si="8"/>
        <v>231.19391025641025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100</v>
      </c>
      <c r="B134" s="181">
        <f>'Données projet'!D132</f>
        <v>153.84615384615384</v>
      </c>
      <c r="C134" s="191">
        <v>43</v>
      </c>
      <c r="D134" s="179">
        <f t="shared" si="8"/>
        <v>6615.3846153846152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Erable champêtre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15</v>
      </c>
      <c r="B147" s="175">
        <f>'Données projet'!D140</f>
        <v>32</v>
      </c>
      <c r="C147" s="191">
        <v>13.75</v>
      </c>
      <c r="D147" s="182">
        <f>B147*C147</f>
        <v>440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20</v>
      </c>
      <c r="B148" s="175">
        <f>'Données projet'!D141</f>
        <v>35</v>
      </c>
      <c r="C148" s="191">
        <v>13.75</v>
      </c>
      <c r="D148" s="182">
        <f t="shared" ref="D148:D166" si="10">B148*C148</f>
        <v>481.25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25</v>
      </c>
      <c r="B149" s="175">
        <f>'Données projet'!D142</f>
        <v>35</v>
      </c>
      <c r="C149" s="191">
        <v>13.75</v>
      </c>
      <c r="D149" s="182">
        <f t="shared" si="10"/>
        <v>481.25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30</v>
      </c>
      <c r="B150" s="175">
        <f>'Données projet'!D143</f>
        <v>35</v>
      </c>
      <c r="C150" s="191">
        <v>23.75</v>
      </c>
      <c r="D150" s="182">
        <f t="shared" si="10"/>
        <v>831.25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35</v>
      </c>
      <c r="B151" s="175">
        <f>'Données projet'!D144</f>
        <v>35</v>
      </c>
      <c r="C151" s="191">
        <v>23.75</v>
      </c>
      <c r="D151" s="182">
        <f t="shared" si="10"/>
        <v>831.25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40</v>
      </c>
      <c r="B152" s="175">
        <f>'Données projet'!D145</f>
        <v>35</v>
      </c>
      <c r="C152" s="191">
        <v>23.75</v>
      </c>
      <c r="D152" s="182">
        <f t="shared" si="10"/>
        <v>831.25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45</v>
      </c>
      <c r="B153" s="175">
        <f>'Données projet'!D146</f>
        <v>24</v>
      </c>
      <c r="C153" s="191">
        <v>23.75</v>
      </c>
      <c r="D153" s="182">
        <f t="shared" si="10"/>
        <v>570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50</v>
      </c>
      <c r="B154" s="175">
        <f>'Données projet'!D147</f>
        <v>19</v>
      </c>
      <c r="C154" s="191">
        <v>23.75</v>
      </c>
      <c r="D154" s="182">
        <f t="shared" si="10"/>
        <v>451.25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55</v>
      </c>
      <c r="B155" s="175">
        <f>'Données projet'!D148</f>
        <v>16</v>
      </c>
      <c r="C155" s="191">
        <v>44.375</v>
      </c>
      <c r="D155" s="182">
        <f t="shared" si="10"/>
        <v>710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60</v>
      </c>
      <c r="B156" s="175">
        <f>'Données projet'!D149</f>
        <v>14</v>
      </c>
      <c r="C156" s="191">
        <v>44.375</v>
      </c>
      <c r="D156" s="182">
        <f t="shared" si="10"/>
        <v>621.25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65</v>
      </c>
      <c r="B157" s="175">
        <f>'Données projet'!D150</f>
        <v>13</v>
      </c>
      <c r="C157" s="191">
        <v>44.375</v>
      </c>
      <c r="D157" s="182">
        <f t="shared" si="10"/>
        <v>576.875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70</v>
      </c>
      <c r="B158" s="175">
        <f>'Données projet'!D151</f>
        <v>13</v>
      </c>
      <c r="C158" s="191">
        <v>44.375</v>
      </c>
      <c r="D158" s="182">
        <f t="shared" si="10"/>
        <v>576.875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75</v>
      </c>
      <c r="B159" s="175">
        <f>'Données projet'!D152</f>
        <v>12</v>
      </c>
      <c r="C159" s="191">
        <v>44.375</v>
      </c>
      <c r="D159" s="182">
        <f t="shared" si="10"/>
        <v>532.5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80</v>
      </c>
      <c r="B160" s="175">
        <f>'Données projet'!D153</f>
        <v>330</v>
      </c>
      <c r="C160" s="191">
        <v>44.375</v>
      </c>
      <c r="D160" s="182">
        <f t="shared" si="10"/>
        <v>14643.75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Douglas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21</v>
      </c>
      <c r="B178" s="181">
        <f>'Données projet'!D166</f>
        <v>64.599999999999994</v>
      </c>
      <c r="C178" s="193">
        <v>16.875</v>
      </c>
      <c r="D178" s="179">
        <f>B178*C178</f>
        <v>1090.125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28</v>
      </c>
      <c r="B179" s="181">
        <f>'Données projet'!D167</f>
        <v>67.639999999999986</v>
      </c>
      <c r="C179" s="193">
        <v>16.875</v>
      </c>
      <c r="D179" s="179">
        <f t="shared" ref="D179:D197" si="11">B179*C179</f>
        <v>1141.4249999999997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35</v>
      </c>
      <c r="B180" s="181">
        <f>'Données projet'!D168</f>
        <v>86.700000000000045</v>
      </c>
      <c r="C180" s="193">
        <v>41</v>
      </c>
      <c r="D180" s="179">
        <f t="shared" si="11"/>
        <v>3554.7000000000016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42</v>
      </c>
      <c r="B181" s="181">
        <f>'Données projet'!D169</f>
        <v>100.04000000000002</v>
      </c>
      <c r="C181" s="193">
        <v>41</v>
      </c>
      <c r="D181" s="179">
        <f t="shared" si="11"/>
        <v>4101.6400000000012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49</v>
      </c>
      <c r="B182" s="181">
        <f>'Données projet'!D170</f>
        <v>112.69999999999999</v>
      </c>
      <c r="C182" s="193">
        <v>41</v>
      </c>
      <c r="D182" s="179">
        <f t="shared" si="11"/>
        <v>4620.7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56</v>
      </c>
      <c r="B183" s="181">
        <f>'Données projet'!D171</f>
        <v>94.669999999999959</v>
      </c>
      <c r="C183" s="193">
        <v>41</v>
      </c>
      <c r="D183" s="179">
        <f t="shared" si="11"/>
        <v>3881.4699999999984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63</v>
      </c>
      <c r="B184" s="181">
        <f>'Données projet'!D172</f>
        <v>99.599999999999966</v>
      </c>
      <c r="C184" s="193">
        <v>41</v>
      </c>
      <c r="D184" s="179">
        <f t="shared" si="11"/>
        <v>4083.5999999999985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70</v>
      </c>
      <c r="B185" s="181">
        <f>'Données projet'!D173</f>
        <v>586.86</v>
      </c>
      <c r="C185" s="193">
        <v>60</v>
      </c>
      <c r="D185" s="179">
        <f t="shared" si="11"/>
        <v>35211.599999999999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>Séquoia toujours vert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20</v>
      </c>
      <c r="B209" s="181">
        <f>'Données projet'!D192</f>
        <v>5</v>
      </c>
      <c r="C209" s="193">
        <v>13.396875</v>
      </c>
      <c r="D209" s="179">
        <f>B209*C209</f>
        <v>66.984375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25</v>
      </c>
      <c r="B210" s="181">
        <f>'Données projet'!D193</f>
        <v>63</v>
      </c>
      <c r="C210" s="193">
        <v>13.396875</v>
      </c>
      <c r="D210" s="179">
        <f t="shared" ref="D210:D228" si="12">B210*C210</f>
        <v>844.00312499999995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30</v>
      </c>
      <c r="B211" s="181">
        <f>'Données projet'!D194</f>
        <v>63</v>
      </c>
      <c r="C211" s="193">
        <v>13.396875</v>
      </c>
      <c r="D211" s="179">
        <f t="shared" si="12"/>
        <v>844.00312499999995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35</v>
      </c>
      <c r="B212" s="181">
        <f>'Données projet'!D195</f>
        <v>63</v>
      </c>
      <c r="C212" s="193">
        <v>13.396875</v>
      </c>
      <c r="D212" s="179">
        <f t="shared" si="12"/>
        <v>844.00312499999995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40</v>
      </c>
      <c r="B213" s="181">
        <f>'Données projet'!D196</f>
        <v>63</v>
      </c>
      <c r="C213" s="193">
        <v>13.396875</v>
      </c>
      <c r="D213" s="179">
        <f t="shared" si="12"/>
        <v>844.00312499999995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45</v>
      </c>
      <c r="B214" s="181">
        <f>'Données projet'!D197</f>
        <v>63</v>
      </c>
      <c r="C214" s="193">
        <v>29.6</v>
      </c>
      <c r="D214" s="179">
        <f t="shared" si="12"/>
        <v>1864.8000000000002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50</v>
      </c>
      <c r="B215" s="181">
        <f>'Données projet'!D198</f>
        <v>63</v>
      </c>
      <c r="C215" s="193">
        <v>29.6</v>
      </c>
      <c r="D215" s="179">
        <f t="shared" si="12"/>
        <v>1864.8000000000002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55</v>
      </c>
      <c r="B216" s="181">
        <f>'Données projet'!D199</f>
        <v>60</v>
      </c>
      <c r="C216" s="193">
        <v>29.6</v>
      </c>
      <c r="D216" s="179">
        <f t="shared" si="12"/>
        <v>1776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60</v>
      </c>
      <c r="B217" s="181">
        <f>'Données projet'!D200</f>
        <v>53</v>
      </c>
      <c r="C217" s="193">
        <v>29.6</v>
      </c>
      <c r="D217" s="179">
        <f t="shared" si="12"/>
        <v>1568.8000000000002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65</v>
      </c>
      <c r="B218" s="181">
        <f>'Données projet'!D201</f>
        <v>48</v>
      </c>
      <c r="C218" s="193">
        <v>29.6</v>
      </c>
      <c r="D218" s="179">
        <f t="shared" si="12"/>
        <v>1420.8000000000002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70</v>
      </c>
      <c r="B219" s="181">
        <f>'Données projet'!D202</f>
        <v>45</v>
      </c>
      <c r="C219" s="193">
        <v>29.6</v>
      </c>
      <c r="D219" s="179">
        <f t="shared" si="12"/>
        <v>1332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75</v>
      </c>
      <c r="B220" s="181">
        <f>'Données projet'!D203</f>
        <v>43</v>
      </c>
      <c r="C220" s="193">
        <v>29.6</v>
      </c>
      <c r="D220" s="179">
        <f t="shared" si="12"/>
        <v>1272.8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80</v>
      </c>
      <c r="B221" s="181">
        <f>'Données projet'!D204</f>
        <v>776</v>
      </c>
      <c r="C221" s="193">
        <v>29.6</v>
      </c>
      <c r="D221" s="179">
        <f t="shared" si="12"/>
        <v>22969.600000000002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>Chêne vert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60</v>
      </c>
      <c r="B240" s="181">
        <f>'Données projet'!D218</f>
        <v>72.87</v>
      </c>
      <c r="C240" s="193">
        <v>15</v>
      </c>
      <c r="D240" s="179">
        <f>B240*C240</f>
        <v>1093.0500000000002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69</v>
      </c>
      <c r="B241" s="181">
        <f>'Données projet'!D219</f>
        <v>42.22</v>
      </c>
      <c r="C241" s="193">
        <v>15</v>
      </c>
      <c r="D241" s="179">
        <f t="shared" ref="D241:D259" si="13">B241*C241</f>
        <v>633.29999999999995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77</v>
      </c>
      <c r="B242" s="181">
        <f>'Données projet'!D220</f>
        <v>33.950000000000017</v>
      </c>
      <c r="C242" s="193">
        <v>15</v>
      </c>
      <c r="D242" s="179">
        <f t="shared" si="13"/>
        <v>509.25000000000023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86</v>
      </c>
      <c r="B243" s="181">
        <f>'Données projet'!D221</f>
        <v>37.54000000000002</v>
      </c>
      <c r="C243" s="193">
        <v>59.875</v>
      </c>
      <c r="D243" s="179">
        <f t="shared" si="13"/>
        <v>2247.7075000000013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95</v>
      </c>
      <c r="B244" s="181">
        <f>'Données projet'!D222</f>
        <v>42.199999999999989</v>
      </c>
      <c r="C244" s="193">
        <v>59.875</v>
      </c>
      <c r="D244" s="179">
        <f t="shared" si="13"/>
        <v>2526.7249999999995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104</v>
      </c>
      <c r="B245" s="181">
        <f>'Données projet'!D223</f>
        <v>39.400000000000006</v>
      </c>
      <c r="C245" s="193">
        <v>59.875</v>
      </c>
      <c r="D245" s="179">
        <f t="shared" si="13"/>
        <v>2359.0750000000003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113</v>
      </c>
      <c r="B246" s="181">
        <f>'Données projet'!D224</f>
        <v>41.639999999999986</v>
      </c>
      <c r="C246" s="193">
        <v>59.875</v>
      </c>
      <c r="D246" s="179">
        <f t="shared" si="13"/>
        <v>2493.1949999999993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122</v>
      </c>
      <c r="B247" s="181">
        <f>'Données projet'!D225</f>
        <v>45.829999999999984</v>
      </c>
      <c r="C247" s="193">
        <v>59.875</v>
      </c>
      <c r="D247" s="179">
        <f t="shared" si="13"/>
        <v>2744.0712499999991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132</v>
      </c>
      <c r="B248" s="181">
        <f>'Données projet'!D226</f>
        <v>48.699999999999989</v>
      </c>
      <c r="C248" s="193">
        <v>59.875</v>
      </c>
      <c r="D248" s="179">
        <f t="shared" si="13"/>
        <v>2915.9124999999995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144</v>
      </c>
      <c r="B249" s="181">
        <f>'Données projet'!D227</f>
        <v>60.949999999999989</v>
      </c>
      <c r="C249" s="193">
        <v>59.875</v>
      </c>
      <c r="D249" s="179">
        <f t="shared" si="13"/>
        <v>3649.3812499999995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156</v>
      </c>
      <c r="B250" s="181">
        <f>'Données projet'!D228</f>
        <v>65.69</v>
      </c>
      <c r="C250" s="193">
        <v>180</v>
      </c>
      <c r="D250" s="179">
        <f t="shared" si="13"/>
        <v>11824.199999999999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168</v>
      </c>
      <c r="B251" s="181">
        <f>'Données projet'!D229</f>
        <v>71.37</v>
      </c>
      <c r="C251" s="193">
        <v>180</v>
      </c>
      <c r="D251" s="179">
        <f t="shared" si="13"/>
        <v>12846.6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180</v>
      </c>
      <c r="B252" s="181">
        <f>'Données projet'!D230</f>
        <v>175.59000000000003</v>
      </c>
      <c r="C252" s="193">
        <v>180</v>
      </c>
      <c r="D252" s="179">
        <f t="shared" si="13"/>
        <v>31606.200000000004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184</v>
      </c>
      <c r="B253" s="181">
        <f>'Données projet'!D231</f>
        <v>101.19999999999999</v>
      </c>
      <c r="C253" s="193">
        <v>180</v>
      </c>
      <c r="D253" s="179">
        <f t="shared" si="13"/>
        <v>18215.999999999996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188</v>
      </c>
      <c r="B254" s="181">
        <f>'Données projet'!D232</f>
        <v>72.180000000000007</v>
      </c>
      <c r="C254" s="193">
        <v>180</v>
      </c>
      <c r="D254" s="179">
        <f t="shared" si="13"/>
        <v>12992.400000000001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191</v>
      </c>
      <c r="B255" s="181">
        <f>'Données projet'!D233</f>
        <v>145.01</v>
      </c>
      <c r="C255" s="193">
        <v>234.375</v>
      </c>
      <c r="D255" s="179">
        <f t="shared" si="13"/>
        <v>33986.71875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7" ma:contentTypeDescription="Create a new document." ma:contentTypeScope="" ma:versionID="0f10b2df0a8ad8ab3d7ccc192cceedec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1966df0606072e9ad774843119c6d221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02B7BA75-7AD1-4BB4-8A45-EB2978213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Adrian valette</cp:lastModifiedBy>
  <dcterms:created xsi:type="dcterms:W3CDTF">2021-02-01T08:22:39Z</dcterms:created>
  <dcterms:modified xsi:type="dcterms:W3CDTF">2025-11-25T09:31:19Z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