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LAUDRAY\"/>
    </mc:Choice>
  </mc:AlternateContent>
  <xr:revisionPtr revIDLastSave="0" documentId="13_ncr:1_{88F30D53-9360-408B-8AAF-DE7F389C2D53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73" i="1"/>
  <c r="D173" i="1" s="1"/>
  <c r="D172" i="1"/>
  <c r="D171" i="1"/>
  <c r="D170" i="1"/>
  <c r="D169" i="1"/>
  <c r="D168" i="1"/>
  <c r="D167" i="1"/>
  <c r="B121" i="1"/>
  <c r="D121" i="1" s="1"/>
  <c r="D120" i="1"/>
  <c r="D119" i="1"/>
  <c r="D118" i="1"/>
  <c r="D117" i="1"/>
  <c r="D116" i="1"/>
  <c r="D115" i="1"/>
  <c r="B95" i="1"/>
  <c r="B94" i="1"/>
  <c r="B93" i="1"/>
  <c r="B92" i="1"/>
  <c r="B91" i="1"/>
  <c r="B90" i="1"/>
  <c r="B89" i="1"/>
  <c r="B88" i="1"/>
  <c r="B69" i="1"/>
  <c r="D69" i="1" s="1"/>
  <c r="D68" i="1"/>
  <c r="D67" i="1"/>
  <c r="D66" i="1"/>
  <c r="D65" i="1"/>
  <c r="D64" i="1"/>
  <c r="D63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<sst xmlns="http://schemas.openxmlformats.org/spreadsheetml/2006/main" count="1175" uniqueCount="324">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</sst>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62.580068182725313</c:v>
                </c:pt>
                <c:pt idx="12">
                  <c:v>79.64780089225961</c:v>
                </c:pt>
                <c:pt idx="13">
                  <c:v>96.622378392606606</c:v>
                </c:pt>
                <c:pt idx="14">
                  <c:v>113.52255899804454</c:v>
                </c:pt>
                <c:pt idx="15">
                  <c:v>130.36101221629727</c:v>
                </c:pt>
                <c:pt idx="16">
                  <c:v>147.14684893940071</c:v>
                </c:pt>
                <c:pt idx="17">
                  <c:v>163.88692361334699</c:v>
                </c:pt>
                <c:pt idx="18">
                  <c:v>180.58657218998459</c:v>
                </c:pt>
                <c:pt idx="19">
                  <c:v>197.25006116701806</c:v>
                </c:pt>
                <c:pt idx="20">
                  <c:v>213.88087624460479</c:v>
                </c:pt>
                <c:pt idx="21">
                  <c:v>137.39083930673908</c:v>
                </c:pt>
                <c:pt idx="22">
                  <c:v>156.88740899092929</c:v>
                </c:pt>
                <c:pt idx="23">
                  <c:v>176.32642399290856</c:v>
                </c:pt>
                <c:pt idx="24">
                  <c:v>195.7151268464269</c:v>
                </c:pt>
                <c:pt idx="25">
                  <c:v>215.0592048597434</c:v>
                </c:pt>
                <c:pt idx="26">
                  <c:v>234.36323716840596</c:v>
                </c:pt>
                <c:pt idx="27">
                  <c:v>253.6309862079039</c:v>
                </c:pt>
                <c:pt idx="28">
                  <c:v>272.86559571589572</c:v>
                </c:pt>
                <c:pt idx="29">
                  <c:v>292.06972985560316</c:v>
                </c:pt>
                <c:pt idx="30">
                  <c:v>311.24567377041313</c:v>
                </c:pt>
                <c:pt idx="31">
                  <c:v>228.952501957349</c:v>
                </c:pt>
                <c:pt idx="32">
                  <c:v>245.17622856574675</c:v>
                </c:pt>
                <c:pt idx="33">
                  <c:v>261.37556913199376</c:v>
                </c:pt>
                <c:pt idx="34">
                  <c:v>277.55224782280595</c:v>
                </c:pt>
                <c:pt idx="35">
                  <c:v>293.70777135039344</c:v>
                </c:pt>
                <c:pt idx="36">
                  <c:v>309.84346710446169</c:v>
                </c:pt>
                <c:pt idx="37">
                  <c:v>325.9605129186765</c:v>
                </c:pt>
                <c:pt idx="38">
                  <c:v>342.0599606381441</c:v>
                </c:pt>
                <c:pt idx="39">
                  <c:v>358.14275501577009</c:v>
                </c:pt>
                <c:pt idx="40">
                  <c:v>374.20974903573421</c:v>
                </c:pt>
                <c:pt idx="41">
                  <c:v>294.2927366781621</c:v>
                </c:pt>
                <c:pt idx="42">
                  <c:v>307.73989261056767</c:v>
                </c:pt>
                <c:pt idx="43">
                  <c:v>321.1739980509787</c:v>
                </c:pt>
                <c:pt idx="44">
                  <c:v>334.59567585759885</c:v>
                </c:pt>
                <c:pt idx="45">
                  <c:v>348.00549483018625</c:v>
                </c:pt>
                <c:pt idx="46">
                  <c:v>361.40397634816759</c:v>
                </c:pt>
                <c:pt idx="47">
                  <c:v>374.79159997264645</c:v>
                </c:pt>
                <c:pt idx="48">
                  <c:v>388.1688082060096</c:v>
                </c:pt>
                <c:pt idx="49">
                  <c:v>401.53601056106123</c:v>
                </c:pt>
                <c:pt idx="50">
                  <c:v>414.89358705996847</c:v>
                </c:pt>
                <c:pt idx="51">
                  <c:v>350.68608221443083</c:v>
                </c:pt>
                <c:pt idx="52">
                  <c:v>362.10272554390031</c:v>
                </c:pt>
                <c:pt idx="53">
                  <c:v>373.51150187973388</c:v>
                </c:pt>
                <c:pt idx="54">
                  <c:v>384.91268544829836</c:v>
                </c:pt>
                <c:pt idx="55">
                  <c:v>396.30653290088247</c:v>
                </c:pt>
                <c:pt idx="56">
                  <c:v>407.6932849237607</c:v>
                </c:pt>
                <c:pt idx="57">
                  <c:v>419.0731676589694</c:v>
                </c:pt>
                <c:pt idx="58">
                  <c:v>430.44639396268781</c:v>
                </c:pt>
                <c:pt idx="59">
                  <c:v>441.81316452367497</c:v>
                </c:pt>
                <c:pt idx="60">
                  <c:v>453.17366886059989</c:v>
                </c:pt>
                <c:pt idx="61">
                  <c:v>398.04985721662001</c:v>
                </c:pt>
                <c:pt idx="62">
                  <c:v>407.92559534757805</c:v>
                </c:pt>
                <c:pt idx="63">
                  <c:v>417.79616934776453</c:v>
                </c:pt>
                <c:pt idx="64">
                  <c:v>427.66171846396509</c:v>
                </c:pt>
                <c:pt idx="65">
                  <c:v>437.52237499233479</c:v>
                </c:pt>
                <c:pt idx="66">
                  <c:v>447.37826477754788</c:v>
                </c:pt>
                <c:pt idx="67">
                  <c:v>457.22950766566288</c:v>
                </c:pt>
                <c:pt idx="68">
                  <c:v>467.07621791591828</c:v>
                </c:pt>
                <c:pt idx="69">
                  <c:v>476.91850457599202</c:v>
                </c:pt>
                <c:pt idx="70">
                  <c:v>486.75647182466588</c:v>
                </c:pt>
                <c:pt idx="71">
                  <c:v>435.08666090841865</c:v>
                </c:pt>
                <c:pt idx="72">
                  <c:v>443.66836388772407</c:v>
                </c:pt>
                <c:pt idx="73">
                  <c:v>452.24651127718994</c:v>
                </c:pt>
                <c:pt idx="74">
                  <c:v>460.82118005626143</c:v>
                </c:pt>
                <c:pt idx="75">
                  <c:v>469.39244410483235</c:v>
                </c:pt>
                <c:pt idx="76">
                  <c:v>477.96037438359508</c:v>
                </c:pt>
                <c:pt idx="77">
                  <c:v>486.52503910078366</c:v>
                </c:pt>
                <c:pt idx="78">
                  <c:v>495.08650386656154</c:v>
                </c:pt>
                <c:pt idx="79">
                  <c:v>503.64483183617295</c:v>
                </c:pt>
                <c:pt idx="80">
                  <c:v>512.20008384285597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2.6221659006031532</c:v>
                </c:pt>
                <c:pt idx="2">
                  <c:v>3.1322083665241549</c:v>
                </c:pt>
                <c:pt idx="3">
                  <c:v>3.7418290992150331</c:v>
                </c:pt>
                <c:pt idx="4">
                  <c:v>4.4705372894252742</c:v>
                </c:pt>
                <c:pt idx="5">
                  <c:v>5.3416768206533467</c:v>
                </c:pt>
                <c:pt idx="6">
                  <c:v>6.3831822949956036</c:v>
                </c:pt>
                <c:pt idx="7">
                  <c:v>7.6284845295207901</c:v>
                </c:pt>
                <c:pt idx="8">
                  <c:v>9.1175951501293113</c:v>
                </c:pt>
                <c:pt idx="9">
                  <c:v>10.898405796042995</c:v>
                </c:pt>
                <c:pt idx="10">
                  <c:v>13.028244506192046</c:v>
                </c:pt>
                <c:pt idx="11">
                  <c:v>15.575740322601375</c:v>
                </c:pt>
                <c:pt idx="12">
                  <c:v>18.623057295923882</c:v>
                </c:pt>
                <c:pt idx="13">
                  <c:v>22.268571251084154</c:v>
                </c:pt>
                <c:pt idx="14">
                  <c:v>26.630077270432324</c:v>
                </c:pt>
                <c:pt idx="15">
                  <c:v>31.848633362475322</c:v>
                </c:pt>
                <c:pt idx="16">
                  <c:v>38.093166787700099</c:v>
                </c:pt>
                <c:pt idx="17">
                  <c:v>45.565994707132809</c:v>
                </c:pt>
                <c:pt idx="18">
                  <c:v>54.509441041660921</c:v>
                </c:pt>
                <c:pt idx="19">
                  <c:v>65.213767686010328</c:v>
                </c:pt>
                <c:pt idx="20">
                  <c:v>78.026681717112226</c:v>
                </c:pt>
                <c:pt idx="21">
                  <c:v>82.388011748887735</c:v>
                </c:pt>
                <c:pt idx="22">
                  <c:v>94.305360186337609</c:v>
                </c:pt>
                <c:pt idx="23">
                  <c:v>106.18511445791337</c:v>
                </c:pt>
                <c:pt idx="24">
                  <c:v>118.03208120289025</c:v>
                </c:pt>
                <c:pt idx="25">
                  <c:v>129.85002000252635</c:v>
                </c:pt>
                <c:pt idx="26">
                  <c:v>141.64194831023977</c:v>
                </c:pt>
                <c:pt idx="27">
                  <c:v>153.41033898523892</c:v>
                </c:pt>
                <c:pt idx="28">
                  <c:v>165.15725377990333</c:v>
                </c:pt>
                <c:pt idx="29">
                  <c:v>176.88443672655623</c:v>
                </c:pt>
                <c:pt idx="30">
                  <c:v>188.59338138830176</c:v>
                </c:pt>
                <c:pt idx="31">
                  <c:v>165.52984007722179</c:v>
                </c:pt>
                <c:pt idx="32">
                  <c:v>183.3915707178659</c:v>
                </c:pt>
                <c:pt idx="33">
                  <c:v>201.21262563029904</c:v>
                </c:pt>
                <c:pt idx="34">
                  <c:v>218.99711535784954</c:v>
                </c:pt>
                <c:pt idx="35">
                  <c:v>236.74842754536431</c:v>
                </c:pt>
                <c:pt idx="36">
                  <c:v>254.46939993854008</c:v>
                </c:pt>
                <c:pt idx="37">
                  <c:v>272.16244255683904</c:v>
                </c:pt>
                <c:pt idx="38">
                  <c:v>289.82962637569977</c:v>
                </c:pt>
                <c:pt idx="39">
                  <c:v>307.47274922302034</c:v>
                </c:pt>
                <c:pt idx="40">
                  <c:v>325.09338574282259</c:v>
                </c:pt>
                <c:pt idx="41">
                  <c:v>250.77990843042707</c:v>
                </c:pt>
                <c:pt idx="42">
                  <c:v>270.32065694935739</c:v>
                </c:pt>
                <c:pt idx="43">
                  <c:v>289.82962637569977</c:v>
                </c:pt>
                <c:pt idx="44">
                  <c:v>309.3092561029556</c:v>
                </c:pt>
                <c:pt idx="45">
                  <c:v>328.76165316889791</c:v>
                </c:pt>
                <c:pt idx="46">
                  <c:v>348.18865493629534</c:v>
                </c:pt>
                <c:pt idx="47">
                  <c:v>367.59187704260927</c:v>
                </c:pt>
                <c:pt idx="48">
                  <c:v>386.97275069119155</c:v>
                </c:pt>
                <c:pt idx="49">
                  <c:v>406.33255207904011</c:v>
                </c:pt>
                <c:pt idx="50">
                  <c:v>425.67242592235556</c:v>
                </c:pt>
                <c:pt idx="51">
                  <c:v>328.39486727133874</c:v>
                </c:pt>
                <c:pt idx="52">
                  <c:v>348.18865493629534</c:v>
                </c:pt>
                <c:pt idx="53">
                  <c:v>367.95775652370872</c:v>
                </c:pt>
                <c:pt idx="54">
                  <c:v>387.70368425262296</c:v>
                </c:pt>
                <c:pt idx="55">
                  <c:v>407.42778379371663</c:v>
                </c:pt>
                <c:pt idx="56">
                  <c:v>427.13125995293143</c:v>
                </c:pt>
                <c:pt idx="57">
                  <c:v>446.81519736841233</c:v>
                </c:pt>
                <c:pt idx="58">
                  <c:v>466.4805773703319</c:v>
                </c:pt>
                <c:pt idx="59">
                  <c:v>486.12829184993842</c:v>
                </c:pt>
                <c:pt idx="60">
                  <c:v>505.75915477017446</c:v>
                </c:pt>
                <c:pt idx="61">
                  <c:v>399.57720542478529</c:v>
                </c:pt>
                <c:pt idx="62">
                  <c:v>419.10633532774767</c:v>
                </c:pt>
                <c:pt idx="63">
                  <c:v>438.61586616499397</c:v>
                </c:pt>
                <c:pt idx="64">
                  <c:v>458.1067918371786</c:v>
                </c:pt>
                <c:pt idx="65">
                  <c:v>477.58001482002169</c:v>
                </c:pt>
                <c:pt idx="66">
                  <c:v>497.036358035185</c:v>
                </c:pt>
                <c:pt idx="67">
                  <c:v>516.47657476615097</c:v>
                </c:pt>
                <c:pt idx="68">
                  <c:v>535.90135700397661</c:v>
                </c:pt>
                <c:pt idx="69">
                  <c:v>555.31134252056279</c:v>
                </c:pt>
                <c:pt idx="70">
                  <c:v>574.70712090201835</c:v>
                </c:pt>
                <c:pt idx="71">
                  <c:v>462.294089204675</c:v>
                </c:pt>
                <c:pt idx="72">
                  <c:v>480.67231718549561</c:v>
                </c:pt>
                <c:pt idx="73">
                  <c:v>499.03561650475189</c:v>
                </c:pt>
                <c:pt idx="74">
                  <c:v>517.38461348648957</c:v>
                </c:pt>
                <c:pt idx="75">
                  <c:v>535.71988643466068</c:v>
                </c:pt>
                <c:pt idx="76">
                  <c:v>554.04197086588488</c:v>
                </c:pt>
                <c:pt idx="77">
                  <c:v>572.35136401433954</c:v>
                </c:pt>
                <c:pt idx="78">
                  <c:v>590.64852873052894</c:v>
                </c:pt>
                <c:pt idx="79">
                  <c:v>608.93389687209947</c:v>
                </c:pt>
                <c:pt idx="80">
                  <c:v>627.20787226644893</c:v>
                </c:pt>
                <c:pt idx="81">
                  <c:v>518.65581121947082</c:v>
                </c:pt>
                <c:pt idx="82">
                  <c:v>535.17546696939337</c:v>
                </c:pt>
                <c:pt idx="83">
                  <c:v>551.68440454363065</c:v>
                </c:pt>
                <c:pt idx="84">
                  <c:v>568.18298966438704</c:v>
                </c:pt>
                <c:pt idx="85">
                  <c:v>584.67156509530366</c:v>
                </c:pt>
                <c:pt idx="86">
                  <c:v>601.1504527028269</c:v>
                </c:pt>
                <c:pt idx="87">
                  <c:v>617.61995527992087</c:v>
                </c:pt>
                <c:pt idx="88">
                  <c:v>634.08035816525512</c:v>
                </c:pt>
                <c:pt idx="89">
                  <c:v>650.53193068562337</c:v>
                </c:pt>
                <c:pt idx="90">
                  <c:v>666.97492744496378</c:v>
                </c:pt>
                <c:pt idx="91">
                  <c:v>560.93211702074007</c:v>
                </c:pt>
                <c:pt idx="92">
                  <c:v>576.15671718544536</c:v>
                </c:pt>
                <c:pt idx="93">
                  <c:v>591.3729233222266</c:v>
                </c:pt>
                <c:pt idx="94">
                  <c:v>606.58098171901827</c:v>
                </c:pt>
                <c:pt idx="95">
                  <c:v>621.7811253140419</c:v>
                </c:pt>
                <c:pt idx="96">
                  <c:v>636.97357473480702</c:v>
                </c:pt>
                <c:pt idx="97">
                  <c:v>652.15853923289103</c:v>
                </c:pt>
                <c:pt idx="98">
                  <c:v>667.33621752718682</c:v>
                </c:pt>
                <c:pt idx="99">
                  <c:v>682.50679856649674</c:v>
                </c:pt>
                <c:pt idx="100">
                  <c:v>697.67046222084502</c:v>
                </c:pt>
                <c:pt idx="101">
                  <c:v>597.52953409477198</c:v>
                </c:pt>
                <c:pt idx="102">
                  <c:v>611.28662331597275</c:v>
                </c:pt>
                <c:pt idx="103">
                  <c:v>625.03729061656554</c:v>
                </c:pt>
                <c:pt idx="104">
                  <c:v>638.78169711460112</c:v>
                </c:pt>
                <c:pt idx="105">
                  <c:v>652.51999643294278</c:v>
                </c:pt>
                <c:pt idx="106">
                  <c:v>666.25233520168399</c:v>
                </c:pt>
                <c:pt idx="107">
                  <c:v>679.97885351701518</c:v>
                </c:pt>
                <c:pt idx="108">
                  <c:v>693.69968536113538</c:v>
                </c:pt>
                <c:pt idx="109">
                  <c:v>707.41495898723531</c:v>
                </c:pt>
                <c:pt idx="110">
                  <c:v>721.1247972730938</c:v>
                </c:pt>
                <c:pt idx="111">
                  <c:v>628.6548402981233</c:v>
                </c:pt>
                <c:pt idx="112">
                  <c:v>640.95130444493554</c:v>
                </c:pt>
                <c:pt idx="113">
                  <c:v>653.24289845337205</c:v>
                </c:pt>
                <c:pt idx="114">
                  <c:v>665.52972683667122</c:v>
                </c:pt>
                <c:pt idx="115">
                  <c:v>677.8118899361674</c:v>
                </c:pt>
                <c:pt idx="116">
                  <c:v>690.08948416197961</c:v>
                </c:pt>
                <c:pt idx="117">
                  <c:v>702.36260221569603</c:v>
                </c:pt>
                <c:pt idx="118">
                  <c:v>714.63133329669063</c:v>
                </c:pt>
                <c:pt idx="119">
                  <c:v>726.89576329354441</c:v>
                </c:pt>
                <c:pt idx="120">
                  <c:v>739.15597496188423</c:v>
                </c:pt>
                <c:pt idx="121">
                  <c:v>654.14650279389639</c:v>
                </c:pt>
                <c:pt idx="122">
                  <c:v>664.8071023299367</c:v>
                </c:pt>
                <c:pt idx="123">
                  <c:v>675.46418548841041</c:v>
                </c:pt>
                <c:pt idx="124">
                  <c:v>686.11781555021241</c:v>
                </c:pt>
                <c:pt idx="125">
                  <c:v>696.76805367152656</c:v>
                </c:pt>
                <c:pt idx="126">
                  <c:v>707.41495898723531</c:v>
                </c:pt>
                <c:pt idx="127">
                  <c:v>718.05858870778468</c:v>
                </c:pt>
                <c:pt idx="128">
                  <c:v>728.69899821000888</c:v>
                </c:pt>
                <c:pt idx="129">
                  <c:v>739.33624112237851</c:v>
                </c:pt>
                <c:pt idx="130">
                  <c:v>749.97036940508951</c:v>
                </c:pt>
                <c:pt idx="131">
                  <c:v>674.38057308941836</c:v>
                </c:pt>
                <c:pt idx="132">
                  <c:v>683.59014472488514</c:v>
                </c:pt>
                <c:pt idx="133">
                  <c:v>692.7971712341091</c:v>
                </c:pt>
                <c:pt idx="134">
                  <c:v>702.00169120082239</c:v>
                </c:pt>
                <c:pt idx="135">
                  <c:v>711.20374211472051</c:v>
                </c:pt>
                <c:pt idx="136">
                  <c:v>720.40336041654052</c:v>
                </c:pt>
                <c:pt idx="137">
                  <c:v>729.60058154071328</c:v>
                </c:pt>
                <c:pt idx="138">
                  <c:v>738.79543995575875</c:v>
                </c:pt>
                <c:pt idx="139">
                  <c:v>747.98796920256325</c:v>
                </c:pt>
                <c:pt idx="140">
                  <c:v>757.17820193068076</c:v>
                </c:pt>
                <c:pt idx="141">
                  <c:v>691.35309850617239</c:v>
                </c:pt>
                <c:pt idx="142">
                  <c:v>699.47520765710851</c:v>
                </c:pt>
                <c:pt idx="143">
                  <c:v>707.59538662085424</c:v>
                </c:pt>
                <c:pt idx="144">
                  <c:v>715.71366066651626</c:v>
                </c:pt>
                <c:pt idx="145">
                  <c:v>723.83005444332548</c:v>
                </c:pt>
                <c:pt idx="146">
                  <c:v>731.94459200277345</c:v>
                </c:pt>
                <c:pt idx="147">
                  <c:v>740.05729681971332</c:v>
                </c:pt>
                <c:pt idx="148">
                  <c:v>748.16819181249014</c:v>
                </c:pt>
                <c:pt idx="149">
                  <c:v>756.27729936215337</c:v>
                </c:pt>
                <c:pt idx="150">
                  <c:v>764.3846413308014</c:v>
                </c:pt>
                <c:pt idx="151">
                  <c:v>697.67046222084571</c:v>
                </c:pt>
                <c:pt idx="152">
                  <c:v>697.67046222084571</c:v>
                </c:pt>
                <c:pt idx="153">
                  <c:v>697.67046222084571</c:v>
                </c:pt>
                <c:pt idx="154">
                  <c:v>697.67046222084571</c:v>
                </c:pt>
                <c:pt idx="155">
                  <c:v>697.67046222084571</c:v>
                </c:pt>
                <c:pt idx="156">
                  <c:v>697.67046222084571</c:v>
                </c:pt>
                <c:pt idx="157">
                  <c:v>697.67046222084571</c:v>
                </c:pt>
                <c:pt idx="158">
                  <c:v>697.67046222084571</c:v>
                </c:pt>
                <c:pt idx="159">
                  <c:v>697.67046222084571</c:v>
                </c:pt>
                <c:pt idx="160">
                  <c:v>697.67046222084571</c:v>
                </c:pt>
                <c:pt idx="161">
                  <c:v>697.67046222084571</c:v>
                </c:pt>
                <c:pt idx="162">
                  <c:v>697.67046222084571</c:v>
                </c:pt>
                <c:pt idx="163">
                  <c:v>697.67046222084571</c:v>
                </c:pt>
                <c:pt idx="164">
                  <c:v>697.67046222084571</c:v>
                </c:pt>
                <c:pt idx="165">
                  <c:v>697.67046222084571</c:v>
                </c:pt>
                <c:pt idx="166">
                  <c:v>697.67046222084571</c:v>
                </c:pt>
                <c:pt idx="167">
                  <c:v>697.67046222084571</c:v>
                </c:pt>
                <c:pt idx="168">
                  <c:v>697.67046222084571</c:v>
                </c:pt>
                <c:pt idx="169">
                  <c:v>697.67046222084571</c:v>
                </c:pt>
                <c:pt idx="170">
                  <c:v>697.67046222084571</c:v>
                </c:pt>
                <c:pt idx="171">
                  <c:v>697.67046222084571</c:v>
                </c:pt>
                <c:pt idx="172">
                  <c:v>697.67046222084571</c:v>
                </c:pt>
                <c:pt idx="173">
                  <c:v>697.67046222084571</c:v>
                </c:pt>
                <c:pt idx="174">
                  <c:v>697.67046222084571</c:v>
                </c:pt>
                <c:pt idx="175">
                  <c:v>697.67046222084571</c:v>
                </c:pt>
                <c:pt idx="176">
                  <c:v>697.67046222084571</c:v>
                </c:pt>
                <c:pt idx="177">
                  <c:v>697.67046222084571</c:v>
                </c:pt>
                <c:pt idx="178">
                  <c:v>697.67046222084571</c:v>
                </c:pt>
                <c:pt idx="179">
                  <c:v>697.67046222084571</c:v>
                </c:pt>
                <c:pt idx="180">
                  <c:v>697.67046222084571</c:v>
                </c:pt>
                <c:pt idx="181">
                  <c:v>697.67046222084571</c:v>
                </c:pt>
                <c:pt idx="182">
                  <c:v>697.67046222084571</c:v>
                </c:pt>
                <c:pt idx="183">
                  <c:v>697.67046222084571</c:v>
                </c:pt>
                <c:pt idx="184">
                  <c:v>697.67046222084571</c:v>
                </c:pt>
                <c:pt idx="185">
                  <c:v>697.67046222084571</c:v>
                </c:pt>
                <c:pt idx="186">
                  <c:v>697.67046222084571</c:v>
                </c:pt>
                <c:pt idx="187">
                  <c:v>697.67046222084571</c:v>
                </c:pt>
                <c:pt idx="188">
                  <c:v>697.67046222084571</c:v>
                </c:pt>
                <c:pt idx="189">
                  <c:v>697.67046222084571</c:v>
                </c:pt>
                <c:pt idx="190">
                  <c:v>697.67046222084571</c:v>
                </c:pt>
                <c:pt idx="191">
                  <c:v>697.67046222084571</c:v>
                </c:pt>
                <c:pt idx="192">
                  <c:v>697.67046222084571</c:v>
                </c:pt>
                <c:pt idx="193">
                  <c:v>697.67046222084571</c:v>
                </c:pt>
                <c:pt idx="194">
                  <c:v>697.67046222084571</c:v>
                </c:pt>
                <c:pt idx="195">
                  <c:v>697.67046222084571</c:v>
                </c:pt>
                <c:pt idx="196">
                  <c:v>697.67046222084571</c:v>
                </c:pt>
                <c:pt idx="197">
                  <c:v>697.67046222084571</c:v>
                </c:pt>
                <c:pt idx="198">
                  <c:v>697.67046222084571</c:v>
                </c:pt>
                <c:pt idx="199">
                  <c:v>697.67046222084571</c:v>
                </c:pt>
                <c:pt idx="200">
                  <c:v>697.67046222084571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39.608112078537687</c:v>
                </c:pt>
                <c:pt idx="12">
                  <c:v>59.792252839405712</c:v>
                </c:pt>
                <c:pt idx="13">
                  <c:v>79.796073969285615</c:v>
                </c:pt>
                <c:pt idx="14">
                  <c:v>99.671872945964807</c:v>
                </c:pt>
                <c:pt idx="15">
                  <c:v>119.44897015523419</c:v>
                </c:pt>
                <c:pt idx="16">
                  <c:v>139.14607470447081</c:v>
                </c:pt>
                <c:pt idx="17">
                  <c:v>158.77612951723384</c:v>
                </c:pt>
                <c:pt idx="18">
                  <c:v>178.34860130742405</c:v>
                </c:pt>
                <c:pt idx="19">
                  <c:v>197.87070296515913</c:v>
                </c:pt>
                <c:pt idx="20">
                  <c:v>217.34810492356107</c:v>
                </c:pt>
                <c:pt idx="21">
                  <c:v>133.86852837675002</c:v>
                </c:pt>
                <c:pt idx="22">
                  <c:v>157.02306213368757</c:v>
                </c:pt>
                <c:pt idx="23">
                  <c:v>180.09643806867584</c:v>
                </c:pt>
                <c:pt idx="24">
                  <c:v>203.10052831260927</c:v>
                </c:pt>
                <c:pt idx="25">
                  <c:v>226.04428793703948</c:v>
                </c:pt>
                <c:pt idx="26">
                  <c:v>248.93470217300015</c:v>
                </c:pt>
                <c:pt idx="27">
                  <c:v>271.77736518267238</c:v>
                </c:pt>
                <c:pt idx="28">
                  <c:v>294.57685332640881</c:v>
                </c:pt>
                <c:pt idx="29">
                  <c:v>317.33697649989301</c:v>
                </c:pt>
                <c:pt idx="30">
                  <c:v>340.06095344521384</c:v>
                </c:pt>
                <c:pt idx="31">
                  <c:v>249.0923955297977</c:v>
                </c:pt>
                <c:pt idx="32">
                  <c:v>268.15703506620378</c:v>
                </c:pt>
                <c:pt idx="33">
                  <c:v>287.19115712325663</c:v>
                </c:pt>
                <c:pt idx="34">
                  <c:v>306.19706833197506</c:v>
                </c:pt>
                <c:pt idx="35">
                  <c:v>325.17676557494707</c:v>
                </c:pt>
                <c:pt idx="36">
                  <c:v>344.13199361263992</c:v>
                </c:pt>
                <c:pt idx="37">
                  <c:v>363.06428933973513</c:v>
                </c:pt>
                <c:pt idx="38">
                  <c:v>381.97501632295251</c:v>
                </c:pt>
                <c:pt idx="39">
                  <c:v>400.86539213963152</c:v>
                </c:pt>
                <c:pt idx="40">
                  <c:v>419.73651029301618</c:v>
                </c:pt>
                <c:pt idx="41">
                  <c:v>324.70649713481191</c:v>
                </c:pt>
                <c:pt idx="42">
                  <c:v>339.12133083817071</c:v>
                </c:pt>
                <c:pt idx="43">
                  <c:v>353.52268649784691</c:v>
                </c:pt>
                <c:pt idx="44">
                  <c:v>367.91119048558335</c:v>
                </c:pt>
                <c:pt idx="45">
                  <c:v>382.28741618096211</c:v>
                </c:pt>
                <c:pt idx="46">
                  <c:v>396.65189032068633</c:v>
                </c:pt>
                <c:pt idx="47">
                  <c:v>411.00509838000477</c:v>
                </c:pt>
                <c:pt idx="48">
                  <c:v>425.34748916314453</c:v>
                </c:pt>
                <c:pt idx="49">
                  <c:v>439.67947874230293</c:v>
                </c:pt>
                <c:pt idx="50">
                  <c:v>454.00145385629543</c:v>
                </c:pt>
                <c:pt idx="51">
                  <c:v>397.58830747990646</c:v>
                </c:pt>
                <c:pt idx="52">
                  <c:v>408.19772677982763</c:v>
                </c:pt>
                <c:pt idx="53">
                  <c:v>418.80119064069623</c:v>
                </c:pt>
                <c:pt idx="54">
                  <c:v>429.39887113927813</c:v>
                </c:pt>
                <c:pt idx="55">
                  <c:v>439.9909311636232</c:v>
                </c:pt>
                <c:pt idx="56">
                  <c:v>450.57752511785958</c:v>
                </c:pt>
                <c:pt idx="57">
                  <c:v>461.15879955729133</c:v>
                </c:pt>
                <c:pt idx="58">
                  <c:v>471.73489376216497</c:v>
                </c:pt>
                <c:pt idx="59">
                  <c:v>482.3059402572992</c:v>
                </c:pt>
                <c:pt idx="60">
                  <c:v>492.87206528378402</c:v>
                </c:pt>
                <c:pt idx="61">
                  <c:v>453.84583274186275</c:v>
                </c:pt>
                <c:pt idx="62">
                  <c:v>461.46993442600098</c:v>
                </c:pt>
                <c:pt idx="63">
                  <c:v>469.09134849962794</c:v>
                </c:pt>
                <c:pt idx="64">
                  <c:v>476.71012480781616</c:v>
                </c:pt>
                <c:pt idx="65">
                  <c:v>484.32631147171105</c:v>
                </c:pt>
                <c:pt idx="66">
                  <c:v>491.93995497491869</c:v>
                </c:pt>
                <c:pt idx="67">
                  <c:v>499.55110024426494</c:v>
                </c:pt>
                <c:pt idx="68">
                  <c:v>507.15979072537556</c:v>
                </c:pt>
                <c:pt idx="69">
                  <c:v>514.76606845348317</c:v>
                </c:pt>
                <c:pt idx="70">
                  <c:v>522.36997411983293</c:v>
                </c:pt>
                <c:pt idx="71">
                  <c:v>488.05575792294297</c:v>
                </c:pt>
                <c:pt idx="72">
                  <c:v>494.11482090374903</c:v>
                </c:pt>
                <c:pt idx="73">
                  <c:v>500.17230927372475</c:v>
                </c:pt>
                <c:pt idx="74">
                  <c:v>506.22824480345389</c:v>
                </c:pt>
                <c:pt idx="75">
                  <c:v>512.28264869987095</c:v>
                </c:pt>
                <c:pt idx="76">
                  <c:v>518.33554162748874</c:v>
                </c:pt>
                <c:pt idx="77">
                  <c:v>524.38694372858561</c:v>
                </c:pt>
                <c:pt idx="78">
                  <c:v>530.43687464240918</c:v>
                </c:pt>
                <c:pt idx="79">
                  <c:v>536.48535352346028</c:v>
                </c:pt>
                <c:pt idx="80">
                  <c:v>542.53239905890825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5" sqref="C1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11.77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0.54</v>
      </c>
      <c r="D9" s="33">
        <f t="shared" ref="D9:D18" si="0">C9*$C$5</f>
        <v>6.3558000000000003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81</v>
      </c>
      <c r="C10" s="32">
        <v>0.11</v>
      </c>
      <c r="D10" s="33">
        <f t="shared" si="0"/>
        <v>1.2947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0.16</v>
      </c>
      <c r="D11" s="33">
        <f t="shared" si="0"/>
        <v>1.8832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23</v>
      </c>
      <c r="C12" s="32">
        <v>0.05</v>
      </c>
      <c r="D12" s="33">
        <f t="shared" si="0"/>
        <v>0.58850000000000002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25</v>
      </c>
      <c r="C13" s="32">
        <v>0.05</v>
      </c>
      <c r="D13" s="33">
        <f t="shared" si="0"/>
        <v>0.58850000000000002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8</v>
      </c>
      <c r="C14" s="32">
        <v>0.09</v>
      </c>
      <c r="D14" s="33">
        <f t="shared" si="0"/>
        <v>1.0592999999999999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11.77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36</v>
      </c>
      <c r="C62" s="60"/>
      <c r="D62" s="60"/>
      <c r="E62" s="51"/>
      <c r="F62" s="51"/>
      <c r="G62" s="51"/>
      <c r="H62" s="51"/>
      <c r="I62" s="53">
        <f>IFERROR(B62/A62,"")</f>
        <v>3.6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177</v>
      </c>
      <c r="C63" s="60">
        <v>1</v>
      </c>
      <c r="D63" s="60">
        <f>39+42</f>
        <v>81</v>
      </c>
      <c r="E63" s="51"/>
      <c r="F63" s="51">
        <v>0.5</v>
      </c>
      <c r="G63" s="51">
        <v>0.5</v>
      </c>
      <c r="H63" s="51"/>
      <c r="I63" s="49">
        <f>IF(A63&lt;&gt;0,(B63-(B62-D62))/(A63-A62),"")</f>
        <v>14.1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260</v>
      </c>
      <c r="C64" s="60">
        <v>2</v>
      </c>
      <c r="D64" s="60">
        <f>42+42</f>
        <v>84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16.399999999999999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314</v>
      </c>
      <c r="C65" s="60">
        <v>3</v>
      </c>
      <c r="D65" s="60">
        <f>42+38</f>
        <v>80</v>
      </c>
      <c r="E65" s="51"/>
      <c r="F65" s="51"/>
      <c r="G65" s="51"/>
      <c r="H65" s="51"/>
      <c r="I65" s="49">
        <f>IF(A65&lt;&gt;0,(B65-(B64-D64))/(A65-A64),"")</f>
        <v>13.8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349</v>
      </c>
      <c r="C66" s="60">
        <v>4</v>
      </c>
      <c r="D66" s="60">
        <f>34+31</f>
        <v>65</v>
      </c>
      <c r="E66" s="51"/>
      <c r="F66" s="51"/>
      <c r="G66" s="51"/>
      <c r="H66" s="51"/>
      <c r="I66" s="49">
        <f t="shared" ref="I66:I81" si="2">IF(A66&lt;&gt;0,(B66-(B65-D65))/(A66-A65),"")</f>
        <v>11.5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382</v>
      </c>
      <c r="C67" s="60">
        <v>5</v>
      </c>
      <c r="D67" s="60">
        <f>29+27</f>
        <v>56</v>
      </c>
      <c r="E67" s="51"/>
      <c r="F67" s="51"/>
      <c r="G67" s="51"/>
      <c r="H67" s="51"/>
      <c r="I67" s="49">
        <f t="shared" si="2"/>
        <v>9.8000000000000007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411</v>
      </c>
      <c r="C68" s="60">
        <v>6</v>
      </c>
      <c r="D68" s="60">
        <f>26+26</f>
        <v>52</v>
      </c>
      <c r="E68" s="51"/>
      <c r="F68" s="51"/>
      <c r="G68" s="51"/>
      <c r="H68" s="51"/>
      <c r="I68" s="49">
        <f t="shared" si="2"/>
        <v>8.5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f>381+26+26</f>
        <v>433</v>
      </c>
      <c r="C69" s="50">
        <v>7</v>
      </c>
      <c r="D69" s="50">
        <f>B69</f>
        <v>433</v>
      </c>
      <c r="E69" s="51"/>
      <c r="F69" s="51"/>
      <c r="G69" s="51"/>
      <c r="H69" s="51"/>
      <c r="I69" s="49">
        <f t="shared" si="2"/>
        <v>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f>77+29</f>
        <v>106</v>
      </c>
      <c r="C88" s="60">
        <v>1</v>
      </c>
      <c r="D88" s="60">
        <v>29</v>
      </c>
      <c r="E88" s="51"/>
      <c r="F88" s="51">
        <v>0.5</v>
      </c>
      <c r="G88" s="51">
        <v>0.5</v>
      </c>
      <c r="H88" s="87"/>
      <c r="I88" s="53">
        <f>IFERROR(B88/A88,"")</f>
        <v>5.3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159+71</f>
        <v>230</v>
      </c>
      <c r="C89" s="60">
        <v>2</v>
      </c>
      <c r="D89" s="60">
        <v>71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15.3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246+95</f>
        <v>341</v>
      </c>
      <c r="C90" s="60">
        <v>3</v>
      </c>
      <c r="D90" s="60">
        <v>95</v>
      </c>
      <c r="E90" s="87"/>
      <c r="F90" s="87"/>
      <c r="G90" s="87"/>
      <c r="H90" s="87"/>
      <c r="I90" s="53">
        <f t="shared" si="3"/>
        <v>18.2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328+107</f>
        <v>435</v>
      </c>
      <c r="C91" s="60">
        <v>4</v>
      </c>
      <c r="D91" s="60">
        <v>107</v>
      </c>
      <c r="E91" s="87"/>
      <c r="F91" s="87"/>
      <c r="G91" s="87"/>
      <c r="H91" s="87"/>
      <c r="I91" s="53">
        <f t="shared" si="3"/>
        <v>18.899999999999999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400+108</f>
        <v>508</v>
      </c>
      <c r="C92" s="60">
        <v>5</v>
      </c>
      <c r="D92" s="60">
        <v>108</v>
      </c>
      <c r="E92" s="87"/>
      <c r="F92" s="87"/>
      <c r="G92" s="87"/>
      <c r="H92" s="87"/>
      <c r="I92" s="53">
        <f t="shared" si="3"/>
        <v>18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461+103</f>
        <v>564</v>
      </c>
      <c r="C93" s="60">
        <v>6</v>
      </c>
      <c r="D93" s="60">
        <v>103</v>
      </c>
      <c r="E93" s="87"/>
      <c r="F93" s="87"/>
      <c r="G93" s="87"/>
      <c r="H93" s="87"/>
      <c r="I93" s="53">
        <f t="shared" si="3"/>
        <v>16.399999999999999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512+94</f>
        <v>606</v>
      </c>
      <c r="C94" s="60">
        <v>7</v>
      </c>
      <c r="D94" s="60">
        <v>94</v>
      </c>
      <c r="E94" s="87"/>
      <c r="F94" s="87"/>
      <c r="G94" s="87"/>
      <c r="H94" s="87"/>
      <c r="I94" s="53">
        <f t="shared" si="3"/>
        <v>14.5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554+83</f>
        <v>637</v>
      </c>
      <c r="C95" s="60">
        <v>8</v>
      </c>
      <c r="D95" s="60">
        <v>83</v>
      </c>
      <c r="E95" s="87"/>
      <c r="F95" s="87"/>
      <c r="G95" s="87"/>
      <c r="H95" s="87"/>
      <c r="I95" s="53">
        <f t="shared" si="3"/>
        <v>12.5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11</v>
      </c>
      <c r="C114" s="50"/>
      <c r="D114" s="60"/>
      <c r="E114" s="51"/>
      <c r="F114" s="51">
        <v>0.25</v>
      </c>
      <c r="G114" s="51">
        <v>0.25</v>
      </c>
      <c r="H114" s="51">
        <v>0.5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134</v>
      </c>
      <c r="C115" s="50">
        <v>1</v>
      </c>
      <c r="D115" s="60">
        <f>32+35</f>
        <v>67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12.3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212</v>
      </c>
      <c r="C116" s="50">
        <v>2</v>
      </c>
      <c r="D116" s="60">
        <f>35+35</f>
        <v>70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14.5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263</v>
      </c>
      <c r="C117" s="50">
        <v>3</v>
      </c>
      <c r="D117" s="60">
        <f>35+35</f>
        <v>70</v>
      </c>
      <c r="E117" s="51"/>
      <c r="F117" s="51"/>
      <c r="G117" s="51"/>
      <c r="H117" s="51"/>
      <c r="I117" s="53">
        <f t="shared" si="4"/>
        <v>12.1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285</v>
      </c>
      <c r="C118" s="50">
        <v>4</v>
      </c>
      <c r="D118" s="60">
        <f>24+19</f>
        <v>43</v>
      </c>
      <c r="E118" s="51"/>
      <c r="F118" s="51"/>
      <c r="G118" s="51"/>
      <c r="H118" s="51"/>
      <c r="I118" s="53">
        <f t="shared" si="4"/>
        <v>9.1999999999999993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310</v>
      </c>
      <c r="C119" s="50">
        <v>5</v>
      </c>
      <c r="D119" s="60">
        <f>16+14</f>
        <v>30</v>
      </c>
      <c r="E119" s="51"/>
      <c r="F119" s="51"/>
      <c r="G119" s="51"/>
      <c r="H119" s="51"/>
      <c r="I119" s="53">
        <f t="shared" si="4"/>
        <v>6.8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329</v>
      </c>
      <c r="C120" s="60">
        <v>6</v>
      </c>
      <c r="D120" s="60">
        <f>13+13</f>
        <v>26</v>
      </c>
      <c r="E120" s="87"/>
      <c r="F120" s="87"/>
      <c r="G120" s="87"/>
      <c r="H120" s="87"/>
      <c r="I120" s="53">
        <f t="shared" si="4"/>
        <v>4.9000000000000004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319+12+11</f>
        <v>342</v>
      </c>
      <c r="C121" s="60">
        <v>7</v>
      </c>
      <c r="D121" s="60">
        <f>B121</f>
        <v>342</v>
      </c>
      <c r="E121" s="87"/>
      <c r="F121" s="87"/>
      <c r="G121" s="87"/>
      <c r="H121" s="87"/>
      <c r="I121" s="53">
        <f t="shared" si="4"/>
        <v>3.9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Hêtre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f>36+4</f>
        <v>40</v>
      </c>
      <c r="C140" s="50">
        <v>1</v>
      </c>
      <c r="D140" s="60">
        <v>4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f>77+22</f>
        <v>99</v>
      </c>
      <c r="C141" s="50">
        <v>2</v>
      </c>
      <c r="D141" s="60">
        <v>22</v>
      </c>
      <c r="E141" s="51"/>
      <c r="F141" s="51">
        <v>0.5</v>
      </c>
      <c r="G141" s="51">
        <v>0.5</v>
      </c>
      <c r="H141" s="51"/>
      <c r="I141" s="57">
        <f t="shared" ref="I141:I159" si="5">IF(A141&lt;&gt;0,(B141-(B140-D140))/(A141-A140),"")</f>
        <v>6.3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f>122+51</f>
        <v>173</v>
      </c>
      <c r="C142" s="50">
        <v>3</v>
      </c>
      <c r="D142" s="60">
        <v>51</v>
      </c>
      <c r="E142" s="51"/>
      <c r="F142" s="51"/>
      <c r="G142" s="51"/>
      <c r="H142" s="51"/>
      <c r="I142" s="57">
        <f t="shared" si="5"/>
        <v>9.6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164+64</f>
        <v>228</v>
      </c>
      <c r="C143" s="50">
        <v>4</v>
      </c>
      <c r="D143" s="60">
        <v>64</v>
      </c>
      <c r="E143" s="51"/>
      <c r="F143" s="51"/>
      <c r="G143" s="51"/>
      <c r="H143" s="51"/>
      <c r="I143" s="57">
        <f t="shared" si="5"/>
        <v>10.6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203+69</f>
        <v>272</v>
      </c>
      <c r="C144" s="50">
        <v>5</v>
      </c>
      <c r="D144" s="60">
        <v>69</v>
      </c>
      <c r="E144" s="51"/>
      <c r="F144" s="51"/>
      <c r="G144" s="51"/>
      <c r="H144" s="51"/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238+72</f>
        <v>310</v>
      </c>
      <c r="C145" s="50">
        <v>6</v>
      </c>
      <c r="D145" s="60">
        <v>72</v>
      </c>
      <c r="E145" s="51"/>
      <c r="F145" s="51"/>
      <c r="G145" s="51"/>
      <c r="H145" s="51"/>
      <c r="I145" s="57">
        <f t="shared" si="5"/>
        <v>10.7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268+71</f>
        <v>339</v>
      </c>
      <c r="C146" s="50">
        <v>7</v>
      </c>
      <c r="D146" s="60">
        <v>69</v>
      </c>
      <c r="E146" s="51"/>
      <c r="F146" s="51"/>
      <c r="G146" s="51"/>
      <c r="H146" s="51"/>
      <c r="I146" s="57">
        <f t="shared" si="5"/>
        <v>10.1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f>294+67</f>
        <v>361</v>
      </c>
      <c r="C147" s="50">
        <v>8</v>
      </c>
      <c r="D147" s="60">
        <v>67</v>
      </c>
      <c r="E147" s="51"/>
      <c r="F147" s="51"/>
      <c r="G147" s="51"/>
      <c r="H147" s="51"/>
      <c r="I147" s="57">
        <f>IF(A147&lt;&gt;0,(B147-(B146-D146))/(A147-A146),"")</f>
        <v>9.1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f>315+63</f>
        <v>378</v>
      </c>
      <c r="C148" s="50">
        <v>9</v>
      </c>
      <c r="D148" s="60">
        <v>63</v>
      </c>
      <c r="E148" s="51"/>
      <c r="F148" s="51"/>
      <c r="G148" s="51"/>
      <c r="H148" s="51"/>
      <c r="I148" s="57">
        <f t="shared" si="5"/>
        <v>8.4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f>333+58</f>
        <v>391</v>
      </c>
      <c r="C149" s="50">
        <v>10</v>
      </c>
      <c r="D149" s="60">
        <v>58</v>
      </c>
      <c r="E149" s="51"/>
      <c r="F149" s="51"/>
      <c r="G149" s="51"/>
      <c r="H149" s="51"/>
      <c r="I149" s="57">
        <f t="shared" si="5"/>
        <v>7.6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348+53</f>
        <v>401</v>
      </c>
      <c r="C150" s="50">
        <v>11</v>
      </c>
      <c r="D150" s="60">
        <v>53</v>
      </c>
      <c r="E150" s="51"/>
      <c r="F150" s="51"/>
      <c r="G150" s="51"/>
      <c r="H150" s="51"/>
      <c r="I150" s="57">
        <f t="shared" si="5"/>
        <v>6.8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130</v>
      </c>
      <c r="B151" s="60">
        <f>360+47</f>
        <v>407</v>
      </c>
      <c r="C151" s="50">
        <v>12</v>
      </c>
      <c r="D151" s="60">
        <v>47</v>
      </c>
      <c r="E151" s="51"/>
      <c r="F151" s="51"/>
      <c r="G151" s="51"/>
      <c r="H151" s="51"/>
      <c r="I151" s="57">
        <f t="shared" si="5"/>
        <v>5.9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140</v>
      </c>
      <c r="B152" s="60">
        <f>370+41</f>
        <v>411</v>
      </c>
      <c r="C152" s="50">
        <v>13</v>
      </c>
      <c r="D152" s="60">
        <v>41</v>
      </c>
      <c r="E152" s="54"/>
      <c r="F152" s="54"/>
      <c r="G152" s="54"/>
      <c r="H152" s="54"/>
      <c r="I152" s="57">
        <f t="shared" si="5"/>
        <v>5.0999999999999996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150</v>
      </c>
      <c r="B153" s="60">
        <f>378+37</f>
        <v>415</v>
      </c>
      <c r="C153" s="50">
        <v>14</v>
      </c>
      <c r="D153" s="60">
        <v>37</v>
      </c>
      <c r="E153" s="54"/>
      <c r="F153" s="54"/>
      <c r="G153" s="54"/>
      <c r="H153" s="54"/>
      <c r="I153" s="57">
        <f t="shared" si="5"/>
        <v>4.5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11</v>
      </c>
      <c r="C166" s="60"/>
      <c r="D166" s="60"/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134</v>
      </c>
      <c r="C167" s="60">
        <v>1</v>
      </c>
      <c r="D167" s="60">
        <f>32+35</f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6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212</v>
      </c>
      <c r="C168" s="60">
        <v>2</v>
      </c>
      <c r="D168" s="60">
        <f>35+35</f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6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40</v>
      </c>
      <c r="B169" s="60">
        <v>263</v>
      </c>
      <c r="C169" s="60">
        <v>3</v>
      </c>
      <c r="D169" s="60">
        <f>35+35</f>
        <v>70</v>
      </c>
      <c r="E169" s="51"/>
      <c r="F169" s="51"/>
      <c r="G169" s="51"/>
      <c r="H169" s="51"/>
      <c r="I169" s="49">
        <f t="shared" si="6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50</v>
      </c>
      <c r="B170" s="60">
        <v>285</v>
      </c>
      <c r="C170" s="60">
        <v>4</v>
      </c>
      <c r="D170" s="60">
        <f>24+19</f>
        <v>43</v>
      </c>
      <c r="E170" s="51"/>
      <c r="F170" s="51"/>
      <c r="G170" s="51"/>
      <c r="H170" s="51"/>
      <c r="I170" s="49">
        <f t="shared" si="6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60</v>
      </c>
      <c r="B171" s="60">
        <v>310</v>
      </c>
      <c r="C171" s="60">
        <v>5</v>
      </c>
      <c r="D171" s="60">
        <f>16+14</f>
        <v>30</v>
      </c>
      <c r="E171" s="51"/>
      <c r="F171" s="51"/>
      <c r="G171" s="51"/>
      <c r="H171" s="51"/>
      <c r="I171" s="49">
        <f t="shared" si="6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70</v>
      </c>
      <c r="B172" s="60">
        <v>329</v>
      </c>
      <c r="C172" s="60">
        <v>6</v>
      </c>
      <c r="D172" s="60">
        <f>13+13</f>
        <v>26</v>
      </c>
      <c r="E172" s="51"/>
      <c r="F172" s="51"/>
      <c r="G172" s="51"/>
      <c r="H172" s="51"/>
      <c r="I172" s="49">
        <f t="shared" si="6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80</v>
      </c>
      <c r="B173" s="50">
        <f>319+12+11</f>
        <v>342</v>
      </c>
      <c r="C173" s="50">
        <v>7</v>
      </c>
      <c r="D173" s="50">
        <f>B173</f>
        <v>342</v>
      </c>
      <c r="E173" s="51"/>
      <c r="F173" s="51"/>
      <c r="G173" s="51"/>
      <c r="H173" s="51"/>
      <c r="I173" s="49">
        <f t="shared" si="6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hybride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Hêtre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Châtaignier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210.04871822652808</v>
      </c>
      <c r="AO3" s="59">
        <f>IF('Données projet'!E10&gt;30,$AM$33-$H$33,LOOKUP('Données projet'!$E$10,$A$3:$A$203,AM3:AM203)-LOOKUP('Données projet'!$E$10,$A$3:$A$203,$H$3:$H$203))</f>
        <v>250.17540614049324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316.58509520829671</v>
      </c>
      <c r="BJ3" s="59">
        <f>IF('Données projet'!E11&gt;30,$BH$33-$H$33,LOOKUP('Données projet'!$E$11,$A$3:$A$203,BH3:BH203)-LOOKUP('Données projet'!$E$11,$A$3:$A$203,$H$3:$H$203))</f>
        <v>240.71332110643596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260.20517190557814</v>
      </c>
      <c r="CE3" s="59">
        <f>IF('Données projet'!E12&gt;30,$CC$33-$H$33,LOOKUP('Données projet'!$E$12,$A$3:$A$203,CC3:CC203)-LOOKUP('Données projet'!$E$12,$A$3:$A$203,$H$3:$H$203))</f>
        <v>307.22009971147133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310.4018929413723</v>
      </c>
      <c r="CZ3" s="59">
        <f>IF('Données projet'!E13&gt;30,$CX$33-$H$33,LOOKUP('Données projet'!$E$13,$A$3:$A$203,CX3:CX203)-LOOKUP('Données projet'!$E$13,$A$3:$A$203,$H$3:$H$203))</f>
        <v>127.5231137583819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234.09142087023463</v>
      </c>
      <c r="DU3" s="59">
        <f>IF('Données projet'!E14&gt;30,$DS$33-$H$33,LOOKUP('Données projet'!$E$14,$A$3:$A$203,DS3:DS203)-LOOKUP('Données projet'!$E$14,$A$3:$A$203,$H$3:$H$203))</f>
        <v>278.990685815294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</v>
      </c>
      <c r="AI4" s="13">
        <f>IF('Données projet'!$A$62&gt;35,AI3+AH4-AQ3,IF(A4&lt;'Données projet'!$A$62,$AF$205^A4,IF(A4='Données projet'!$A$62,'Données projet'!$B$62,AI3+AH4-AQ3)))</f>
        <v>1.4309690811052556</v>
      </c>
      <c r="AJ4" s="13">
        <f>AI4*VLOOKUP('Données projet'!$B$10,Paramètres!$A$1:$I$89,3,0)*VLOOKUP('Données projet'!$B$10,Paramètres!$A$1:$I$89,5,0)</f>
        <v>0.78130911828346949</v>
      </c>
      <c r="AK4" s="13">
        <f>EXP(-1.0587+0.8836*LN(AJ4)+0.284)</f>
        <v>0.37055303350010543</v>
      </c>
      <c r="AL4" s="20">
        <f t="shared" ref="AL4:AL67" si="4">(AJ4+AK4)*0.475*44/12</f>
        <v>2.0061599143563931</v>
      </c>
      <c r="AM4" s="59">
        <f t="shared" ref="AM4:AM67" si="5">AL4+(AD4+AE4)*44/12</f>
        <v>295.33949324768969</v>
      </c>
      <c r="AN4" s="59">
        <f ca="1">AVERAGE(OFFSET($AM$3,0,0,'Données projet'!$E$10+1,1))-AVERAGE(OFFSET($H$3,0,0,'Données projet'!$E$10+1,1))</f>
        <v>210.04871822652808</v>
      </c>
      <c r="AO4" s="59">
        <f>$AO$3</f>
        <v>250.17540614049324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5.3</v>
      </c>
      <c r="BD4" s="12">
        <f>IF('Données projet'!$A$88&gt;35,BD3+BC4-BL3,IF(A4&lt;'Données projet'!$A$88,$BA$205^A4,IF(A4='Données projet'!$A$88,'Données projet'!$B$88,BD3+BC4-BL3)))</f>
        <v>1.2625985704272813</v>
      </c>
      <c r="BE4" s="13">
        <f>BD4*VLOOKUP('Données projet'!$B$11,Paramètres!$A$1:$I$89,3,0)*VLOOKUP('Données projet'!$B$11,Paramètres!$A$1:$I$89,5,0)</f>
        <v>0.75503394511551425</v>
      </c>
      <c r="BF4" s="13">
        <f>EXP(-1.0587+0.8836*LN(BE4)+0.284)</f>
        <v>0.35952015653689401</v>
      </c>
      <c r="BG4" s="20">
        <f t="shared" ref="BG4:BG67" si="7">(BE4+BF4)*0.475*44/12</f>
        <v>1.9411817270446112</v>
      </c>
      <c r="BH4" s="59">
        <f t="shared" ref="BH4:BH67" si="8">BG4+(AY4+AZ4)*44/12</f>
        <v>295.27451506037795</v>
      </c>
      <c r="BI4" s="59">
        <f ca="1">AVERAGE(OFFSET($BH$3,0,0,'Données projet'!$E$11+1,1))-AVERAGE(OFFSET($H$3,0,0,'Données projet'!$E$11+1,1))</f>
        <v>316.58509520829671</v>
      </c>
      <c r="BJ4" s="59">
        <f>$BJ$3</f>
        <v>240.71332110643596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1.0111929730611879</v>
      </c>
      <c r="CA4" s="13">
        <f>EXP(-1.0587+0.8836*LN(BZ4)+0.284)</f>
        <v>0.46539683474213156</v>
      </c>
      <c r="CB4" s="20">
        <f t="shared" ref="CB4:CB67" si="10">(BZ4+CA4)*0.475*44/12</f>
        <v>2.5717272485907814</v>
      </c>
      <c r="CC4" s="59">
        <f t="shared" ref="CC4:CC67" si="11">CB4+(BT4+BU4)*44/12</f>
        <v>295.90506058192409</v>
      </c>
      <c r="CD4" s="59">
        <f ca="1">AVERAGE(OFFSET($CC$3,0,0,'Données projet'!$E$12+1,1))-AVERAGE(OFFSET($H$3,0,0,'Données projet'!$E$12+1,1))</f>
        <v>260.20517190557814</v>
      </c>
      <c r="CE4" s="59">
        <f>$CE$3</f>
        <v>307.22009971147133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</v>
      </c>
      <c r="CT4" s="12">
        <f>IF('Données projet'!$A$140&gt;35,CT3+CS4-DB3,IF(A4&lt;'Données projet'!$A$140,$CQ$205^A4,IF(A4='Données projet'!$A$140,'Données projet'!$B$140,CT3+CS4-DB3)))</f>
        <v>1.2025496037968351</v>
      </c>
      <c r="CU4" s="17">
        <f>CT4*VLOOKUP('Données projet'!$B$13,Paramètres!$A$1:$I$89,3,0)*VLOOKUP('Données projet'!$B$13,Paramètres!$A$1:$I$89,5,0)</f>
        <v>1.0317875600576847</v>
      </c>
      <c r="CV4" s="13">
        <f>EXP(-1.0587+0.8836*LN(CU4)+0.284)</f>
        <v>0.47376223933168582</v>
      </c>
      <c r="CW4" s="20">
        <f t="shared" ref="CW4:CW67" si="13">(CU4+CV4)*0.475*44/12</f>
        <v>2.6221659006031532</v>
      </c>
      <c r="CX4" s="59">
        <f t="shared" ref="CX4:CX67" si="14">CW4+(CO4+CP4)*44/12</f>
        <v>295.95549923393645</v>
      </c>
      <c r="CY4" s="59">
        <f ca="1">AVERAGE(OFFSET($CX$3,0,0,'Données projet'!$E$13+1,1))-AVERAGE(OFFSET($H$3,0,0,'Données projet'!$E$13+1,1))</f>
        <v>310.4018929413723</v>
      </c>
      <c r="CZ4" s="59">
        <f>$CZ$3</f>
        <v>127.5231137583819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0.93188372027207511</v>
      </c>
      <c r="DQ4" s="13">
        <f>EXP(-1.0587+0.8836*LN(DP4)+0.284)</f>
        <v>0.43299221190803017</v>
      </c>
      <c r="DR4" s="20">
        <f t="shared" ref="DR4:DR67" si="16">(DP4+DQ4)*0.475*44/12</f>
        <v>2.3771589152136832</v>
      </c>
      <c r="DS4" s="59">
        <f t="shared" ref="DS4:DS67" si="17">DR4+(DJ4+DK4)*44/12</f>
        <v>295.71049224854698</v>
      </c>
      <c r="DT4" s="59">
        <f ca="1">AVERAGE(OFFSET($DS$3,0,0,'Données projet'!$E$14+1,1))-AVERAGE(OFFSET($H$3,0,0,'Données projet'!$E$14+1,1))</f>
        <v>234.09142087023463</v>
      </c>
      <c r="DU4" s="59">
        <f>$DU$3</f>
        <v>278.990685815294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</v>
      </c>
      <c r="AI5" s="13">
        <f>IF('Données projet'!$A$62&gt;35,AI4+AH5-AQ4,IF(A5&lt;'Données projet'!$A$62,$AF$205^A5,IF(A5='Données projet'!$A$62,'Données projet'!$B$62,AI4+AH5-AQ4)))</f>
        <v>2.0476725110792193</v>
      </c>
      <c r="AJ5" s="13">
        <f>AI5*VLOOKUP('Données projet'!$B$10,Paramètres!$A$1:$I$89,3,0)*VLOOKUP('Données projet'!$B$10,Paramètres!$A$1:$I$89,5,0)</f>
        <v>1.1180291910492537</v>
      </c>
      <c r="AK5" s="13">
        <f t="shared" ref="AK5:AK68" si="35">EXP(-1.0587+0.8836*LN(AJ5)+0.284)</f>
        <v>0.50858700810998547</v>
      </c>
      <c r="AL5" s="20">
        <f t="shared" si="4"/>
        <v>2.8330232135356752</v>
      </c>
      <c r="AM5" s="59">
        <f t="shared" si="5"/>
        <v>296.166356546869</v>
      </c>
      <c r="AN5" s="59">
        <f ca="1">AVERAGE(OFFSET($AM$3,0,0,'Données projet'!$E$10+1,1))-AVERAGE(OFFSET($H$3,0,0,'Données projet'!$E$10+1,1))</f>
        <v>210.04871822652808</v>
      </c>
      <c r="AO5" s="59">
        <f t="shared" ref="AO5:AO68" si="36">$AO$3</f>
        <v>250.17540614049324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5.3</v>
      </c>
      <c r="BD5" s="12">
        <f>IF('Données projet'!$A$88&gt;35,BD4+BC5-BL4,IF(A5&lt;'Données projet'!$A$88,$BA$205^A5,IF(A5='Données projet'!$A$88,'Données projet'!$B$88,BD4+BC5-BL4)))</f>
        <v>1.5941551500450144</v>
      </c>
      <c r="BE5" s="13">
        <f>BD5*VLOOKUP('Données projet'!$B$11,Paramètres!$A$1:$I$89,3,0)*VLOOKUP('Données projet'!$B$11,Paramètres!$A$1:$I$89,5,0)</f>
        <v>0.95330477972691874</v>
      </c>
      <c r="BF5" s="13">
        <f t="shared" ref="BF5:BF68" si="37">EXP(-1.0587+0.8836*LN(BE5)+0.284)</f>
        <v>0.44177512384100159</v>
      </c>
      <c r="BG5" s="20">
        <f t="shared" si="7"/>
        <v>2.4297641653807944</v>
      </c>
      <c r="BH5" s="59">
        <f t="shared" si="8"/>
        <v>295.7630974987141</v>
      </c>
      <c r="BI5" s="59">
        <f ca="1">AVERAGE(OFFSET($BH$3,0,0,'Données projet'!$E$11+1,1))-AVERAGE(OFFSET($H$3,0,0,'Données projet'!$E$11+1,1))</f>
        <v>316.58509520829671</v>
      </c>
      <c r="BJ5" s="59">
        <f t="shared" ref="BJ5:BJ68" si="38">$BJ$3</f>
        <v>240.71332110643596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1.2852076781904531</v>
      </c>
      <c r="CA5" s="13">
        <f t="shared" ref="CA5:CA68" si="39">EXP(-1.0587+0.8836*LN(BZ5)+0.284)</f>
        <v>0.57522914588482876</v>
      </c>
      <c r="CB5" s="20">
        <f t="shared" si="10"/>
        <v>3.2402608019311159</v>
      </c>
      <c r="CC5" s="59">
        <f t="shared" si="11"/>
        <v>296.57359413526444</v>
      </c>
      <c r="CD5" s="59">
        <f ca="1">AVERAGE(OFFSET($CC$3,0,0,'Données projet'!$E$12+1,1))-AVERAGE(OFFSET($H$3,0,0,'Données projet'!$E$12+1,1))</f>
        <v>260.20517190557814</v>
      </c>
      <c r="CE5" s="59">
        <f t="shared" ref="CE5:CE68" si="40">$CE$3</f>
        <v>307.22009971147133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</v>
      </c>
      <c r="CT5" s="12">
        <f>IF('Données projet'!$A$140&gt;35,CT4+CS5-DB4,IF(A5&lt;'Données projet'!$A$140,$CQ$205^A5,IF(A5='Données projet'!$A$140,'Données projet'!$B$140,CT4+CS5-DB4)))</f>
        <v>1.446125549591925</v>
      </c>
      <c r="CU5" s="17">
        <f>CT5*VLOOKUP('Données projet'!$B$13,Paramètres!$A$1:$I$89,3,0)*VLOOKUP('Données projet'!$B$13,Paramètres!$A$1:$I$89,5,0)</f>
        <v>1.2407757215498718</v>
      </c>
      <c r="CV5" s="13">
        <f t="shared" ref="CV5:CV68" si="41">EXP(-1.0587+0.8836*LN(CU5)+0.284)</f>
        <v>0.55762142669366221</v>
      </c>
      <c r="CW5" s="20">
        <f t="shared" si="13"/>
        <v>3.1322083665241549</v>
      </c>
      <c r="CX5" s="59">
        <f t="shared" si="14"/>
        <v>296.46554169985745</v>
      </c>
      <c r="CY5" s="59">
        <f ca="1">AVERAGE(OFFSET($CX$3,0,0,'Données projet'!$E$13+1,1))-AVERAGE(OFFSET($H$3,0,0,'Données projet'!$E$13+1,1))</f>
        <v>310.4018929413723</v>
      </c>
      <c r="CZ5" s="59">
        <f t="shared" ref="CZ5:CZ68" si="42">$CZ$3</f>
        <v>127.5231137583819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1.1844070759794372</v>
      </c>
      <c r="DQ5" s="13">
        <f t="shared" ref="DQ5:DQ68" si="43">EXP(-1.0587+0.8836*LN(DP5)+0.284)</f>
        <v>0.53517712549257934</v>
      </c>
      <c r="DR5" s="20">
        <f t="shared" si="16"/>
        <v>2.9949424842304286</v>
      </c>
      <c r="DS5" s="59">
        <f t="shared" si="17"/>
        <v>296.32827581756374</v>
      </c>
      <c r="DT5" s="59">
        <f ca="1">AVERAGE(OFFSET($DS$3,0,0,'Données projet'!$E$14+1,1))-AVERAGE(OFFSET($H$3,0,0,'Données projet'!$E$14+1,1))</f>
        <v>234.09142087023463</v>
      </c>
      <c r="DU5" s="59">
        <f t="shared" ref="DU5:DU68" si="44">$DU$3</f>
        <v>278.990685815294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</v>
      </c>
      <c r="AI6" s="13">
        <f>IF('Données projet'!$A$62&gt;35,AI5+AH6-AQ5,IF(A6&lt;'Données projet'!$A$62,$AF$205^A6,IF(A6='Données projet'!$A$62,'Données projet'!$B$62,AI5+AH6-AQ5)))</f>
        <v>2.9301560515835217</v>
      </c>
      <c r="AJ6" s="13">
        <f>AI6*VLOOKUP('Données projet'!$B$10,Paramètres!$A$1:$I$89,3,0)*VLOOKUP('Données projet'!$B$10,Paramètres!$A$1:$I$89,5,0)</f>
        <v>1.5998652041646029</v>
      </c>
      <c r="AK6" s="13">
        <f t="shared" si="35"/>
        <v>0.6980397444734262</v>
      </c>
      <c r="AL6" s="20">
        <f t="shared" si="4"/>
        <v>4.0021844522112344</v>
      </c>
      <c r="AM6" s="59">
        <f t="shared" si="5"/>
        <v>297.33551778554454</v>
      </c>
      <c r="AN6" s="59">
        <f ca="1">AVERAGE(OFFSET($AM$3,0,0,'Données projet'!$E$10+1,1))-AVERAGE(OFFSET($H$3,0,0,'Données projet'!$E$10+1,1))</f>
        <v>210.04871822652808</v>
      </c>
      <c r="AO6" s="59">
        <f t="shared" si="36"/>
        <v>250.17540614049324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5.3</v>
      </c>
      <c r="BD6" s="12">
        <f>IF('Données projet'!$A$88&gt;35,BD5+BC6-BL5,IF(A6&lt;'Données projet'!$A$88,$BA$205^A6,IF(A6='Données projet'!$A$88,'Données projet'!$B$88,BD5+BC6-BL5)))</f>
        <v>2.0127780134861233</v>
      </c>
      <c r="BE6" s="13">
        <f>BD6*VLOOKUP('Données projet'!$B$11,Paramètres!$A$1:$I$89,3,0)*VLOOKUP('Données projet'!$B$11,Paramètres!$A$1:$I$89,5,0)</f>
        <v>1.2036412520647017</v>
      </c>
      <c r="BF6" s="13">
        <f t="shared" si="37"/>
        <v>0.54284928534933019</v>
      </c>
      <c r="BG6" s="20">
        <f t="shared" si="7"/>
        <v>3.0418043526627723</v>
      </c>
      <c r="BH6" s="59">
        <f t="shared" si="8"/>
        <v>296.37513768599609</v>
      </c>
      <c r="BI6" s="59">
        <f ca="1">AVERAGE(OFFSET($BH$3,0,0,'Données projet'!$E$11+1,1))-AVERAGE(OFFSET($H$3,0,0,'Données projet'!$E$11+1,1))</f>
        <v>316.58509520829671</v>
      </c>
      <c r="BJ6" s="59">
        <f t="shared" si="38"/>
        <v>240.71332110643596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1.6334753307069771</v>
      </c>
      <c r="CA6" s="13">
        <f t="shared" si="39"/>
        <v>0.71098156578295024</v>
      </c>
      <c r="CB6" s="20">
        <f t="shared" si="10"/>
        <v>4.0832624280532892</v>
      </c>
      <c r="CC6" s="59">
        <f t="shared" si="11"/>
        <v>297.41659576138659</v>
      </c>
      <c r="CD6" s="59">
        <f ca="1">AVERAGE(OFFSET($CC$3,0,0,'Données projet'!$E$12+1,1))-AVERAGE(OFFSET($H$3,0,0,'Données projet'!$E$12+1,1))</f>
        <v>260.20517190557814</v>
      </c>
      <c r="CE6" s="59">
        <f t="shared" si="40"/>
        <v>307.22009971147133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</v>
      </c>
      <c r="CT6" s="12">
        <f>IF('Données projet'!$A$140&gt;35,CT5+CS6-DB5,IF(A6&lt;'Données projet'!$A$140,$CQ$205^A6,IF(A6='Données projet'!$A$140,'Données projet'!$B$140,CT5+CS6-DB5)))</f>
        <v>1.7390377067022498</v>
      </c>
      <c r="CU6" s="17">
        <f>CT6*VLOOKUP('Données projet'!$B$13,Paramètres!$A$1:$I$89,3,0)*VLOOKUP('Données projet'!$B$13,Paramètres!$A$1:$I$89,5,0)</f>
        <v>1.4920943523505306</v>
      </c>
      <c r="CV6" s="13">
        <f t="shared" si="41"/>
        <v>0.65632426920833997</v>
      </c>
      <c r="CW6" s="20">
        <f t="shared" si="13"/>
        <v>3.7418290992150331</v>
      </c>
      <c r="CX6" s="59">
        <f t="shared" si="14"/>
        <v>297.07516243254832</v>
      </c>
      <c r="CY6" s="59">
        <f ca="1">AVERAGE(OFFSET($CX$3,0,0,'Données projet'!$E$13+1,1))-AVERAGE(OFFSET($H$3,0,0,'Données projet'!$E$13+1,1))</f>
        <v>310.4018929413723</v>
      </c>
      <c r="CZ6" s="59">
        <f t="shared" si="42"/>
        <v>127.5231137583819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1.5053596184946649</v>
      </c>
      <c r="DQ6" s="13">
        <f t="shared" si="43"/>
        <v>0.66147738405820555</v>
      </c>
      <c r="DR6" s="20">
        <f t="shared" si="16"/>
        <v>3.7739077794462492</v>
      </c>
      <c r="DS6" s="59">
        <f t="shared" si="17"/>
        <v>297.10724111277955</v>
      </c>
      <c r="DT6" s="59">
        <f ca="1">AVERAGE(OFFSET($DS$3,0,0,'Données projet'!$E$14+1,1))-AVERAGE(OFFSET($H$3,0,0,'Données projet'!$E$14+1,1))</f>
        <v>234.09142087023463</v>
      </c>
      <c r="DU6" s="59">
        <f t="shared" si="44"/>
        <v>278.990685815294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</v>
      </c>
      <c r="AI7" s="13">
        <f>IF('Données projet'!$A$62&gt;35,AI6+AH7-AQ6,IF(A7&lt;'Données projet'!$A$62,$AF$205^A7,IF(A7='Données projet'!$A$62,'Données projet'!$B$62,AI6+AH7-AQ6)))</f>
        <v>4.192962712629476</v>
      </c>
      <c r="AJ7" s="13">
        <f>AI7*VLOOKUP('Données projet'!$B$10,Paramètres!$A$1:$I$89,3,0)*VLOOKUP('Données projet'!$B$10,Paramètres!$A$1:$I$89,5,0)</f>
        <v>2.2893576410956937</v>
      </c>
      <c r="AK7" s="13">
        <f t="shared" si="35"/>
        <v>0.95806514341623272</v>
      </c>
      <c r="AL7" s="20">
        <f t="shared" si="4"/>
        <v>5.6559280163582706</v>
      </c>
      <c r="AM7" s="59">
        <f t="shared" si="5"/>
        <v>298.98926134969156</v>
      </c>
      <c r="AN7" s="59">
        <f ca="1">AVERAGE(OFFSET($AM$3,0,0,'Données projet'!$E$10+1,1))-AVERAGE(OFFSET($H$3,0,0,'Données projet'!$E$10+1,1))</f>
        <v>210.04871822652808</v>
      </c>
      <c r="AO7" s="59">
        <f t="shared" si="36"/>
        <v>250.17540614049324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5.3</v>
      </c>
      <c r="BD7" s="12">
        <f>IF('Données projet'!$A$88&gt;35,BD6+BC7-BL6,IF(A7&lt;'Données projet'!$A$88,$BA$205^A7,IF(A7='Données projet'!$A$88,'Données projet'!$B$88,BD6+BC7-BL6)))</f>
        <v>2.5413306424150424</v>
      </c>
      <c r="BE7" s="13">
        <f>BD7*VLOOKUP('Données projet'!$B$11,Paramètres!$A$1:$I$89,3,0)*VLOOKUP('Données projet'!$B$11,Paramètres!$A$1:$I$89,5,0)</f>
        <v>1.5197157241641954</v>
      </c>
      <c r="BF7" s="13">
        <f t="shared" si="37"/>
        <v>0.66704830286084227</v>
      </c>
      <c r="BG7" s="20">
        <f t="shared" si="7"/>
        <v>3.8086140137352733</v>
      </c>
      <c r="BH7" s="59">
        <f t="shared" si="8"/>
        <v>297.14194734706859</v>
      </c>
      <c r="BI7" s="59">
        <f ca="1">AVERAGE(OFFSET($BH$3,0,0,'Données projet'!$E$11+1,1))-AVERAGE(OFFSET($H$3,0,0,'Données projet'!$E$11+1,1))</f>
        <v>316.58509520829671</v>
      </c>
      <c r="BJ7" s="59">
        <f t="shared" si="38"/>
        <v>240.71332110643596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2.0761171142278725</v>
      </c>
      <c r="CA7" s="13">
        <f t="shared" si="39"/>
        <v>0.87877116536856548</v>
      </c>
      <c r="CB7" s="20">
        <f t="shared" si="10"/>
        <v>5.14643042029713</v>
      </c>
      <c r="CC7" s="59">
        <f t="shared" si="11"/>
        <v>298.47976375363044</v>
      </c>
      <c r="CD7" s="59">
        <f ca="1">AVERAGE(OFFSET($CC$3,0,0,'Données projet'!$E$12+1,1))-AVERAGE(OFFSET($H$3,0,0,'Données projet'!$E$12+1,1))</f>
        <v>260.20517190557814</v>
      </c>
      <c r="CE7" s="59">
        <f t="shared" si="40"/>
        <v>307.22009971147133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</v>
      </c>
      <c r="CT7" s="12">
        <f>IF('Données projet'!$A$140&gt;35,CT6+CS7-DB6,IF(A7&lt;'Données projet'!$A$140,$CQ$205^A7,IF(A7='Données projet'!$A$140,'Données projet'!$B$140,CT6+CS7-DB6)))</f>
        <v>2.0912791051825472</v>
      </c>
      <c r="CU7" s="17">
        <f>CT7*VLOOKUP('Données projet'!$B$13,Paramètres!$A$1:$I$89,3,0)*VLOOKUP('Données projet'!$B$13,Paramètres!$A$1:$I$89,5,0)</f>
        <v>1.794317472246626</v>
      </c>
      <c r="CV7" s="13">
        <f t="shared" si="41"/>
        <v>0.7724981963229095</v>
      </c>
      <c r="CW7" s="20">
        <f t="shared" si="13"/>
        <v>4.4705372894252742</v>
      </c>
      <c r="CX7" s="59">
        <f t="shared" si="14"/>
        <v>297.80387062275861</v>
      </c>
      <c r="CY7" s="59">
        <f ca="1">AVERAGE(OFFSET($CX$3,0,0,'Données projet'!$E$13+1,1))-AVERAGE(OFFSET($H$3,0,0,'Données projet'!$E$13+1,1))</f>
        <v>310.4018929413723</v>
      </c>
      <c r="CZ7" s="59">
        <f t="shared" si="42"/>
        <v>127.5231137583819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1.9132843993864705</v>
      </c>
      <c r="DQ7" s="13">
        <f t="shared" si="43"/>
        <v>0.81758413948982178</v>
      </c>
      <c r="DR7" s="20">
        <f t="shared" si="16"/>
        <v>4.7562627052095419</v>
      </c>
      <c r="DS7" s="59">
        <f t="shared" si="17"/>
        <v>298.08959603854288</v>
      </c>
      <c r="DT7" s="59">
        <f ca="1">AVERAGE(OFFSET($DS$3,0,0,'Données projet'!$E$14+1,1))-AVERAGE(OFFSET($H$3,0,0,'Données projet'!$E$14+1,1))</f>
        <v>234.09142087023463</v>
      </c>
      <c r="DU7" s="59">
        <f t="shared" si="44"/>
        <v>278.990685815294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</v>
      </c>
      <c r="AI8" s="13">
        <f>IF('Données projet'!$A$62&gt;35,AI7+AH8-AQ7,IF(A8&lt;'Données projet'!$A$62,$AF$205^A8,IF(A8='Données projet'!$A$62,'Données projet'!$B$62,AI7+AH8-AQ7)))</f>
        <v>6.0000000000000009</v>
      </c>
      <c r="AJ8" s="13">
        <f>AI8*VLOOKUP('Données projet'!$B$10,Paramètres!$A$1:$I$89,3,0)*VLOOKUP('Données projet'!$B$10,Paramètres!$A$1:$I$89,5,0)</f>
        <v>3.2760000000000007</v>
      </c>
      <c r="AK8" s="13">
        <f t="shared" si="35"/>
        <v>1.3149520873221716</v>
      </c>
      <c r="AL8" s="20">
        <f t="shared" si="4"/>
        <v>7.9959082187527839</v>
      </c>
      <c r="AM8" s="59">
        <f t="shared" si="5"/>
        <v>301.3292415520861</v>
      </c>
      <c r="AN8" s="59">
        <f ca="1">AVERAGE(OFFSET($AM$3,0,0,'Données projet'!$E$10+1,1))-AVERAGE(OFFSET($H$3,0,0,'Données projet'!$E$10+1,1))</f>
        <v>210.04871822652808</v>
      </c>
      <c r="AO8" s="59">
        <f t="shared" si="36"/>
        <v>250.17540614049324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5.3</v>
      </c>
      <c r="BD8" s="12">
        <f>IF('Données projet'!$A$88&gt;35,BD7+BC8-BL7,IF(A8&lt;'Données projet'!$A$88,$BA$205^A8,IF(A8='Données projet'!$A$88,'Données projet'!$B$88,BD7+BC8-BL7)))</f>
        <v>3.2086804360962771</v>
      </c>
      <c r="BE8" s="13">
        <f>BD8*VLOOKUP('Données projet'!$B$11,Paramètres!$A$1:$I$89,3,0)*VLOOKUP('Données projet'!$B$11,Paramètres!$A$1:$I$89,5,0)</f>
        <v>1.9187909007855739</v>
      </c>
      <c r="BF8" s="13">
        <f t="shared" si="37"/>
        <v>0.81966293473739582</v>
      </c>
      <c r="BG8" s="20">
        <f t="shared" si="7"/>
        <v>4.7694737635358386</v>
      </c>
      <c r="BH8" s="59">
        <f t="shared" si="8"/>
        <v>298.10280709686913</v>
      </c>
      <c r="BI8" s="59">
        <f ca="1">AVERAGE(OFFSET($BH$3,0,0,'Données projet'!$E$11+1,1))-AVERAGE(OFFSET($H$3,0,0,'Données projet'!$E$11+1,1))</f>
        <v>316.58509520829671</v>
      </c>
      <c r="BJ8" s="59">
        <f t="shared" si="38"/>
        <v>240.71332110643596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2.6387066832067574</v>
      </c>
      <c r="CA8" s="13">
        <f t="shared" si="39"/>
        <v>1.0861586266766543</v>
      </c>
      <c r="CB8" s="20">
        <f t="shared" si="10"/>
        <v>6.4874737480469413</v>
      </c>
      <c r="CC8" s="59">
        <f t="shared" si="11"/>
        <v>299.82080708138028</v>
      </c>
      <c r="CD8" s="59">
        <f ca="1">AVERAGE(OFFSET($CC$3,0,0,'Données projet'!$E$12+1,1))-AVERAGE(OFFSET($H$3,0,0,'Données projet'!$E$12+1,1))</f>
        <v>260.20517190557814</v>
      </c>
      <c r="CE8" s="59">
        <f t="shared" si="40"/>
        <v>307.22009971147133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</v>
      </c>
      <c r="CT8" s="12">
        <f>IF('Données projet'!$A$140&gt;35,CT7+CS8-DB7,IF(A8&lt;'Données projet'!$A$140,$CQ$205^A8,IF(A8='Données projet'!$A$140,'Données projet'!$B$140,CT7+CS8-DB7)))</f>
        <v>2.5148668593658718</v>
      </c>
      <c r="CU8" s="17">
        <f>CT8*VLOOKUP('Données projet'!$B$13,Paramètres!$A$1:$I$89,3,0)*VLOOKUP('Données projet'!$B$13,Paramètres!$A$1:$I$89,5,0)</f>
        <v>2.1577557653359185</v>
      </c>
      <c r="CV8" s="13">
        <f t="shared" si="41"/>
        <v>0.90923571063729491</v>
      </c>
      <c r="CW8" s="20">
        <f t="shared" si="13"/>
        <v>5.3416768206533467</v>
      </c>
      <c r="CX8" s="59">
        <f t="shared" si="14"/>
        <v>298.67501015398665</v>
      </c>
      <c r="CY8" s="59">
        <f ca="1">AVERAGE(OFFSET($CX$3,0,0,'Données projet'!$E$13+1,1))-AVERAGE(OFFSET($H$3,0,0,'Données projet'!$E$13+1,1))</f>
        <v>310.4018929413723</v>
      </c>
      <c r="CZ8" s="59">
        <f t="shared" si="42"/>
        <v>127.5231137583819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2.4317492962885807</v>
      </c>
      <c r="DQ8" s="13">
        <f t="shared" si="43"/>
        <v>1.010531639108154</v>
      </c>
      <c r="DR8" s="20">
        <f t="shared" si="16"/>
        <v>5.9953059624826457</v>
      </c>
      <c r="DS8" s="59">
        <f t="shared" si="17"/>
        <v>299.32863929581595</v>
      </c>
      <c r="DT8" s="59">
        <f ca="1">AVERAGE(OFFSET($DS$3,0,0,'Données projet'!$E$14+1,1))-AVERAGE(OFFSET($H$3,0,0,'Données projet'!$E$14+1,1))</f>
        <v>234.09142087023463</v>
      </c>
      <c r="DU8" s="59">
        <f t="shared" si="44"/>
        <v>278.990685815294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</v>
      </c>
      <c r="AI9" s="13">
        <f>IF('Données projet'!$A$62&gt;35,AI8+AH9-AQ8,IF(A9&lt;'Données projet'!$A$62,$AF$205^A9,IF(A9='Données projet'!$A$62,'Données projet'!$B$62,AI8+AH9-AQ8)))</f>
        <v>8.5858144866315342</v>
      </c>
      <c r="AJ9" s="13">
        <f>AI9*VLOOKUP('Données projet'!$B$10,Paramètres!$A$1:$I$89,3,0)*VLOOKUP('Données projet'!$B$10,Paramètres!$A$1:$I$89,5,0)</f>
        <v>4.6878547097008179</v>
      </c>
      <c r="AK9" s="13">
        <f t="shared" si="35"/>
        <v>1.8047822779434171</v>
      </c>
      <c r="AL9" s="20">
        <f t="shared" si="4"/>
        <v>11.308009420147043</v>
      </c>
      <c r="AM9" s="59">
        <f t="shared" si="5"/>
        <v>304.64134275348033</v>
      </c>
      <c r="AN9" s="59">
        <f ca="1">AVERAGE(OFFSET($AM$3,0,0,'Données projet'!$E$10+1,1))-AVERAGE(OFFSET($H$3,0,0,'Données projet'!$E$10+1,1))</f>
        <v>210.04871822652808</v>
      </c>
      <c r="AO9" s="59">
        <f t="shared" si="36"/>
        <v>250.17540614049324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5.3</v>
      </c>
      <c r="BD9" s="12">
        <f>IF('Données projet'!$A$88&gt;35,BD8+BC9-BL8,IF(A9&lt;'Données projet'!$A$88,$BA$205^A9,IF(A9='Données projet'!$A$88,'Données projet'!$B$88,BD8+BC9-BL8)))</f>
        <v>4.0512753315731445</v>
      </c>
      <c r="BE9" s="13">
        <f>BD9*VLOOKUP('Données projet'!$B$11,Paramètres!$A$1:$I$89,3,0)*VLOOKUP('Données projet'!$B$11,Paramètres!$A$1:$I$89,5,0)</f>
        <v>2.4226626482807405</v>
      </c>
      <c r="BF9" s="13">
        <f t="shared" si="37"/>
        <v>1.0071944171072709</v>
      </c>
      <c r="BG9" s="20">
        <f t="shared" si="7"/>
        <v>5.9736677222174537</v>
      </c>
      <c r="BH9" s="59">
        <f t="shared" si="8"/>
        <v>299.30700105555076</v>
      </c>
      <c r="BI9" s="59">
        <f ca="1">AVERAGE(OFFSET($BH$3,0,0,'Données projet'!$E$11+1,1))-AVERAGE(OFFSET($H$3,0,0,'Données projet'!$E$11+1,1))</f>
        <v>316.58509520829671</v>
      </c>
      <c r="BJ9" s="59">
        <f t="shared" si="38"/>
        <v>240.71332110643596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3.353747682287918</v>
      </c>
      <c r="CA9" s="13">
        <f t="shared" si="39"/>
        <v>1.3424889309030987</v>
      </c>
      <c r="CB9" s="20">
        <f t="shared" si="10"/>
        <v>8.1792787679743544</v>
      </c>
      <c r="CC9" s="59">
        <f t="shared" si="11"/>
        <v>301.5126121013077</v>
      </c>
      <c r="CD9" s="59">
        <f ca="1">AVERAGE(OFFSET($CC$3,0,0,'Données projet'!$E$12+1,1))-AVERAGE(OFFSET($H$3,0,0,'Données projet'!$E$12+1,1))</f>
        <v>260.20517190557814</v>
      </c>
      <c r="CE9" s="59">
        <f t="shared" si="40"/>
        <v>307.22009971147133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</v>
      </c>
      <c r="CT9" s="12">
        <f>IF('Données projet'!$A$140&gt;35,CT8+CS9-DB8,IF(A9&lt;'Données projet'!$A$140,$CQ$205^A9,IF(A9='Données projet'!$A$140,'Données projet'!$B$140,CT8+CS9-DB8)))</f>
        <v>3.0242521453322202</v>
      </c>
      <c r="CU9" s="17">
        <f>CT9*VLOOKUP('Données projet'!$B$13,Paramètres!$A$1:$I$89,3,0)*VLOOKUP('Données projet'!$B$13,Paramètres!$A$1:$I$89,5,0)</f>
        <v>2.5948083406950451</v>
      </c>
      <c r="CV9" s="13">
        <f t="shared" si="41"/>
        <v>1.0701767090631968</v>
      </c>
      <c r="CW9" s="20">
        <f t="shared" si="13"/>
        <v>6.3831822949956036</v>
      </c>
      <c r="CX9" s="59">
        <f t="shared" si="14"/>
        <v>299.71651562832892</v>
      </c>
      <c r="CY9" s="59">
        <f ca="1">AVERAGE(OFFSET($CX$3,0,0,'Données projet'!$E$13+1,1))-AVERAGE(OFFSET($H$3,0,0,'Données projet'!$E$13+1,1))</f>
        <v>310.4018929413723</v>
      </c>
      <c r="CZ9" s="59">
        <f t="shared" si="42"/>
        <v>127.5231137583819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3.0907086483829831</v>
      </c>
      <c r="DQ9" s="13">
        <f t="shared" si="43"/>
        <v>1.2490141923201104</v>
      </c>
      <c r="DR9" s="20">
        <f t="shared" si="16"/>
        <v>7.5583506142245538</v>
      </c>
      <c r="DS9" s="59">
        <f t="shared" si="17"/>
        <v>300.89168394755785</v>
      </c>
      <c r="DT9" s="59">
        <f ca="1">AVERAGE(OFFSET($DS$3,0,0,'Données projet'!$E$14+1,1))-AVERAGE(OFFSET($H$3,0,0,'Données projet'!$E$14+1,1))</f>
        <v>234.09142087023463</v>
      </c>
      <c r="DU9" s="59">
        <f t="shared" si="44"/>
        <v>278.990685815294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</v>
      </c>
      <c r="AI10" s="13">
        <f>IF('Données projet'!$A$62&gt;35,AI9+AH10-AQ9,IF(A10&lt;'Données projet'!$A$62,$AF$205^A10,IF(A10='Données projet'!$A$62,'Données projet'!$B$62,AI9+AH10-AQ9)))</f>
        <v>12.286035066475318</v>
      </c>
      <c r="AJ10" s="13">
        <f>AI10*VLOOKUP('Données projet'!$B$10,Paramètres!$A$1:$I$89,3,0)*VLOOKUP('Données projet'!$B$10,Paramètres!$A$1:$I$89,5,0)</f>
        <v>6.708175146295523</v>
      </c>
      <c r="AK10" s="13">
        <f t="shared" si="35"/>
        <v>2.4770781400954469</v>
      </c>
      <c r="AL10" s="20">
        <f t="shared" si="4"/>
        <v>15.997649473797606</v>
      </c>
      <c r="AM10" s="59">
        <f t="shared" si="5"/>
        <v>309.33098280713091</v>
      </c>
      <c r="AN10" s="59">
        <f ca="1">AVERAGE(OFFSET($AM$3,0,0,'Données projet'!$E$10+1,1))-AVERAGE(OFFSET($H$3,0,0,'Données projet'!$E$10+1,1))</f>
        <v>210.04871822652808</v>
      </c>
      <c r="AO10" s="59">
        <f t="shared" si="36"/>
        <v>250.17540614049324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5.3</v>
      </c>
      <c r="BD10" s="12">
        <f>IF('Données projet'!$A$88&gt;35,BD9+BC10-BL9,IF(A10&lt;'Données projet'!$A$88,$BA$205^A10,IF(A10='Données projet'!$A$88,'Données projet'!$B$88,BD9+BC10-BL9)))</f>
        <v>5.1151344420515628</v>
      </c>
      <c r="BE10" s="13">
        <f>BD10*VLOOKUP('Données projet'!$B$11,Paramètres!$A$1:$I$89,3,0)*VLOOKUP('Données projet'!$B$11,Paramètres!$A$1:$I$89,5,0)</f>
        <v>3.0588503963468345</v>
      </c>
      <c r="BF10" s="13">
        <f t="shared" si="37"/>
        <v>1.2376314102540975</v>
      </c>
      <c r="BG10" s="20">
        <f t="shared" si="7"/>
        <v>7.4830391464966226</v>
      </c>
      <c r="BH10" s="59">
        <f t="shared" si="8"/>
        <v>300.81637247982997</v>
      </c>
      <c r="BI10" s="59">
        <f ca="1">AVERAGE(OFFSET($BH$3,0,0,'Données projet'!$E$11+1,1))-AVERAGE(OFFSET($H$3,0,0,'Données projet'!$E$11+1,1))</f>
        <v>316.58509520829671</v>
      </c>
      <c r="BJ10" s="59">
        <f t="shared" si="38"/>
        <v>240.71332110643596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4.2625516462415645</v>
      </c>
      <c r="CA10" s="13">
        <f t="shared" si="39"/>
        <v>1.6593124478620722</v>
      </c>
      <c r="CB10" s="20">
        <f t="shared" si="10"/>
        <v>10.313913297230501</v>
      </c>
      <c r="CC10" s="59">
        <f t="shared" si="11"/>
        <v>303.64724663056381</v>
      </c>
      <c r="CD10" s="59">
        <f ca="1">AVERAGE(OFFSET($CC$3,0,0,'Données projet'!$E$12+1,1))-AVERAGE(OFFSET($H$3,0,0,'Données projet'!$E$12+1,1))</f>
        <v>260.20517190557814</v>
      </c>
      <c r="CE10" s="59">
        <f t="shared" si="40"/>
        <v>307.22009971147133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</v>
      </c>
      <c r="CT10" s="12">
        <f>IF('Données projet'!$A$140&gt;35,CT9+CS10-DB9,IF(A10&lt;'Données projet'!$A$140,$CQ$205^A10,IF(A10='Données projet'!$A$140,'Données projet'!$B$140,CT9+CS10-DB9)))</f>
        <v>3.6368132191509899</v>
      </c>
      <c r="CU10" s="17">
        <f>CT10*VLOOKUP('Données projet'!$B$13,Paramètres!$A$1:$I$89,3,0)*VLOOKUP('Données projet'!$B$13,Paramètres!$A$1:$I$89,5,0)</f>
        <v>3.1203857420315497</v>
      </c>
      <c r="CV10" s="13">
        <f t="shared" si="41"/>
        <v>1.2596053753966556</v>
      </c>
      <c r="CW10" s="20">
        <f t="shared" si="13"/>
        <v>7.6284845295207901</v>
      </c>
      <c r="CX10" s="59">
        <f t="shared" si="14"/>
        <v>300.9618178628541</v>
      </c>
      <c r="CY10" s="59">
        <f ca="1">AVERAGE(OFFSET($CX$3,0,0,'Données projet'!$E$13+1,1))-AVERAGE(OFFSET($H$3,0,0,'Données projet'!$E$13+1,1))</f>
        <v>310.4018929413723</v>
      </c>
      <c r="CZ10" s="59">
        <f t="shared" si="42"/>
        <v>127.5231137583819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3.9282338700657551</v>
      </c>
      <c r="DQ10" s="13">
        <f t="shared" si="43"/>
        <v>1.5437779404847436</v>
      </c>
      <c r="DR10" s="20">
        <f t="shared" si="16"/>
        <v>9.5304205700421178</v>
      </c>
      <c r="DS10" s="59">
        <f t="shared" si="17"/>
        <v>302.86375390337543</v>
      </c>
      <c r="DT10" s="59">
        <f ca="1">AVERAGE(OFFSET($DS$3,0,0,'Données projet'!$E$14+1,1))-AVERAGE(OFFSET($H$3,0,0,'Données projet'!$E$14+1,1))</f>
        <v>234.09142087023463</v>
      </c>
      <c r="DU10" s="59">
        <f t="shared" si="44"/>
        <v>278.990685815294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</v>
      </c>
      <c r="AI11" s="13">
        <f>IF('Données projet'!$A$62&gt;35,AI10+AH11-AQ10,IF(A11&lt;'Données projet'!$A$62,$AF$205^A11,IF(A11='Données projet'!$A$62,'Données projet'!$B$62,AI10+AH11-AQ10)))</f>
        <v>17.580936309501134</v>
      </c>
      <c r="AJ11" s="13">
        <f>AI11*VLOOKUP('Données projet'!$B$10,Paramètres!$A$1:$I$89,3,0)*VLOOKUP('Données projet'!$B$10,Paramètres!$A$1:$I$89,5,0)</f>
        <v>9.599191224987619</v>
      </c>
      <c r="AK11" s="13">
        <f t="shared" si="35"/>
        <v>3.3998095987127641</v>
      </c>
      <c r="AL11" s="20">
        <f t="shared" si="4"/>
        <v>22.6399264346115</v>
      </c>
      <c r="AM11" s="59">
        <f t="shared" si="5"/>
        <v>315.9732597679448</v>
      </c>
      <c r="AN11" s="59">
        <f ca="1">AVERAGE(OFFSET($AM$3,0,0,'Données projet'!$E$10+1,1))-AVERAGE(OFFSET($H$3,0,0,'Données projet'!$E$10+1,1))</f>
        <v>210.04871822652808</v>
      </c>
      <c r="AO11" s="59">
        <f t="shared" si="36"/>
        <v>250.17540614049324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5.3</v>
      </c>
      <c r="BD11" s="12">
        <f>IF('Données projet'!$A$88&gt;35,BD10+BC11-BL10,IF(A11&lt;'Données projet'!$A$88,$BA$205^A11,IF(A11='Données projet'!$A$88,'Données projet'!$B$88,BD10+BC11-BL10)))</f>
        <v>6.4583614340776521</v>
      </c>
      <c r="BE11" s="13">
        <f>BD11*VLOOKUP('Données projet'!$B$11,Paramètres!$A$1:$I$89,3,0)*VLOOKUP('Données projet'!$B$11,Paramètres!$A$1:$I$89,5,0)</f>
        <v>3.8621001375784361</v>
      </c>
      <c r="BF11" s="13">
        <f t="shared" si="37"/>
        <v>1.520790307840248</v>
      </c>
      <c r="BG11" s="20">
        <f t="shared" si="7"/>
        <v>9.375200859104206</v>
      </c>
      <c r="BH11" s="59">
        <f t="shared" si="8"/>
        <v>302.70853419243753</v>
      </c>
      <c r="BI11" s="59">
        <f ca="1">AVERAGE(OFFSET($BH$3,0,0,'Données projet'!$E$11+1,1))-AVERAGE(OFFSET($H$3,0,0,'Données projet'!$E$11+1,1))</f>
        <v>316.58509520829671</v>
      </c>
      <c r="BJ11" s="59">
        <f t="shared" si="38"/>
        <v>240.71332110643596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5.4176247762567487</v>
      </c>
      <c r="CA11" s="13">
        <f t="shared" si="39"/>
        <v>2.0509054013412618</v>
      </c>
      <c r="CB11" s="20">
        <f t="shared" si="10"/>
        <v>13.007690059316532</v>
      </c>
      <c r="CC11" s="59">
        <f t="shared" si="11"/>
        <v>306.34102339264984</v>
      </c>
      <c r="CD11" s="59">
        <f ca="1">AVERAGE(OFFSET($CC$3,0,0,'Données projet'!$E$12+1,1))-AVERAGE(OFFSET($H$3,0,0,'Données projet'!$E$12+1,1))</f>
        <v>260.20517190557814</v>
      </c>
      <c r="CE11" s="59">
        <f t="shared" si="40"/>
        <v>307.22009971147133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</v>
      </c>
      <c r="CT11" s="12">
        <f>IF('Données projet'!$A$140&gt;35,CT10+CS11-DB10,IF(A11&lt;'Données projet'!$A$140,$CQ$205^A11,IF(A11='Données projet'!$A$140,'Données projet'!$B$140,CT10+CS11-DB10)))</f>
        <v>4.3734482957731151</v>
      </c>
      <c r="CU11" s="17">
        <f>CT11*VLOOKUP('Données projet'!$B$13,Paramètres!$A$1:$I$89,3,0)*VLOOKUP('Données projet'!$B$13,Paramètres!$A$1:$I$89,5,0)</f>
        <v>3.7524186377733333</v>
      </c>
      <c r="CV11" s="13">
        <f t="shared" si="41"/>
        <v>1.4825642235449319</v>
      </c>
      <c r="CW11" s="20">
        <f t="shared" si="13"/>
        <v>9.1175951501293113</v>
      </c>
      <c r="CX11" s="59">
        <f t="shared" si="14"/>
        <v>302.45092848346263</v>
      </c>
      <c r="CY11" s="59">
        <f ca="1">AVERAGE(OFFSET($CX$3,0,0,'Données projet'!$E$13+1,1))-AVERAGE(OFFSET($H$3,0,0,'Données projet'!$E$13+1,1))</f>
        <v>310.4018929413723</v>
      </c>
      <c r="CZ11" s="59">
        <f t="shared" si="42"/>
        <v>127.5231137583819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4.9927130290993551</v>
      </c>
      <c r="DQ11" s="13">
        <f t="shared" si="43"/>
        <v>1.9081050833380053</v>
      </c>
      <c r="DR11" s="20">
        <f t="shared" si="16"/>
        <v>12.018924879161736</v>
      </c>
      <c r="DS11" s="59">
        <f t="shared" si="17"/>
        <v>305.35225821249503</v>
      </c>
      <c r="DT11" s="59">
        <f ca="1">AVERAGE(OFFSET($DS$3,0,0,'Données projet'!$E$14+1,1))-AVERAGE(OFFSET($H$3,0,0,'Données projet'!$E$14+1,1))</f>
        <v>234.09142087023463</v>
      </c>
      <c r="DU11" s="59">
        <f t="shared" si="44"/>
        <v>278.990685815294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</v>
      </c>
      <c r="AI12" s="13">
        <f>IF('Données projet'!$A$62&gt;35,AI11+AH12-AQ11,IF(A12&lt;'Données projet'!$A$62,$AF$205^A12,IF(A12='Données projet'!$A$62,'Données projet'!$B$62,AI11+AH12-AQ11)))</f>
        <v>25.157776275776861</v>
      </c>
      <c r="AJ12" s="13">
        <f>AI12*VLOOKUP('Données projet'!$B$10,Paramètres!$A$1:$I$89,3,0)*VLOOKUP('Données projet'!$B$10,Paramètres!$A$1:$I$89,5,0)</f>
        <v>13.736145846574166</v>
      </c>
      <c r="AK12" s="13">
        <f t="shared" si="35"/>
        <v>4.6662659204824557</v>
      </c>
      <c r="AL12" s="20">
        <f t="shared" si="4"/>
        <v>32.050867160956948</v>
      </c>
      <c r="AM12" s="59">
        <f t="shared" si="5"/>
        <v>325.38420049429027</v>
      </c>
      <c r="AN12" s="59">
        <f ca="1">AVERAGE(OFFSET($AM$3,0,0,'Données projet'!$E$10+1,1))-AVERAGE(OFFSET($H$3,0,0,'Données projet'!$E$10+1,1))</f>
        <v>210.04871822652808</v>
      </c>
      <c r="AO12" s="59">
        <f t="shared" si="36"/>
        <v>250.17540614049324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5.3</v>
      </c>
      <c r="BD12" s="12">
        <f>IF('Données projet'!$A$88&gt;35,BD11+BC12-BL11,IF(A12&lt;'Données projet'!$A$88,$BA$205^A12,IF(A12='Données projet'!$A$88,'Données projet'!$B$88,BD11+BC12-BL11)))</f>
        <v>8.1543179139691304</v>
      </c>
      <c r="BE12" s="13">
        <f>BD12*VLOOKUP('Données projet'!$B$11,Paramètres!$A$1:$I$89,3,0)*VLOOKUP('Données projet'!$B$11,Paramètres!$A$1:$I$89,5,0)</f>
        <v>4.8762821125535405</v>
      </c>
      <c r="BF12" s="13">
        <f t="shared" si="37"/>
        <v>1.8687334058094056</v>
      </c>
      <c r="BG12" s="20">
        <f t="shared" si="7"/>
        <v>11.747568694482132</v>
      </c>
      <c r="BH12" s="59">
        <f t="shared" si="8"/>
        <v>305.08090202781545</v>
      </c>
      <c r="BI12" s="59">
        <f ca="1">AVERAGE(OFFSET($BH$3,0,0,'Données projet'!$E$11+1,1))-AVERAGE(OFFSET($H$3,0,0,'Données projet'!$E$11+1,1))</f>
        <v>316.58509520829671</v>
      </c>
      <c r="BJ12" s="59">
        <f t="shared" si="38"/>
        <v>240.71332110643596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6.8857014887292793</v>
      </c>
      <c r="CA12" s="13">
        <f t="shared" si="39"/>
        <v>2.5349131627802968</v>
      </c>
      <c r="CB12" s="20">
        <f t="shared" si="10"/>
        <v>16.407570518045844</v>
      </c>
      <c r="CC12" s="59">
        <f t="shared" si="11"/>
        <v>309.74090385137913</v>
      </c>
      <c r="CD12" s="59">
        <f ca="1">AVERAGE(OFFSET($CC$3,0,0,'Données projet'!$E$12+1,1))-AVERAGE(OFFSET($H$3,0,0,'Données projet'!$E$12+1,1))</f>
        <v>260.20517190557814</v>
      </c>
      <c r="CE12" s="59">
        <f t="shared" si="40"/>
        <v>307.22009971147133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</v>
      </c>
      <c r="CT12" s="12">
        <f>IF('Données projet'!$A$140&gt;35,CT11+CS12-DB11,IF(A12&lt;'Données projet'!$A$140,$CQ$205^A12,IF(A12='Données projet'!$A$140,'Données projet'!$B$140,CT11+CS12-DB11)))</f>
        <v>5.2592885153079028</v>
      </c>
      <c r="CU12" s="17">
        <f>CT12*VLOOKUP('Données projet'!$B$13,Paramètres!$A$1:$I$89,3,0)*VLOOKUP('Données projet'!$B$13,Paramètres!$A$1:$I$89,5,0)</f>
        <v>4.5124695461341817</v>
      </c>
      <c r="CV12" s="13">
        <f t="shared" si="41"/>
        <v>1.7449883271919417</v>
      </c>
      <c r="CW12" s="20">
        <f t="shared" si="13"/>
        <v>10.898405796042995</v>
      </c>
      <c r="CX12" s="59">
        <f t="shared" si="14"/>
        <v>304.23173912937631</v>
      </c>
      <c r="CY12" s="59">
        <f ca="1">AVERAGE(OFFSET($CX$3,0,0,'Données projet'!$E$13+1,1))-AVERAGE(OFFSET($H$3,0,0,'Données projet'!$E$13+1,1))</f>
        <v>310.4018929413723</v>
      </c>
      <c r="CZ12" s="59">
        <f t="shared" si="42"/>
        <v>127.5231137583819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6.3456464700054127</v>
      </c>
      <c r="DQ12" s="13">
        <f t="shared" si="43"/>
        <v>2.3584123814576028</v>
      </c>
      <c r="DR12" s="20">
        <f t="shared" si="16"/>
        <v>15.159569166298086</v>
      </c>
      <c r="DS12" s="59">
        <f t="shared" si="17"/>
        <v>308.49290249963138</v>
      </c>
      <c r="DT12" s="59">
        <f ca="1">AVERAGE(OFFSET($DS$3,0,0,'Données projet'!$E$14+1,1))-AVERAGE(OFFSET($H$3,0,0,'Données projet'!$E$14+1,1))</f>
        <v>234.09142087023463</v>
      </c>
      <c r="DU12" s="59">
        <f t="shared" si="44"/>
        <v>278.990685815294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36</v>
      </c>
      <c r="AG13" s="12">
        <f>VLOOKUP(A13,'Données projet'!$A$61:$I$81,9,0)</f>
        <v>3.6</v>
      </c>
      <c r="AH13" s="12">
        <f t="array" ref="AH13">INDEX(AG:AG,MIN(IF(ISNUMBER(AG13:AG209),ROW(AG13:AG209),"")))</f>
        <v>3.6</v>
      </c>
      <c r="AI13" s="13">
        <f>IF('Données projet'!$A$62&gt;35,AI12+AH13-AQ12,IF(A13&lt;'Données projet'!$A$62,$AF$205^A13,IF(A13='Données projet'!$A$62,'Données projet'!$B$62,AI12+AH13-AQ12)))</f>
        <v>36</v>
      </c>
      <c r="AJ13" s="13">
        <f>AI13*VLOOKUP('Données projet'!$B$10,Paramètres!$A$1:$I$89,3,0)*VLOOKUP('Données projet'!$B$10,Paramètres!$A$1:$I$89,5,0)</f>
        <v>19.655999999999999</v>
      </c>
      <c r="AK13" s="13">
        <f t="shared" si="35"/>
        <v>6.4044873715575275</v>
      </c>
      <c r="AL13" s="20">
        <f t="shared" si="4"/>
        <v>45.388682172129364</v>
      </c>
      <c r="AM13" s="59">
        <f t="shared" si="5"/>
        <v>338.72201550546265</v>
      </c>
      <c r="AN13" s="59">
        <f ca="1">AVERAGE(OFFSET($AM$3,0,0,'Données projet'!$E$10+1,1))-AVERAGE(OFFSET($H$3,0,0,'Données projet'!$E$10+1,1))</f>
        <v>210.04871822652808</v>
      </c>
      <c r="AO13" s="59">
        <f t="shared" si="36"/>
        <v>250.17540614049324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5.3</v>
      </c>
      <c r="BD13" s="12">
        <f>IF('Données projet'!$A$88&gt;35,BD12+BC13-BL12,IF(A13&lt;'Données projet'!$A$88,$BA$205^A13,IF(A13='Données projet'!$A$88,'Données projet'!$B$88,BD12+BC13-BL12)))</f>
        <v>10.295630140986994</v>
      </c>
      <c r="BE13" s="13">
        <f>BD13*VLOOKUP('Données projet'!$B$11,Paramètres!$A$1:$I$89,3,0)*VLOOKUP('Données projet'!$B$11,Paramètres!$A$1:$I$89,5,0)</f>
        <v>6.1567868243102231</v>
      </c>
      <c r="BF13" s="13">
        <f t="shared" si="37"/>
        <v>2.2962827445602421</v>
      </c>
      <c r="BG13" s="20">
        <f t="shared" si="7"/>
        <v>14.722429499116059</v>
      </c>
      <c r="BH13" s="59">
        <f t="shared" si="8"/>
        <v>308.05576283244937</v>
      </c>
      <c r="BI13" s="59">
        <f ca="1">AVERAGE(OFFSET($BH$3,0,0,'Données projet'!$E$11+1,1))-AVERAGE(OFFSET($H$3,0,0,'Données projet'!$E$11+1,1))</f>
        <v>316.58509520829671</v>
      </c>
      <c r="BJ13" s="59">
        <f t="shared" si="38"/>
        <v>240.71332110643596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8.7516000000000016</v>
      </c>
      <c r="CA13" s="13">
        <f t="shared" si="39"/>
        <v>3.1331453604025001</v>
      </c>
      <c r="CB13" s="20">
        <f t="shared" si="10"/>
        <v>20.699264836034356</v>
      </c>
      <c r="CC13" s="59">
        <f t="shared" si="11"/>
        <v>314.03259816936765</v>
      </c>
      <c r="CD13" s="59">
        <f ca="1">AVERAGE(OFFSET($CC$3,0,0,'Données projet'!$E$12+1,1))-AVERAGE(OFFSET($H$3,0,0,'Données projet'!$E$12+1,1))</f>
        <v>260.20517190557814</v>
      </c>
      <c r="CE13" s="59">
        <f t="shared" si="40"/>
        <v>307.22009971147133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0.13250000000000001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</v>
      </c>
      <c r="CT13" s="12">
        <f>IF('Données projet'!$A$140&gt;35,CT12+CS13-DB12,IF(A13&lt;'Données projet'!$A$140,$CQ$205^A13,IF(A13='Données projet'!$A$140,'Données projet'!$B$140,CT12+CS13-DB12)))</f>
        <v>6.3245553203367635</v>
      </c>
      <c r="CU13" s="17">
        <f>CT13*VLOOKUP('Données projet'!$B$13,Paramètres!$A$1:$I$89,3,0)*VLOOKUP('Données projet'!$B$13,Paramètres!$A$1:$I$89,5,0)</f>
        <v>5.4264684648489441</v>
      </c>
      <c r="CV13" s="13">
        <f t="shared" si="41"/>
        <v>2.0538633090412262</v>
      </c>
      <c r="CW13" s="20">
        <f t="shared" si="13"/>
        <v>13.028244506192046</v>
      </c>
      <c r="CX13" s="59">
        <f t="shared" si="14"/>
        <v>306.36157783952535</v>
      </c>
      <c r="CY13" s="59">
        <f ca="1">AVERAGE(OFFSET($CX$3,0,0,'Données projet'!$E$13+1,1))-AVERAGE(OFFSET($H$3,0,0,'Données projet'!$E$13+1,1))</f>
        <v>310.4018929413723</v>
      </c>
      <c r="CZ13" s="59">
        <f t="shared" si="42"/>
        <v>127.5231137583819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8.0652000000000008</v>
      </c>
      <c r="DQ13" s="13">
        <f t="shared" si="43"/>
        <v>2.9149909035839161</v>
      </c>
      <c r="DR13" s="20">
        <f t="shared" si="16"/>
        <v>19.123832490408656</v>
      </c>
      <c r="DS13" s="59">
        <f t="shared" si="17"/>
        <v>312.45716582374195</v>
      </c>
      <c r="DT13" s="59">
        <f ca="1">AVERAGE(OFFSET($DS$3,0,0,'Données projet'!$E$14+1,1))-AVERAGE(OFFSET($H$3,0,0,'Données projet'!$E$14+1,1))</f>
        <v>234.09142087023463</v>
      </c>
      <c r="DU13" s="59">
        <f t="shared" si="44"/>
        <v>278.990685815294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0.1075</v>
      </c>
      <c r="DZ13" s="16">
        <f>IF(ISNA(VLOOKUP(A13,'Données projet'!$A$165:$I$185,7,0)),0%,VLOOKUP(A13,'Données projet'!$A$165:$I$185,7,0))</f>
        <v>0.25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14.1</v>
      </c>
      <c r="AI14" s="13">
        <f>IF('Données projet'!$A$62&gt;35,AI13+AH14-AQ13,IF(A14&lt;'Données projet'!$A$62,$AF$205^A14,IF(A14='Données projet'!$A$62,'Données projet'!$B$62,AI13+AH14-AQ13)))</f>
        <v>50.1</v>
      </c>
      <c r="AJ14" s="13">
        <f>AI14*VLOOKUP('Données projet'!$B$10,Paramètres!$A$1:$I$89,3,0)*VLOOKUP('Données projet'!$B$10,Paramètres!$A$1:$I$89,5,0)</f>
        <v>27.354600000000001</v>
      </c>
      <c r="AK14" s="13">
        <f t="shared" si="35"/>
        <v>8.5765396264451574</v>
      </c>
      <c r="AL14" s="20">
        <f t="shared" si="4"/>
        <v>62.580068182725313</v>
      </c>
      <c r="AM14" s="59">
        <f t="shared" si="5"/>
        <v>355.91340151605863</v>
      </c>
      <c r="AN14" s="59">
        <f ca="1">AVERAGE(OFFSET($AM$3,0,0,'Données projet'!$E$10+1,1))-AVERAGE(OFFSET($H$3,0,0,'Données projet'!$E$10+1,1))</f>
        <v>210.04871822652808</v>
      </c>
      <c r="AO14" s="59">
        <f t="shared" si="36"/>
        <v>250.17540614049324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5.3</v>
      </c>
      <c r="BD14" s="12">
        <f>IF('Données projet'!$A$88&gt;35,BD13+BC14-BL13,IF(A14&lt;'Données projet'!$A$88,$BA$205^A14,IF(A14='Données projet'!$A$88,'Données projet'!$B$88,BD13+BC14-BL13)))</f>
        <v>12.999247897658208</v>
      </c>
      <c r="BE14" s="13">
        <f>BD14*VLOOKUP('Données projet'!$B$11,Paramètres!$A$1:$I$89,3,0)*VLOOKUP('Données projet'!$B$11,Paramètres!$A$1:$I$89,5,0)</f>
        <v>7.7735502427996082</v>
      </c>
      <c r="BF14" s="13">
        <f t="shared" si="37"/>
        <v>2.8216515135722404</v>
      </c>
      <c r="BG14" s="20">
        <f t="shared" si="7"/>
        <v>18.453309725680967</v>
      </c>
      <c r="BH14" s="59">
        <f t="shared" si="8"/>
        <v>311.7866430590143</v>
      </c>
      <c r="BI14" s="59">
        <f ca="1">AVERAGE(OFFSET($BH$3,0,0,'Données projet'!$E$11+1,1))-AVERAGE(OFFSET($H$3,0,0,'Données projet'!$E$11+1,1))</f>
        <v>316.58509520829671</v>
      </c>
      <c r="BJ14" s="59">
        <f t="shared" si="38"/>
        <v>240.71332110643596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12.3</v>
      </c>
      <c r="BY14" s="12">
        <f>IF('Données projet'!$A$114&gt;35,BY13+BX14-CG13,IF(A14&lt;'Données projet'!$A$114,$BV$205^A14,IF(A14='Données projet'!$A$114,'Données projet'!$B$114,BY13+BX14-CG13)))</f>
        <v>23.3</v>
      </c>
      <c r="BZ14" s="13">
        <f>BY14*VLOOKUP('Données projet'!$B$12,Paramètres!$A$1:$I$89,3,0)*VLOOKUP('Données projet'!$B$12,Paramètres!$A$1:$I$89,5,0)</f>
        <v>18.537480000000002</v>
      </c>
      <c r="CA14" s="13">
        <f t="shared" si="39"/>
        <v>6.0813732490407499</v>
      </c>
      <c r="CB14" s="20">
        <f t="shared" si="10"/>
        <v>42.877836075412638</v>
      </c>
      <c r="CC14" s="59">
        <f t="shared" si="11"/>
        <v>336.21116940874595</v>
      </c>
      <c r="CD14" s="59">
        <f ca="1">AVERAGE(OFFSET($CC$3,0,0,'Données projet'!$E$12+1,1))-AVERAGE(OFFSET($H$3,0,0,'Données projet'!$E$12+1,1))</f>
        <v>260.20517190557814</v>
      </c>
      <c r="CE14" s="59">
        <f t="shared" si="40"/>
        <v>307.22009971147133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</v>
      </c>
      <c r="CT14" s="12">
        <f>IF('Données projet'!$A$140&gt;35,CT13+CS14-DB13,IF(A14&lt;'Données projet'!$A$140,$CQ$205^A14,IF(A14='Données projet'!$A$140,'Données projet'!$B$140,CT13+CS14-DB13)))</f>
        <v>7.605591494662141</v>
      </c>
      <c r="CU14" s="17">
        <f>CT14*VLOOKUP('Données projet'!$B$13,Paramètres!$A$1:$I$89,3,0)*VLOOKUP('Données projet'!$B$13,Paramètres!$A$1:$I$89,5,0)</f>
        <v>6.5255975024201174</v>
      </c>
      <c r="CV14" s="13">
        <f t="shared" si="41"/>
        <v>2.4174112952457434</v>
      </c>
      <c r="CW14" s="20">
        <f t="shared" si="13"/>
        <v>15.575740322601375</v>
      </c>
      <c r="CX14" s="59">
        <f t="shared" si="14"/>
        <v>308.90907365593466</v>
      </c>
      <c r="CY14" s="59">
        <f ca="1">AVERAGE(OFFSET($CX$3,0,0,'Données projet'!$E$13+1,1))-AVERAGE(OFFSET($H$3,0,0,'Données projet'!$E$13+1,1))</f>
        <v>310.4018929413723</v>
      </c>
      <c r="CZ14" s="59">
        <f t="shared" si="42"/>
        <v>127.5231137583819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>
        <f>DO14*VLOOKUP('Données projet'!$B$14,Paramètres!$A$1:$I$89,3,0)*VLOOKUP('Données projet'!$B$14,Paramètres!$A$1:$I$89,5,0)</f>
        <v>17.083560000000002</v>
      </c>
      <c r="DQ14" s="13">
        <f t="shared" si="43"/>
        <v>5.6579397580120663</v>
      </c>
      <c r="DR14" s="20">
        <f t="shared" si="16"/>
        <v>39.608112078537687</v>
      </c>
      <c r="DS14" s="59">
        <f t="shared" si="17"/>
        <v>332.94144541187097</v>
      </c>
      <c r="DT14" s="59">
        <f ca="1">AVERAGE(OFFSET($DS$3,0,0,'Données projet'!$E$14+1,1))-AVERAGE(OFFSET($H$3,0,0,'Données projet'!$E$14+1,1))</f>
        <v>234.09142087023463</v>
      </c>
      <c r="DU14" s="59">
        <f t="shared" si="44"/>
        <v>278.990685815294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14.1</v>
      </c>
      <c r="AI15" s="13">
        <f>IF('Données projet'!$A$62&gt;35,AI14+AH15-AQ14,IF(A15&lt;'Données projet'!$A$62,$AF$205^A15,IF(A15='Données projet'!$A$62,'Données projet'!$B$62,AI14+AH15-AQ14)))</f>
        <v>64.2</v>
      </c>
      <c r="AJ15" s="13">
        <f>AI15*VLOOKUP('Données projet'!$B$10,Paramètres!$A$1:$I$89,3,0)*VLOOKUP('Données projet'!$B$10,Paramètres!$A$1:$I$89,5,0)</f>
        <v>35.053199999999997</v>
      </c>
      <c r="AK15" s="13">
        <f t="shared" si="35"/>
        <v>10.677594770675379</v>
      </c>
      <c r="AL15" s="20">
        <f t="shared" si="4"/>
        <v>79.64780089225961</v>
      </c>
      <c r="AM15" s="59">
        <f t="shared" si="5"/>
        <v>372.98113422559294</v>
      </c>
      <c r="AN15" s="59">
        <f ca="1">AVERAGE(OFFSET($AM$3,0,0,'Données projet'!$E$10+1,1))-AVERAGE(OFFSET($H$3,0,0,'Données projet'!$E$10+1,1))</f>
        <v>210.04871822652808</v>
      </c>
      <c r="AO15" s="59">
        <f t="shared" si="36"/>
        <v>250.17540614049324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5.3</v>
      </c>
      <c r="BD15" s="12">
        <f>IF('Données projet'!$A$88&gt;35,BD14+BC15-BL14,IF(A15&lt;'Données projet'!$A$88,$BA$205^A15,IF(A15='Données projet'!$A$88,'Données projet'!$B$88,BD14+BC15-BL14)))</f>
        <v>16.412831812213092</v>
      </c>
      <c r="BE15" s="13">
        <f>BD15*VLOOKUP('Données projet'!$B$11,Paramètres!$A$1:$I$89,3,0)*VLOOKUP('Données projet'!$B$11,Paramètres!$A$1:$I$89,5,0)</f>
        <v>9.8148734237034301</v>
      </c>
      <c r="BF15" s="13">
        <f t="shared" si="37"/>
        <v>3.4672199157117518</v>
      </c>
      <c r="BG15" s="20">
        <f t="shared" si="7"/>
        <v>23.132979232814776</v>
      </c>
      <c r="BH15" s="59">
        <f t="shared" si="8"/>
        <v>316.46631256614808</v>
      </c>
      <c r="BI15" s="59">
        <f ca="1">AVERAGE(OFFSET($BH$3,0,0,'Données projet'!$E$11+1,1))-AVERAGE(OFFSET($H$3,0,0,'Données projet'!$E$11+1,1))</f>
        <v>316.58509520829671</v>
      </c>
      <c r="BJ15" s="59">
        <f t="shared" si="38"/>
        <v>240.71332110643596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12.3</v>
      </c>
      <c r="BY15" s="12">
        <f>IF('Données projet'!$A$114&gt;35,BY14+BX15-CG14,IF(A15&lt;'Données projet'!$A$114,$BV$205^A15,IF(A15='Données projet'!$A$114,'Données projet'!$B$114,BY14+BX15-CG14)))</f>
        <v>35.6</v>
      </c>
      <c r="BZ15" s="13">
        <f>BY15*VLOOKUP('Données projet'!$B$12,Paramètres!$A$1:$I$89,3,0)*VLOOKUP('Données projet'!$B$12,Paramètres!$A$1:$I$89,5,0)</f>
        <v>28.323360000000005</v>
      </c>
      <c r="CA15" s="13">
        <f t="shared" si="39"/>
        <v>8.8443757631773217</v>
      </c>
      <c r="CB15" s="20">
        <f t="shared" si="10"/>
        <v>64.733806454200504</v>
      </c>
      <c r="CC15" s="59">
        <f t="shared" si="11"/>
        <v>358.06713978753385</v>
      </c>
      <c r="CD15" s="59">
        <f ca="1">AVERAGE(OFFSET($CC$3,0,0,'Données projet'!$E$12+1,1))-AVERAGE(OFFSET($H$3,0,0,'Données projet'!$E$12+1,1))</f>
        <v>260.20517190557814</v>
      </c>
      <c r="CE15" s="59">
        <f t="shared" si="40"/>
        <v>307.22009971147133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</v>
      </c>
      <c r="CT15" s="12">
        <f>IF('Données projet'!$A$140&gt;35,CT14+CS15-DB14,IF(A15&lt;'Données projet'!$A$140,$CQ$205^A15,IF(A15='Données projet'!$A$140,'Données projet'!$B$140,CT14+CS15-DB14)))</f>
        <v>9.1461010385465364</v>
      </c>
      <c r="CU15" s="17">
        <f>CT15*VLOOKUP('Données projet'!$B$13,Paramètres!$A$1:$I$89,3,0)*VLOOKUP('Données projet'!$B$13,Paramètres!$A$1:$I$89,5,0)</f>
        <v>7.8473546910729288</v>
      </c>
      <c r="CV15" s="13">
        <f t="shared" si="41"/>
        <v>2.8453097850556142</v>
      </c>
      <c r="CW15" s="20">
        <f t="shared" si="13"/>
        <v>18.623057295923882</v>
      </c>
      <c r="CX15" s="59">
        <f t="shared" si="14"/>
        <v>311.95639062925721</v>
      </c>
      <c r="CY15" s="59">
        <f ca="1">AVERAGE(OFFSET($CX$3,0,0,'Données projet'!$E$13+1,1))-AVERAGE(OFFSET($H$3,0,0,'Données projet'!$E$13+1,1))</f>
        <v>310.4018929413723</v>
      </c>
      <c r="CZ15" s="59">
        <f t="shared" si="42"/>
        <v>127.5231137583819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>
        <f>DO15*VLOOKUP('Données projet'!$B$14,Paramètres!$A$1:$I$89,3,0)*VLOOKUP('Données projet'!$B$14,Paramètres!$A$1:$I$89,5,0)</f>
        <v>26.10192</v>
      </c>
      <c r="DQ15" s="13">
        <f t="shared" si="43"/>
        <v>8.2285600991803172</v>
      </c>
      <c r="DR15" s="20">
        <f t="shared" si="16"/>
        <v>59.792252839405712</v>
      </c>
      <c r="DS15" s="59">
        <f t="shared" si="17"/>
        <v>353.12558617273902</v>
      </c>
      <c r="DT15" s="59">
        <f ca="1">AVERAGE(OFFSET($DS$3,0,0,'Données projet'!$E$14+1,1))-AVERAGE(OFFSET($H$3,0,0,'Données projet'!$E$14+1,1))</f>
        <v>234.09142087023463</v>
      </c>
      <c r="DU15" s="59">
        <f t="shared" si="44"/>
        <v>278.990685815294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14.1</v>
      </c>
      <c r="AI16" s="13">
        <f>IF('Données projet'!$A$62&gt;35,AI15+AH16-AQ15,IF(A16&lt;'Données projet'!$A$62,$AF$205^A16,IF(A16='Données projet'!$A$62,'Données projet'!$B$62,AI15+AH16-AQ15)))</f>
        <v>78.3</v>
      </c>
      <c r="AJ16" s="13">
        <f>AI16*VLOOKUP('Données projet'!$B$10,Paramètres!$A$1:$I$89,3,0)*VLOOKUP('Données projet'!$B$10,Paramètres!$A$1:$I$89,5,0)</f>
        <v>42.751799999999996</v>
      </c>
      <c r="AK16" s="13">
        <f t="shared" si="35"/>
        <v>12.725163670396148</v>
      </c>
      <c r="AL16" s="20">
        <f t="shared" si="4"/>
        <v>96.622378392606606</v>
      </c>
      <c r="AM16" s="59">
        <f t="shared" si="5"/>
        <v>389.95571172593992</v>
      </c>
      <c r="AN16" s="59">
        <f ca="1">AVERAGE(OFFSET($AM$3,0,0,'Données projet'!$E$10+1,1))-AVERAGE(OFFSET($H$3,0,0,'Données projet'!$E$10+1,1))</f>
        <v>210.04871822652808</v>
      </c>
      <c r="AO16" s="59">
        <f t="shared" si="36"/>
        <v>250.17540614049324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5.3</v>
      </c>
      <c r="BD16" s="12">
        <f>IF('Données projet'!$A$88&gt;35,BD15+BC16-BL15,IF(A16&lt;'Données projet'!$A$88,$BA$205^A16,IF(A16='Données projet'!$A$88,'Données projet'!$B$88,BD15+BC16-BL15)))</f>
        <v>20.722817982763658</v>
      </c>
      <c r="BE16" s="13">
        <f>BD16*VLOOKUP('Données projet'!$B$11,Paramètres!$A$1:$I$89,3,0)*VLOOKUP('Données projet'!$B$11,Paramètres!$A$1:$I$89,5,0)</f>
        <v>12.392245153692668</v>
      </c>
      <c r="BF16" s="13">
        <f t="shared" si="37"/>
        <v>4.2604885422894494</v>
      </c>
      <c r="BG16" s="20">
        <f t="shared" si="7"/>
        <v>29.003511187168854</v>
      </c>
      <c r="BH16" s="59">
        <f t="shared" si="8"/>
        <v>322.33684452050215</v>
      </c>
      <c r="BI16" s="59">
        <f ca="1">AVERAGE(OFFSET($BH$3,0,0,'Données projet'!$E$11+1,1))-AVERAGE(OFFSET($H$3,0,0,'Données projet'!$E$11+1,1))</f>
        <v>316.58509520829671</v>
      </c>
      <c r="BJ16" s="59">
        <f t="shared" si="38"/>
        <v>240.71332110643596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12.3</v>
      </c>
      <c r="BY16" s="12">
        <f>IF('Données projet'!$A$114&gt;35,BY15+BX16-CG15,IF(A16&lt;'Données projet'!$A$114,$BV$205^A16,IF(A16='Données projet'!$A$114,'Données projet'!$B$114,BY15+BX16-CG15)))</f>
        <v>47.900000000000006</v>
      </c>
      <c r="BZ16" s="13">
        <f>BY16*VLOOKUP('Données projet'!$B$12,Paramètres!$A$1:$I$89,3,0)*VLOOKUP('Données projet'!$B$12,Paramètres!$A$1:$I$89,5,0)</f>
        <v>38.109240000000007</v>
      </c>
      <c r="CA16" s="13">
        <f t="shared" si="39"/>
        <v>11.496097202870512</v>
      </c>
      <c r="CB16" s="20">
        <f t="shared" si="10"/>
        <v>86.395962294999478</v>
      </c>
      <c r="CC16" s="59">
        <f t="shared" si="11"/>
        <v>379.72929562833281</v>
      </c>
      <c r="CD16" s="59">
        <f ca="1">AVERAGE(OFFSET($CC$3,0,0,'Données projet'!$E$12+1,1))-AVERAGE(OFFSET($H$3,0,0,'Données projet'!$E$12+1,1))</f>
        <v>260.20517190557814</v>
      </c>
      <c r="CE16" s="59">
        <f t="shared" si="40"/>
        <v>307.22009971147133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</v>
      </c>
      <c r="CT16" s="12">
        <f>IF('Données projet'!$A$140&gt;35,CT15+CS16-DB15,IF(A16&lt;'Données projet'!$A$140,$CQ$205^A16,IF(A16='Données projet'!$A$140,'Données projet'!$B$140,CT15+CS16-DB15)))</f>
        <v>10.998640180189959</v>
      </c>
      <c r="CU16" s="17">
        <f>CT16*VLOOKUP('Données projet'!$B$13,Paramètres!$A$1:$I$89,3,0)*VLOOKUP('Données projet'!$B$13,Paramètres!$A$1:$I$89,5,0)</f>
        <v>9.4368332746029857</v>
      </c>
      <c r="CV16" s="13">
        <f t="shared" si="41"/>
        <v>3.348949261904663</v>
      </c>
      <c r="CW16" s="20">
        <f t="shared" si="13"/>
        <v>22.268571251084154</v>
      </c>
      <c r="CX16" s="59">
        <f t="shared" si="14"/>
        <v>315.60190458441747</v>
      </c>
      <c r="CY16" s="59">
        <f ca="1">AVERAGE(OFFSET($CX$3,0,0,'Données projet'!$E$13+1,1))-AVERAGE(OFFSET($H$3,0,0,'Données projet'!$E$13+1,1))</f>
        <v>310.4018929413723</v>
      </c>
      <c r="CZ16" s="59">
        <f t="shared" si="42"/>
        <v>127.5231137583819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>
        <f>DO16*VLOOKUP('Données projet'!$B$14,Paramètres!$A$1:$I$89,3,0)*VLOOKUP('Données projet'!$B$14,Paramètres!$A$1:$I$89,5,0)</f>
        <v>35.120280000000001</v>
      </c>
      <c r="DQ16" s="13">
        <f t="shared" si="43"/>
        <v>10.695647637867344</v>
      </c>
      <c r="DR16" s="20">
        <f t="shared" si="16"/>
        <v>79.796073969285615</v>
      </c>
      <c r="DS16" s="59">
        <f t="shared" si="17"/>
        <v>373.12940730261892</v>
      </c>
      <c r="DT16" s="59">
        <f ca="1">AVERAGE(OFFSET($DS$3,0,0,'Données projet'!$E$14+1,1))-AVERAGE(OFFSET($H$3,0,0,'Données projet'!$E$14+1,1))</f>
        <v>234.09142087023463</v>
      </c>
      <c r="DU16" s="59">
        <f t="shared" si="44"/>
        <v>278.990685815294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14.1</v>
      </c>
      <c r="AI17" s="13">
        <f>IF('Données projet'!$A$62&gt;35,AI16+AH17-AQ16,IF(A17&lt;'Données projet'!$A$62,$AF$205^A17,IF(A17='Données projet'!$A$62,'Données projet'!$B$62,AI16+AH17-AQ16)))</f>
        <v>92.399999999999991</v>
      </c>
      <c r="AJ17" s="13">
        <f>AI17*VLOOKUP('Données projet'!$B$10,Paramètres!$A$1:$I$89,3,0)*VLOOKUP('Données projet'!$B$10,Paramètres!$A$1:$I$89,5,0)</f>
        <v>50.450399999999995</v>
      </c>
      <c r="AK17" s="13">
        <f t="shared" si="35"/>
        <v>14.730016649594965</v>
      </c>
      <c r="AL17" s="20">
        <f t="shared" si="4"/>
        <v>113.52255899804454</v>
      </c>
      <c r="AM17" s="59">
        <f t="shared" si="5"/>
        <v>406.85589233137785</v>
      </c>
      <c r="AN17" s="59">
        <f ca="1">AVERAGE(OFFSET($AM$3,0,0,'Données projet'!$E$10+1,1))-AVERAGE(OFFSET($H$3,0,0,'Données projet'!$E$10+1,1))</f>
        <v>210.04871822652808</v>
      </c>
      <c r="AO17" s="59">
        <f t="shared" si="36"/>
        <v>250.17540614049324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5.3</v>
      </c>
      <c r="BD17" s="12">
        <f>IF('Données projet'!$A$88&gt;35,BD16+BC17-BL16,IF(A17&lt;'Données projet'!$A$88,$BA$205^A17,IF(A17='Données projet'!$A$88,'Données projet'!$B$88,BD16+BC17-BL16)))</f>
        <v>26.164600360262149</v>
      </c>
      <c r="BE17" s="13">
        <f>BD17*VLOOKUP('Données projet'!$B$11,Paramètres!$A$1:$I$89,3,0)*VLOOKUP('Données projet'!$B$11,Paramètres!$A$1:$I$89,5,0)</f>
        <v>15.646431015436765</v>
      </c>
      <c r="BF17" s="13">
        <f t="shared" si="37"/>
        <v>5.235249871727123</v>
      </c>
      <c r="BG17" s="20">
        <f t="shared" si="7"/>
        <v>36.368927545143769</v>
      </c>
      <c r="BH17" s="59">
        <f t="shared" si="8"/>
        <v>329.70226087847709</v>
      </c>
      <c r="BI17" s="59">
        <f ca="1">AVERAGE(OFFSET($BH$3,0,0,'Données projet'!$E$11+1,1))-AVERAGE(OFFSET($H$3,0,0,'Données projet'!$E$11+1,1))</f>
        <v>316.58509520829671</v>
      </c>
      <c r="BJ17" s="59">
        <f t="shared" si="38"/>
        <v>240.71332110643596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12.3</v>
      </c>
      <c r="BY17" s="12">
        <f>IF('Données projet'!$A$114&gt;35,BY16+BX17-CG16,IF(A17&lt;'Données projet'!$A$114,$BV$205^A17,IF(A17='Données projet'!$A$114,'Données projet'!$B$114,BY16+BX17-CG16)))</f>
        <v>60.2</v>
      </c>
      <c r="BZ17" s="13">
        <f>BY17*VLOOKUP('Données projet'!$B$12,Paramètres!$A$1:$I$89,3,0)*VLOOKUP('Données projet'!$B$12,Paramètres!$A$1:$I$89,5,0)</f>
        <v>47.895120000000006</v>
      </c>
      <c r="CA17" s="13">
        <f t="shared" si="39"/>
        <v>14.068812032564205</v>
      </c>
      <c r="CB17" s="20">
        <f t="shared" si="10"/>
        <v>107.92051495671599</v>
      </c>
      <c r="CC17" s="59">
        <f t="shared" si="11"/>
        <v>401.25384829004929</v>
      </c>
      <c r="CD17" s="59">
        <f ca="1">AVERAGE(OFFSET($CC$3,0,0,'Données projet'!$E$12+1,1))-AVERAGE(OFFSET($H$3,0,0,'Données projet'!$E$12+1,1))</f>
        <v>260.20517190557814</v>
      </c>
      <c r="CE17" s="59">
        <f t="shared" si="40"/>
        <v>307.22009971147133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</v>
      </c>
      <c r="CT17" s="12">
        <f>IF('Données projet'!$A$140&gt;35,CT16+CS17-DB16,IF(A17&lt;'Données projet'!$A$140,$CQ$205^A17,IF(A17='Données projet'!$A$140,'Données projet'!$B$140,CT16+CS17-DB16)))</f>
        <v>13.226410390991386</v>
      </c>
      <c r="CU17" s="17">
        <f>CT17*VLOOKUP('Données projet'!$B$13,Paramètres!$A$1:$I$89,3,0)*VLOOKUP('Données projet'!$B$13,Paramètres!$A$1:$I$89,5,0)</f>
        <v>11.348260115470611</v>
      </c>
      <c r="CV17" s="13">
        <f t="shared" si="41"/>
        <v>3.9417364034379001</v>
      </c>
      <c r="CW17" s="20">
        <f t="shared" si="13"/>
        <v>26.630077270432324</v>
      </c>
      <c r="CX17" s="59">
        <f t="shared" si="14"/>
        <v>319.96341060376562</v>
      </c>
      <c r="CY17" s="59">
        <f ca="1">AVERAGE(OFFSET($CX$3,0,0,'Données projet'!$E$13+1,1))-AVERAGE(OFFSET($H$3,0,0,'Données projet'!$E$13+1,1))</f>
        <v>310.4018929413723</v>
      </c>
      <c r="CZ17" s="59">
        <f t="shared" si="42"/>
        <v>127.5231137583819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>
        <f>DO17*VLOOKUP('Données projet'!$B$14,Paramètres!$A$1:$I$89,3,0)*VLOOKUP('Données projet'!$B$14,Paramètres!$A$1:$I$89,5,0)</f>
        <v>44.138640000000002</v>
      </c>
      <c r="DQ17" s="13">
        <f t="shared" si="43"/>
        <v>13.089229634046784</v>
      </c>
      <c r="DR17" s="20">
        <f t="shared" si="16"/>
        <v>99.671872945964807</v>
      </c>
      <c r="DS17" s="59">
        <f t="shared" si="17"/>
        <v>393.00520627929814</v>
      </c>
      <c r="DT17" s="59">
        <f ca="1">AVERAGE(OFFSET($DS$3,0,0,'Données projet'!$E$14+1,1))-AVERAGE(OFFSET($H$3,0,0,'Données projet'!$E$14+1,1))</f>
        <v>234.09142087023463</v>
      </c>
      <c r="DU17" s="59">
        <f t="shared" si="44"/>
        <v>278.990685815294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14.1</v>
      </c>
      <c r="AI18" s="13">
        <f>IF('Données projet'!$A$62&gt;35,AI17+AH18-AQ17,IF(A18&lt;'Données projet'!$A$62,$AF$205^A18,IF(A18='Données projet'!$A$62,'Données projet'!$B$62,AI17+AH18-AQ17)))</f>
        <v>106.49999999999999</v>
      </c>
      <c r="AJ18" s="13">
        <f>AI18*VLOOKUP('Données projet'!$B$10,Paramètres!$A$1:$I$89,3,0)*VLOOKUP('Données projet'!$B$10,Paramètres!$A$1:$I$89,5,0)</f>
        <v>58.148999999999987</v>
      </c>
      <c r="AK18" s="13">
        <f t="shared" si="35"/>
        <v>16.699428066773574</v>
      </c>
      <c r="AL18" s="20">
        <f t="shared" si="4"/>
        <v>130.36101221629727</v>
      </c>
      <c r="AM18" s="59">
        <f t="shared" si="5"/>
        <v>423.69434554963061</v>
      </c>
      <c r="AN18" s="59">
        <f ca="1">AVERAGE(OFFSET($AM$3,0,0,'Données projet'!$E$10+1,1))-AVERAGE(OFFSET($H$3,0,0,'Données projet'!$E$10+1,1))</f>
        <v>210.04871822652808</v>
      </c>
      <c r="AO18" s="59">
        <f t="shared" si="36"/>
        <v>250.17540614049324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5.3</v>
      </c>
      <c r="BD18" s="12">
        <f>IF('Données projet'!$A$88&gt;35,BD17+BC18-BL17,IF(A18&lt;'Données projet'!$A$88,$BA$205^A18,IF(A18='Données projet'!$A$88,'Données projet'!$B$88,BD17+BC18-BL17)))</f>
        <v>33.035387010668124</v>
      </c>
      <c r="BE18" s="13">
        <f>BD18*VLOOKUP('Données projet'!$B$11,Paramètres!$A$1:$I$89,3,0)*VLOOKUP('Données projet'!$B$11,Paramètres!$A$1:$I$89,5,0)</f>
        <v>19.755161432379541</v>
      </c>
      <c r="BF18" s="13">
        <f t="shared" si="37"/>
        <v>6.4330277965471954</v>
      </c>
      <c r="BG18" s="20">
        <f t="shared" si="7"/>
        <v>45.611096240380732</v>
      </c>
      <c r="BH18" s="59">
        <f t="shared" si="8"/>
        <v>338.94442957371405</v>
      </c>
      <c r="BI18" s="59">
        <f ca="1">AVERAGE(OFFSET($BH$3,0,0,'Données projet'!$E$11+1,1))-AVERAGE(OFFSET($H$3,0,0,'Données projet'!$E$11+1,1))</f>
        <v>316.58509520829671</v>
      </c>
      <c r="BJ18" s="59">
        <f t="shared" si="38"/>
        <v>240.71332110643596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12.3</v>
      </c>
      <c r="BY18" s="12">
        <f>IF('Données projet'!$A$114&gt;35,BY17+BX18-CG17,IF(A18&lt;'Données projet'!$A$114,$BV$205^A18,IF(A18='Données projet'!$A$114,'Données projet'!$B$114,BY17+BX18-CG17)))</f>
        <v>72.5</v>
      </c>
      <c r="BZ18" s="13">
        <f>BY18*VLOOKUP('Données projet'!$B$12,Paramètres!$A$1:$I$89,3,0)*VLOOKUP('Données projet'!$B$12,Paramètres!$A$1:$I$89,5,0)</f>
        <v>57.681000000000004</v>
      </c>
      <c r="CA18" s="13">
        <f t="shared" si="39"/>
        <v>16.580614810327479</v>
      </c>
      <c r="CB18" s="20">
        <f t="shared" si="10"/>
        <v>129.33897912798705</v>
      </c>
      <c r="CC18" s="59">
        <f t="shared" si="11"/>
        <v>422.67231246132036</v>
      </c>
      <c r="CD18" s="59">
        <f ca="1">AVERAGE(OFFSET($CC$3,0,0,'Données projet'!$E$12+1,1))-AVERAGE(OFFSET($H$3,0,0,'Données projet'!$E$12+1,1))</f>
        <v>260.20517190557814</v>
      </c>
      <c r="CE18" s="59">
        <f t="shared" si="40"/>
        <v>307.22009971147133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</v>
      </c>
      <c r="CT18" s="12">
        <f>IF('Données projet'!$A$140&gt;35,CT17+CS18-DB17,IF(A18&lt;'Données projet'!$A$140,$CQ$205^A18,IF(A18='Données projet'!$A$140,'Données projet'!$B$140,CT17+CS18-DB17)))</f>
        <v>15.905414575341034</v>
      </c>
      <c r="CU18" s="17">
        <f>CT18*VLOOKUP('Données projet'!$B$13,Paramètres!$A$1:$I$89,3,0)*VLOOKUP('Données projet'!$B$13,Paramètres!$A$1:$I$89,5,0)</f>
        <v>13.646845705642608</v>
      </c>
      <c r="CV18" s="13">
        <f t="shared" si="41"/>
        <v>4.639450961807337</v>
      </c>
      <c r="CW18" s="20">
        <f t="shared" si="13"/>
        <v>31.848633362475322</v>
      </c>
      <c r="CX18" s="59">
        <f t="shared" si="14"/>
        <v>325.18196669580863</v>
      </c>
      <c r="CY18" s="59">
        <f ca="1">AVERAGE(OFFSET($CX$3,0,0,'Données projet'!$E$13+1,1))-AVERAGE(OFFSET($H$3,0,0,'Données projet'!$E$13+1,1))</f>
        <v>310.4018929413723</v>
      </c>
      <c r="CZ18" s="59">
        <f t="shared" si="42"/>
        <v>127.5231137583819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>
        <f>DO18*VLOOKUP('Données projet'!$B$14,Paramètres!$A$1:$I$89,3,0)*VLOOKUP('Données projet'!$B$14,Paramètres!$A$1:$I$89,5,0)</f>
        <v>53.156999999999996</v>
      </c>
      <c r="DQ18" s="13">
        <f t="shared" si="43"/>
        <v>15.426140758986149</v>
      </c>
      <c r="DR18" s="20">
        <f t="shared" si="16"/>
        <v>119.44897015523419</v>
      </c>
      <c r="DS18" s="59">
        <f t="shared" si="17"/>
        <v>412.78230348856749</v>
      </c>
      <c r="DT18" s="59">
        <f ca="1">AVERAGE(OFFSET($DS$3,0,0,'Données projet'!$E$14+1,1))-AVERAGE(OFFSET($H$3,0,0,'Données projet'!$E$14+1,1))</f>
        <v>234.09142087023463</v>
      </c>
      <c r="DU18" s="59">
        <f t="shared" si="44"/>
        <v>278.990685815294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14.1</v>
      </c>
      <c r="AI19" s="13">
        <f>IF('Données projet'!$A$62&gt;35,AI18+AH19-AQ18,IF(A19&lt;'Données projet'!$A$62,$AF$205^A19,IF(A19='Données projet'!$A$62,'Données projet'!$B$62,AI18+AH19-AQ18)))</f>
        <v>120.59999999999998</v>
      </c>
      <c r="AJ19" s="13">
        <f>AI19*VLOOKUP('Données projet'!$B$10,Paramètres!$A$1:$I$89,3,0)*VLOOKUP('Données projet'!$B$10,Paramètres!$A$1:$I$89,5,0)</f>
        <v>65.847599999999986</v>
      </c>
      <c r="AK19" s="13">
        <f t="shared" si="35"/>
        <v>18.63862905611526</v>
      </c>
      <c r="AL19" s="20">
        <f t="shared" si="4"/>
        <v>147.14684893940071</v>
      </c>
      <c r="AM19" s="59">
        <f t="shared" si="5"/>
        <v>440.48018227273406</v>
      </c>
      <c r="AN19" s="59">
        <f ca="1">AVERAGE(OFFSET($AM$3,0,0,'Données projet'!$E$10+1,1))-AVERAGE(OFFSET($H$3,0,0,'Données projet'!$E$10+1,1))</f>
        <v>210.04871822652808</v>
      </c>
      <c r="AO19" s="59">
        <f t="shared" si="36"/>
        <v>250.17540614049324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5.3</v>
      </c>
      <c r="BD19" s="12">
        <f>IF('Données projet'!$A$88&gt;35,BD18+BC19-BL18,IF(A19&lt;'Données projet'!$A$88,$BA$205^A19,IF(A19='Données projet'!$A$88,'Données projet'!$B$88,BD18+BC19-BL18)))</f>
        <v>41.710432413181543</v>
      </c>
      <c r="BE19" s="13">
        <f>BD19*VLOOKUP('Données projet'!$B$11,Paramètres!$A$1:$I$89,3,0)*VLOOKUP('Données projet'!$B$11,Paramètres!$A$1:$I$89,5,0)</f>
        <v>24.942838583082565</v>
      </c>
      <c r="BF19" s="13">
        <f t="shared" si="37"/>
        <v>7.9048465011463138</v>
      </c>
      <c r="BG19" s="20">
        <f t="shared" si="7"/>
        <v>57.209718188365294</v>
      </c>
      <c r="BH19" s="59">
        <f t="shared" si="8"/>
        <v>350.5430515216986</v>
      </c>
      <c r="BI19" s="59">
        <f ca="1">AVERAGE(OFFSET($BH$3,0,0,'Données projet'!$E$11+1,1))-AVERAGE(OFFSET($H$3,0,0,'Données projet'!$E$11+1,1))</f>
        <v>316.58509520829671</v>
      </c>
      <c r="BJ19" s="59">
        <f t="shared" si="38"/>
        <v>240.71332110643596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12.3</v>
      </c>
      <c r="BY19" s="12">
        <f>IF('Données projet'!$A$114&gt;35,BY18+BX19-CG18,IF(A19&lt;'Données projet'!$A$114,$BV$205^A19,IF(A19='Données projet'!$A$114,'Données projet'!$B$114,BY18+BX19-CG18)))</f>
        <v>84.8</v>
      </c>
      <c r="BZ19" s="13">
        <f>BY19*VLOOKUP('Données projet'!$B$12,Paramètres!$A$1:$I$89,3,0)*VLOOKUP('Données projet'!$B$12,Paramètres!$A$1:$I$89,5,0)</f>
        <v>67.466880000000003</v>
      </c>
      <c r="CA19" s="13">
        <f t="shared" si="39"/>
        <v>19.043051531232432</v>
      </c>
      <c r="CB19" s="20">
        <f t="shared" si="10"/>
        <v>150.67146408356317</v>
      </c>
      <c r="CC19" s="59">
        <f t="shared" si="11"/>
        <v>444.00479741689651</v>
      </c>
      <c r="CD19" s="59">
        <f ca="1">AVERAGE(OFFSET($CC$3,0,0,'Données projet'!$E$12+1,1))-AVERAGE(OFFSET($H$3,0,0,'Données projet'!$E$12+1,1))</f>
        <v>260.20517190557814</v>
      </c>
      <c r="CE19" s="59">
        <f t="shared" si="40"/>
        <v>307.22009971147133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</v>
      </c>
      <c r="CT19" s="12">
        <f>IF('Données projet'!$A$140&gt;35,CT18+CS19-DB18,IF(A19&lt;'Données projet'!$A$140,$CQ$205^A19,IF(A19='Données projet'!$A$140,'Données projet'!$B$140,CT18+CS19-DB18)))</f>
        <v>19.127049995800764</v>
      </c>
      <c r="CU19" s="17">
        <f>CT19*VLOOKUP('Données projet'!$B$13,Paramètres!$A$1:$I$89,3,0)*VLOOKUP('Données projet'!$B$13,Paramètres!$A$1:$I$89,5,0)</f>
        <v>16.411008896397057</v>
      </c>
      <c r="CV19" s="13">
        <f t="shared" si="41"/>
        <v>5.4606658142441473</v>
      </c>
      <c r="CW19" s="20">
        <f t="shared" si="13"/>
        <v>38.093166787700099</v>
      </c>
      <c r="CX19" s="59">
        <f t="shared" si="14"/>
        <v>331.42650012103343</v>
      </c>
      <c r="CY19" s="59">
        <f ca="1">AVERAGE(OFFSET($CX$3,0,0,'Données projet'!$E$13+1,1))-AVERAGE(OFFSET($H$3,0,0,'Données projet'!$E$13+1,1))</f>
        <v>310.4018929413723</v>
      </c>
      <c r="CZ19" s="59">
        <f t="shared" si="42"/>
        <v>127.5231137583819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>
        <f>DO19*VLOOKUP('Données projet'!$B$14,Paramètres!$A$1:$I$89,3,0)*VLOOKUP('Données projet'!$B$14,Paramètres!$A$1:$I$89,5,0)</f>
        <v>62.175359999999991</v>
      </c>
      <c r="DQ19" s="13">
        <f t="shared" si="43"/>
        <v>17.717123083906696</v>
      </c>
      <c r="DR19" s="20">
        <f t="shared" si="16"/>
        <v>139.14607470447081</v>
      </c>
      <c r="DS19" s="59">
        <f t="shared" si="17"/>
        <v>432.47940803780409</v>
      </c>
      <c r="DT19" s="59">
        <f ca="1">AVERAGE(OFFSET($DS$3,0,0,'Données projet'!$E$14+1,1))-AVERAGE(OFFSET($H$3,0,0,'Données projet'!$E$14+1,1))</f>
        <v>234.09142087023463</v>
      </c>
      <c r="DU19" s="59">
        <f t="shared" si="44"/>
        <v>278.990685815294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14.1</v>
      </c>
      <c r="AI20" s="13">
        <f>IF('Données projet'!$A$62&gt;35,AI19+AH20-AQ19,IF(A20&lt;'Données projet'!$A$62,$AF$205^A20,IF(A20='Données projet'!$A$62,'Données projet'!$B$62,AI19+AH20-AQ19)))</f>
        <v>134.69999999999999</v>
      </c>
      <c r="AJ20" s="13">
        <f>AI20*VLOOKUP('Données projet'!$B$10,Paramètres!$A$1:$I$89,3,0)*VLOOKUP('Données projet'!$B$10,Paramètres!$A$1:$I$89,5,0)</f>
        <v>73.546199999999985</v>
      </c>
      <c r="AK20" s="13">
        <f t="shared" si="35"/>
        <v>20.551555184696866</v>
      </c>
      <c r="AL20" s="20">
        <f t="shared" si="4"/>
        <v>163.88692361334699</v>
      </c>
      <c r="AM20" s="59">
        <f t="shared" si="5"/>
        <v>457.22025694668031</v>
      </c>
      <c r="AN20" s="59">
        <f ca="1">AVERAGE(OFFSET($AM$3,0,0,'Données projet'!$E$10+1,1))-AVERAGE(OFFSET($H$3,0,0,'Données projet'!$E$10+1,1))</f>
        <v>210.04871822652808</v>
      </c>
      <c r="AO20" s="59">
        <f t="shared" si="36"/>
        <v>250.17540614049324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5.3</v>
      </c>
      <c r="BD20" s="12">
        <f>IF('Données projet'!$A$88&gt;35,BD19+BC20-BL19,IF(A20&lt;'Données projet'!$A$88,$BA$205^A20,IF(A20='Données projet'!$A$88,'Données projet'!$B$88,BD19+BC20-BL19)))</f>
        <v>52.663532336786751</v>
      </c>
      <c r="BE20" s="13">
        <f>BD20*VLOOKUP('Données projet'!$B$11,Paramètres!$A$1:$I$89,3,0)*VLOOKUP('Données projet'!$B$11,Paramètres!$A$1:$I$89,5,0)</f>
        <v>31.49279233739848</v>
      </c>
      <c r="BF20" s="13">
        <f t="shared" si="37"/>
        <v>9.7134040428402315</v>
      </c>
      <c r="BG20" s="20">
        <f t="shared" si="7"/>
        <v>71.76745869558242</v>
      </c>
      <c r="BH20" s="59">
        <f t="shared" si="8"/>
        <v>365.10079202891575</v>
      </c>
      <c r="BI20" s="59">
        <f ca="1">AVERAGE(OFFSET($BH$3,0,0,'Données projet'!$E$11+1,1))-AVERAGE(OFFSET($H$3,0,0,'Données projet'!$E$11+1,1))</f>
        <v>316.58509520829671</v>
      </c>
      <c r="BJ20" s="59">
        <f t="shared" si="38"/>
        <v>240.71332110643596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12.3</v>
      </c>
      <c r="BY20" s="12">
        <f>IF('Données projet'!$A$114&gt;35,BY19+BX20-CG19,IF(A20&lt;'Données projet'!$A$114,$BV$205^A20,IF(A20='Données projet'!$A$114,'Données projet'!$B$114,BY19+BX20-CG19)))</f>
        <v>97.1</v>
      </c>
      <c r="BZ20" s="13">
        <f>BY20*VLOOKUP('Données projet'!$B$12,Paramètres!$A$1:$I$89,3,0)*VLOOKUP('Données projet'!$B$12,Paramètres!$A$1:$I$89,5,0)</f>
        <v>77.252760000000009</v>
      </c>
      <c r="CA20" s="13">
        <f t="shared" si="39"/>
        <v>21.4641096918828</v>
      </c>
      <c r="CB20" s="20">
        <f t="shared" si="10"/>
        <v>171.93188138002924</v>
      </c>
      <c r="CC20" s="59">
        <f t="shared" si="11"/>
        <v>465.26521471336252</v>
      </c>
      <c r="CD20" s="59">
        <f ca="1">AVERAGE(OFFSET($CC$3,0,0,'Données projet'!$E$12+1,1))-AVERAGE(OFFSET($H$3,0,0,'Données projet'!$E$12+1,1))</f>
        <v>260.20517190557814</v>
      </c>
      <c r="CE20" s="59">
        <f t="shared" si="40"/>
        <v>307.22009971147133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</v>
      </c>
      <c r="CT20" s="12">
        <f>IF('Données projet'!$A$140&gt;35,CT19+CS20-DB19,IF(A20&lt;'Données projet'!$A$140,$CQ$205^A20,IF(A20='Données projet'!$A$140,'Données projet'!$B$140,CT19+CS20-DB19)))</f>
        <v>23.001226394252466</v>
      </c>
      <c r="CU20" s="17">
        <f>CT20*VLOOKUP('Données projet'!$B$13,Paramètres!$A$1:$I$89,3,0)*VLOOKUP('Données projet'!$B$13,Paramètres!$A$1:$I$89,5,0)</f>
        <v>19.735052246268616</v>
      </c>
      <c r="CV20" s="13">
        <f t="shared" si="41"/>
        <v>6.4272413654822858</v>
      </c>
      <c r="CW20" s="20">
        <f t="shared" si="13"/>
        <v>45.565994707132809</v>
      </c>
      <c r="CX20" s="59">
        <f t="shared" si="14"/>
        <v>338.89932804046612</v>
      </c>
      <c r="CY20" s="59">
        <f ca="1">AVERAGE(OFFSET($CX$3,0,0,'Données projet'!$E$13+1,1))-AVERAGE(OFFSET($H$3,0,0,'Données projet'!$E$13+1,1))</f>
        <v>310.4018929413723</v>
      </c>
      <c r="CZ20" s="59">
        <f t="shared" si="42"/>
        <v>127.5231137583819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>
        <f>DO20*VLOOKUP('Données projet'!$B$14,Paramètres!$A$1:$I$89,3,0)*VLOOKUP('Données projet'!$B$14,Paramètres!$A$1:$I$89,5,0)</f>
        <v>71.193719999999999</v>
      </c>
      <c r="DQ20" s="13">
        <f t="shared" si="43"/>
        <v>19.969607952478761</v>
      </c>
      <c r="DR20" s="20">
        <f t="shared" si="16"/>
        <v>158.77612951723384</v>
      </c>
      <c r="DS20" s="59">
        <f t="shared" si="17"/>
        <v>452.10946285056718</v>
      </c>
      <c r="DT20" s="59">
        <f ca="1">AVERAGE(OFFSET($DS$3,0,0,'Données projet'!$E$14+1,1))-AVERAGE(OFFSET($H$3,0,0,'Données projet'!$E$14+1,1))</f>
        <v>234.09142087023463</v>
      </c>
      <c r="DU20" s="59">
        <f t="shared" si="44"/>
        <v>278.990685815294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14.1</v>
      </c>
      <c r="AI21" s="13">
        <f>IF('Données projet'!$A$62&gt;35,AI20+AH21-AQ20,IF(A21&lt;'Données projet'!$A$62,$AF$205^A21,IF(A21='Données projet'!$A$62,'Données projet'!$B$62,AI20+AH21-AQ20)))</f>
        <v>148.79999999999998</v>
      </c>
      <c r="AJ21" s="13">
        <f>AI21*VLOOKUP('Données projet'!$B$10,Paramètres!$A$1:$I$89,3,0)*VLOOKUP('Données projet'!$B$10,Paramètres!$A$1:$I$89,5,0)</f>
        <v>81.244799999999984</v>
      </c>
      <c r="AK21" s="13">
        <f t="shared" si="35"/>
        <v>22.441270156928962</v>
      </c>
      <c r="AL21" s="20">
        <f t="shared" si="4"/>
        <v>180.58657218998459</v>
      </c>
      <c r="AM21" s="59">
        <f t="shared" si="5"/>
        <v>473.91990552331788</v>
      </c>
      <c r="AN21" s="59">
        <f ca="1">AVERAGE(OFFSET($AM$3,0,0,'Données projet'!$E$10+1,1))-AVERAGE(OFFSET($H$3,0,0,'Données projet'!$E$10+1,1))</f>
        <v>210.04871822652808</v>
      </c>
      <c r="AO21" s="59">
        <f t="shared" si="36"/>
        <v>250.17540614049324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5.3</v>
      </c>
      <c r="BD21" s="12">
        <f>IF('Données projet'!$A$88&gt;35,BD20+BC21-BL20,IF(A21&lt;'Données projet'!$A$88,$BA$205^A21,IF(A21='Données projet'!$A$88,'Données projet'!$B$88,BD20+BC21-BL20)))</f>
        <v>66.492900642077856</v>
      </c>
      <c r="BE21" s="13">
        <f>BD21*VLOOKUP('Données projet'!$B$11,Paramètres!$A$1:$I$89,3,0)*VLOOKUP('Données projet'!$B$11,Paramètres!$A$1:$I$89,5,0)</f>
        <v>39.762754583962561</v>
      </c>
      <c r="BF21" s="13">
        <f t="shared" si="37"/>
        <v>11.935743228636118</v>
      </c>
      <c r="BG21" s="20">
        <f t="shared" si="7"/>
        <v>90.041550356942707</v>
      </c>
      <c r="BH21" s="59">
        <f t="shared" si="8"/>
        <v>383.37488369027602</v>
      </c>
      <c r="BI21" s="59">
        <f ca="1">AVERAGE(OFFSET($BH$3,0,0,'Données projet'!$E$11+1,1))-AVERAGE(OFFSET($H$3,0,0,'Données projet'!$E$11+1,1))</f>
        <v>316.58509520829671</v>
      </c>
      <c r="BJ21" s="59">
        <f t="shared" si="38"/>
        <v>240.71332110643596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12.3</v>
      </c>
      <c r="BY21" s="12">
        <f>IF('Données projet'!$A$114&gt;35,BY20+BX21-CG20,IF(A21&lt;'Données projet'!$A$114,$BV$205^A21,IF(A21='Données projet'!$A$114,'Données projet'!$B$114,BY20+BX21-CG20)))</f>
        <v>109.39999999999999</v>
      </c>
      <c r="BZ21" s="13">
        <f>BY21*VLOOKUP('Données projet'!$B$12,Paramètres!$A$1:$I$89,3,0)*VLOOKUP('Données projet'!$B$12,Paramètres!$A$1:$I$89,5,0)</f>
        <v>87.038640000000001</v>
      </c>
      <c r="CA21" s="13">
        <f t="shared" si="39"/>
        <v>23.849631507508057</v>
      </c>
      <c r="CB21" s="20">
        <f t="shared" si="10"/>
        <v>193.13040620890987</v>
      </c>
      <c r="CC21" s="59">
        <f t="shared" si="11"/>
        <v>486.46373954224316</v>
      </c>
      <c r="CD21" s="59">
        <f ca="1">AVERAGE(OFFSET($CC$3,0,0,'Données projet'!$E$12+1,1))-AVERAGE(OFFSET($H$3,0,0,'Données projet'!$E$12+1,1))</f>
        <v>260.20517190557814</v>
      </c>
      <c r="CE21" s="59">
        <f t="shared" si="40"/>
        <v>307.22009971147133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</v>
      </c>
      <c r="CT21" s="12">
        <f>IF('Données projet'!$A$140&gt;35,CT20+CS21-DB20,IF(A21&lt;'Données projet'!$A$140,$CQ$205^A21,IF(A21='Données projet'!$A$140,'Données projet'!$B$140,CT20+CS21-DB20)))</f>
        <v>27.660115687249608</v>
      </c>
      <c r="CU21" s="17">
        <f>CT21*VLOOKUP('Données projet'!$B$13,Paramètres!$A$1:$I$89,3,0)*VLOOKUP('Données projet'!$B$13,Paramètres!$A$1:$I$89,5,0)</f>
        <v>23.732379259660167</v>
      </c>
      <c r="CV21" s="13">
        <f t="shared" si="41"/>
        <v>7.5649074628245767</v>
      </c>
      <c r="CW21" s="20">
        <f t="shared" si="13"/>
        <v>54.509441041660921</v>
      </c>
      <c r="CX21" s="59">
        <f t="shared" si="14"/>
        <v>347.84277437499424</v>
      </c>
      <c r="CY21" s="59">
        <f ca="1">AVERAGE(OFFSET($CX$3,0,0,'Données projet'!$E$13+1,1))-AVERAGE(OFFSET($H$3,0,0,'Données projet'!$E$13+1,1))</f>
        <v>310.4018929413723</v>
      </c>
      <c r="CZ21" s="59">
        <f t="shared" si="42"/>
        <v>127.5231137583819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>
        <f>DO21*VLOOKUP('Données projet'!$B$14,Paramètres!$A$1:$I$89,3,0)*VLOOKUP('Données projet'!$B$14,Paramètres!$A$1:$I$89,5,0)</f>
        <v>80.212079999999986</v>
      </c>
      <c r="DQ21" s="13">
        <f t="shared" si="43"/>
        <v>22.189030798521017</v>
      </c>
      <c r="DR21" s="20">
        <f t="shared" si="16"/>
        <v>178.34860130742405</v>
      </c>
      <c r="DS21" s="59">
        <f t="shared" si="17"/>
        <v>471.68193464075739</v>
      </c>
      <c r="DT21" s="59">
        <f ca="1">AVERAGE(OFFSET($DS$3,0,0,'Données projet'!$E$14+1,1))-AVERAGE(OFFSET($H$3,0,0,'Données projet'!$E$14+1,1))</f>
        <v>234.09142087023463</v>
      </c>
      <c r="DU21" s="59">
        <f t="shared" si="44"/>
        <v>278.990685815294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14.1</v>
      </c>
      <c r="AI22" s="13">
        <f>IF('Données projet'!$A$62&gt;35,AI21+AH22-AQ21,IF(A22&lt;'Données projet'!$A$62,$AF$205^A22,IF(A22='Données projet'!$A$62,'Données projet'!$B$62,AI21+AH22-AQ21)))</f>
        <v>162.89999999999998</v>
      </c>
      <c r="AJ22" s="13">
        <f>AI22*VLOOKUP('Données projet'!$B$10,Paramètres!$A$1:$I$89,3,0)*VLOOKUP('Données projet'!$B$10,Paramètres!$A$1:$I$89,5,0)</f>
        <v>88.943399999999997</v>
      </c>
      <c r="AK22" s="13">
        <f t="shared" si="35"/>
        <v>24.310223636565393</v>
      </c>
      <c r="AL22" s="20">
        <f t="shared" si="4"/>
        <v>197.25006116701806</v>
      </c>
      <c r="AM22" s="59">
        <f t="shared" si="5"/>
        <v>490.58339450035135</v>
      </c>
      <c r="AN22" s="59">
        <f ca="1">AVERAGE(OFFSET($AM$3,0,0,'Données projet'!$E$10+1,1))-AVERAGE(OFFSET($H$3,0,0,'Données projet'!$E$10+1,1))</f>
        <v>210.04871822652808</v>
      </c>
      <c r="AO22" s="59">
        <f t="shared" si="36"/>
        <v>250.17540614049324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5.3</v>
      </c>
      <c r="BD22" s="12">
        <f>IF('Données projet'!$A$88&gt;35,BD21+BC22-BL21,IF(A22&lt;'Données projet'!$A$88,$BA$205^A22,IF(A22='Données projet'!$A$88,'Données projet'!$B$88,BD21+BC22-BL21)))</f>
        <v>83.953841294250751</v>
      </c>
      <c r="BE22" s="13">
        <f>BD22*VLOOKUP('Données projet'!$B$11,Paramètres!$A$1:$I$89,3,0)*VLOOKUP('Données projet'!$B$11,Paramètres!$A$1:$I$89,5,0)</f>
        <v>50.204397093961951</v>
      </c>
      <c r="BF22" s="13">
        <f t="shared" si="37"/>
        <v>14.666533564506853</v>
      </c>
      <c r="BG22" s="20">
        <f t="shared" si="7"/>
        <v>112.98353756349984</v>
      </c>
      <c r="BH22" s="59">
        <f t="shared" si="8"/>
        <v>406.31687089683317</v>
      </c>
      <c r="BI22" s="59">
        <f ca="1">AVERAGE(OFFSET($BH$3,0,0,'Données projet'!$E$11+1,1))-AVERAGE(OFFSET($H$3,0,0,'Données projet'!$E$11+1,1))</f>
        <v>316.58509520829671</v>
      </c>
      <c r="BJ22" s="59">
        <f t="shared" si="38"/>
        <v>240.71332110643596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12.3</v>
      </c>
      <c r="BY22" s="12">
        <f>IF('Données projet'!$A$114&gt;35,BY21+BX22-CG21,IF(A22&lt;'Données projet'!$A$114,$BV$205^A22,IF(A22='Données projet'!$A$114,'Données projet'!$B$114,BY21+BX22-CG21)))</f>
        <v>121.69999999999999</v>
      </c>
      <c r="BZ22" s="13">
        <f>BY22*VLOOKUP('Données projet'!$B$12,Paramètres!$A$1:$I$89,3,0)*VLOOKUP('Données projet'!$B$12,Paramètres!$A$1:$I$89,5,0)</f>
        <v>96.824519999999993</v>
      </c>
      <c r="CA22" s="13">
        <f t="shared" si="39"/>
        <v>26.20406828580953</v>
      </c>
      <c r="CB22" s="20">
        <f t="shared" si="10"/>
        <v>214.27479126445158</v>
      </c>
      <c r="CC22" s="59">
        <f t="shared" si="11"/>
        <v>507.60812459778492</v>
      </c>
      <c r="CD22" s="59">
        <f ca="1">AVERAGE(OFFSET($CC$3,0,0,'Données projet'!$E$12+1,1))-AVERAGE(OFFSET($H$3,0,0,'Données projet'!$E$12+1,1))</f>
        <v>260.20517190557814</v>
      </c>
      <c r="CE22" s="59">
        <f t="shared" si="40"/>
        <v>307.22009971147133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</v>
      </c>
      <c r="CT22" s="12">
        <f>IF('Données projet'!$A$140&gt;35,CT21+CS22-DB21,IF(A22&lt;'Données projet'!$A$140,$CQ$205^A22,IF(A22='Données projet'!$A$140,'Données projet'!$B$140,CT21+CS22-DB21)))</f>
        <v>33.262661160676636</v>
      </c>
      <c r="CU22" s="17">
        <f>CT22*VLOOKUP('Données projet'!$B$13,Paramètres!$A$1:$I$89,3,0)*VLOOKUP('Données projet'!$B$13,Paramètres!$A$1:$I$89,5,0)</f>
        <v>28.539363275860556</v>
      </c>
      <c r="CV22" s="13">
        <f t="shared" si="41"/>
        <v>8.9039483141932294</v>
      </c>
      <c r="CW22" s="20">
        <f t="shared" si="13"/>
        <v>65.213767686010328</v>
      </c>
      <c r="CX22" s="59">
        <f t="shared" si="14"/>
        <v>358.54710101934364</v>
      </c>
      <c r="CY22" s="59">
        <f ca="1">AVERAGE(OFFSET($CX$3,0,0,'Données projet'!$E$13+1,1))-AVERAGE(OFFSET($H$3,0,0,'Données projet'!$E$13+1,1))</f>
        <v>310.4018929413723</v>
      </c>
      <c r="CZ22" s="59">
        <f t="shared" si="42"/>
        <v>127.5231137583819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>
        <f>DO22*VLOOKUP('Données projet'!$B$14,Paramètres!$A$1:$I$89,3,0)*VLOOKUP('Données projet'!$B$14,Paramètres!$A$1:$I$89,5,0)</f>
        <v>89.230439999999987</v>
      </c>
      <c r="DQ22" s="13">
        <f t="shared" si="43"/>
        <v>24.379532994349749</v>
      </c>
      <c r="DR22" s="20">
        <f t="shared" si="16"/>
        <v>197.87070296515913</v>
      </c>
      <c r="DS22" s="59">
        <f t="shared" si="17"/>
        <v>491.20403629849244</v>
      </c>
      <c r="DT22" s="59">
        <f ca="1">AVERAGE(OFFSET($DS$3,0,0,'Données projet'!$E$14+1,1))-AVERAGE(OFFSET($H$3,0,0,'Données projet'!$E$14+1,1))</f>
        <v>234.09142087023463</v>
      </c>
      <c r="DU22" s="59">
        <f t="shared" si="44"/>
        <v>278.990685815294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177</v>
      </c>
      <c r="AG23" s="12">
        <f>VLOOKUP(A23,'Données projet'!$A$61:$I$81,9,0)</f>
        <v>14.1</v>
      </c>
      <c r="AH23" s="12">
        <f t="array" ref="AH23">INDEX(AG:AG,MIN(IF(ISNUMBER(AG23:AG219),ROW(AG23:AG219),"")))</f>
        <v>14.1</v>
      </c>
      <c r="AI23" s="13">
        <f>IF('Données projet'!$A$62&gt;35,AI22+AH23-AQ22,IF(A23&lt;'Données projet'!$A$62,$AF$205^A23,IF(A23='Données projet'!$A$62,'Données projet'!$B$62,AI22+AH23-AQ22)))</f>
        <v>176.99999999999997</v>
      </c>
      <c r="AJ23" s="13">
        <f>AI23*VLOOKUP('Données projet'!$B$10,Paramètres!$A$1:$I$89,3,0)*VLOOKUP('Données projet'!$B$10,Paramètres!$A$1:$I$89,5,0)</f>
        <v>96.641999999999996</v>
      </c>
      <c r="AK23" s="13">
        <f t="shared" si="35"/>
        <v>26.160416982548217</v>
      </c>
      <c r="AL23" s="20">
        <f t="shared" si="4"/>
        <v>213.88087624460479</v>
      </c>
      <c r="AM23" s="59">
        <f t="shared" si="5"/>
        <v>507.21420957793811</v>
      </c>
      <c r="AN23" s="59">
        <f ca="1">AVERAGE(OFFSET($AM$3,0,0,'Données projet'!$E$10+1,1))-AVERAGE(OFFSET($H$3,0,0,'Données projet'!$E$10+1,1))</f>
        <v>210.04871822652808</v>
      </c>
      <c r="AO23" s="59">
        <f t="shared" si="36"/>
        <v>250.17540614049324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81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17.531291645290491</v>
      </c>
      <c r="AW23" s="21">
        <f>EXP(-LN(2)/2)*AW22+(1-EXP(-LN(2)/2))/(LN(2)/2)*AQ23*AT23*VLOOKUP('Données projet'!$B$10,Paramètres!$A$1:$I$89,3,0)*0.475*44/12</f>
        <v>25.037052795202737</v>
      </c>
      <c r="AX23" s="21">
        <f t="shared" si="6"/>
        <v>42.568344440493227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106</v>
      </c>
      <c r="BB23" s="12">
        <f>VLOOKUP(A23,'Données projet'!$A$87:$I$107,9,0)</f>
        <v>5.3</v>
      </c>
      <c r="BC23" s="12">
        <f t="array" ref="BC23">INDEX(BB:BB,MIN(IF(ISNUMBER(BB23:BB219),ROW(BB23:BB219),"")))</f>
        <v>5.3</v>
      </c>
      <c r="BD23" s="12">
        <f>IF('Données projet'!$A$88&gt;35,BD22+BC23-BL22,IF(A23&lt;'Données projet'!$A$88,$BA$205^A23,IF(A23='Données projet'!$A$88,'Données projet'!$B$88,BD22+BC23-BL22)))</f>
        <v>106</v>
      </c>
      <c r="BE23" s="13">
        <f>BD23*VLOOKUP('Données projet'!$B$11,Paramètres!$A$1:$I$89,3,0)*VLOOKUP('Données projet'!$B$11,Paramètres!$A$1:$I$89,5,0)</f>
        <v>63.388000000000012</v>
      </c>
      <c r="BF23" s="13">
        <f t="shared" si="37"/>
        <v>18.022104085041263</v>
      </c>
      <c r="BG23" s="20">
        <f t="shared" si="7"/>
        <v>141.78926461478019</v>
      </c>
      <c r="BH23" s="59">
        <f t="shared" si="8"/>
        <v>435.12259794811348</v>
      </c>
      <c r="BI23" s="59">
        <f ca="1">AVERAGE(OFFSET($BH$3,0,0,'Données projet'!$E$11+1,1))-AVERAGE(OFFSET($H$3,0,0,'Données projet'!$E$11+1,1))</f>
        <v>316.58509520829671</v>
      </c>
      <c r="BJ23" s="59">
        <f t="shared" si="38"/>
        <v>240.71332110643596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5.1558075517675315</v>
      </c>
      <c r="BR23" s="21">
        <f>EXP(-LN(2)/2)*BR22+(1-EXP(-LN(2)/2))/(LN(2)/2)*BL23*BO23*VLOOKUP('Données projet'!$B$11,Paramètres!$A$1:$I$89,3,0)*0.475*44/12</f>
        <v>9.8175862518519867</v>
      </c>
      <c r="BS23" s="22">
        <f t="shared" si="9"/>
        <v>14.973393803619519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134</v>
      </c>
      <c r="BW23" s="12">
        <f>VLOOKUP(A23,'Données projet'!$A$113:$I$133,9,0)</f>
        <v>12.3</v>
      </c>
      <c r="BX23" s="12">
        <f t="array" ref="BX23">INDEX(BW:BW,MIN(IF(ISNUMBER(BW23:BW219),ROW(BW23:BW219),"")))</f>
        <v>12.3</v>
      </c>
      <c r="BY23" s="12">
        <f>IF('Données projet'!$A$114&gt;35,BY22+BX23-CG22,IF(A23&lt;'Données projet'!$A$114,$BV$205^A23,IF(A23='Données projet'!$A$114,'Données projet'!$B$114,BY22+BX23-CG22)))</f>
        <v>134</v>
      </c>
      <c r="BZ23" s="13">
        <f>BY23*VLOOKUP('Données projet'!$B$12,Paramètres!$A$1:$I$89,3,0)*VLOOKUP('Données projet'!$B$12,Paramètres!$A$1:$I$89,5,0)</f>
        <v>106.61040000000001</v>
      </c>
      <c r="CA23" s="13">
        <f t="shared" si="39"/>
        <v>28.530919434405451</v>
      </c>
      <c r="CB23" s="20">
        <f t="shared" si="10"/>
        <v>235.3711313482562</v>
      </c>
      <c r="CC23" s="59">
        <f t="shared" si="11"/>
        <v>528.70446468158957</v>
      </c>
      <c r="CD23" s="59">
        <f ca="1">AVERAGE(OFFSET($CC$3,0,0,'Données projet'!$E$12+1,1))-AVERAGE(OFFSET($H$3,0,0,'Données projet'!$E$12+1,1))</f>
        <v>260.20517190557814</v>
      </c>
      <c r="CE23" s="59">
        <f t="shared" si="40"/>
        <v>307.22009971147133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7.7771272982896171</v>
      </c>
      <c r="CM23" s="21">
        <f>EXP(-LN(2)/2)*CM22+(1-EXP(-LN(2)/2))/(LN(2)/2)*CG23*CJ23*VLOOKUP('Données projet'!$B$12,Paramètres!$A$1:$I$89,3,0)*0.475*44/12</f>
        <v>12.573722722105785</v>
      </c>
      <c r="CN23" s="22">
        <f t="shared" si="12"/>
        <v>20.350850020395402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40</v>
      </c>
      <c r="CR23" s="12">
        <f>VLOOKUP(A23,'Données projet'!$A$139:$I$159,9,0)</f>
        <v>2</v>
      </c>
      <c r="CS23" s="12">
        <f t="array" ref="CS23">INDEX(CR:CR,MIN(IF(ISNUMBER(CR23:CR219),ROW(CR23:CR219),"")))</f>
        <v>2</v>
      </c>
      <c r="CT23" s="12">
        <f>IF('Données projet'!$A$140&gt;35,CT22+CS23-DB22,IF(A23&lt;'Données projet'!$A$140,$CQ$205^A23,IF(A23='Données projet'!$A$140,'Données projet'!$B$140,CT22+CS23-DB22)))</f>
        <v>40</v>
      </c>
      <c r="CU23" s="17">
        <f>CT23*VLOOKUP('Données projet'!$B$13,Paramètres!$A$1:$I$89,3,0)*VLOOKUP('Données projet'!$B$13,Paramètres!$A$1:$I$89,5,0)</f>
        <v>34.32</v>
      </c>
      <c r="CV23" s="13">
        <f t="shared" si="41"/>
        <v>10.480008641404153</v>
      </c>
      <c r="CW23" s="20">
        <f t="shared" si="13"/>
        <v>78.026681717112226</v>
      </c>
      <c r="CX23" s="59">
        <f t="shared" si="14"/>
        <v>371.36001505044555</v>
      </c>
      <c r="CY23" s="59">
        <f ca="1">AVERAGE(OFFSET($CX$3,0,0,'Données projet'!$E$13+1,1))-AVERAGE(OFFSET($H$3,0,0,'Données projet'!$E$13+1,1))</f>
        <v>310.4018929413723</v>
      </c>
      <c r="CZ23" s="59">
        <f t="shared" si="42"/>
        <v>127.5231137583819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4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0.50072227264375646</v>
      </c>
      <c r="DH23" s="21">
        <f>EXP(-LN(2)/2)*DH22+(1-EXP(-LN(2)/2))/(LN(2)/2)*DB23*DE23*VLOOKUP('Données projet'!$B$13,Paramètres!$A$1:$I$89,3,0)*0.475*44/12</f>
        <v>0.80954609273142319</v>
      </c>
      <c r="DI23" s="22">
        <f t="shared" si="15"/>
        <v>1.3102683653751797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>
        <f>DO23*VLOOKUP('Données projet'!$B$14,Paramètres!$A$1:$I$89,3,0)*VLOOKUP('Données projet'!$B$14,Paramètres!$A$1:$I$89,5,0)</f>
        <v>98.248800000000003</v>
      </c>
      <c r="DQ23" s="13">
        <f t="shared" si="43"/>
        <v>26.544370291039833</v>
      </c>
      <c r="DR23" s="20">
        <f t="shared" si="16"/>
        <v>217.34810492356107</v>
      </c>
      <c r="DS23" s="59">
        <f t="shared" si="17"/>
        <v>510.68143825689435</v>
      </c>
      <c r="DT23" s="59">
        <f ca="1">AVERAGE(OFFSET($DS$3,0,0,'Données projet'!$E$14+1,1))-AVERAGE(OFFSET($H$3,0,0,'Données projet'!$E$14+1,1))</f>
        <v>234.09142087023463</v>
      </c>
      <c r="DU23" s="59">
        <f t="shared" si="44"/>
        <v>278.990685815294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67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5.8148628449290847</v>
      </c>
      <c r="EC23" s="21">
        <f>EXP(-LN(2)/2)*EC22+(1-EXP(-LN(2)/2))/(LN(2)/2)*DW23*DZ23*VLOOKUP('Données projet'!$B$14,Paramètres!$A$1:$I$89,3,0)*0.475*44/12</f>
        <v>11.587548390960231</v>
      </c>
      <c r="ED23" s="22">
        <f t="shared" si="18"/>
        <v>17.402411235889318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16.399999999999999</v>
      </c>
      <c r="AI24" s="13">
        <f>IF('Données projet'!$A$62&gt;35,AI23+AH24-AQ23,IF(A24&lt;'Données projet'!$A$62,$AF$205^A24,IF(A24='Données projet'!$A$62,'Données projet'!$B$62,AI23+AH24-AQ23)))</f>
        <v>112.39999999999998</v>
      </c>
      <c r="AJ24" s="13">
        <f>AI24*VLOOKUP('Données projet'!$B$10,Paramètres!$A$1:$I$89,3,0)*VLOOKUP('Données projet'!$B$10,Paramètres!$A$1:$I$89,5,0)</f>
        <v>61.370399999999989</v>
      </c>
      <c r="AK24" s="13">
        <f t="shared" si="35"/>
        <v>17.514292424921972</v>
      </c>
      <c r="AL24" s="20">
        <f t="shared" si="4"/>
        <v>137.39083930673908</v>
      </c>
      <c r="AM24" s="59">
        <f t="shared" si="5"/>
        <v>430.72417264007242</v>
      </c>
      <c r="AN24" s="59">
        <f ca="1">AVERAGE(OFFSET($AM$3,0,0,'Données projet'!$E$10+1,1))-AVERAGE(OFFSET($H$3,0,0,'Données projet'!$E$10+1,1))</f>
        <v>210.04871822652808</v>
      </c>
      <c r="AO24" s="59">
        <f t="shared" si="36"/>
        <v>250.17540614049324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17.051897553319463</v>
      </c>
      <c r="AW24" s="21">
        <f>EXP(-LN(2)/2)*AW23+(1-EXP(-LN(2)/2))/(LN(2)/2)*AQ24*AT24*VLOOKUP('Données projet'!$B$10,Paramètres!$A$1:$I$89,3,0)*0.475*44/12</f>
        <v>17.703869812413462</v>
      </c>
      <c r="AX24" s="21">
        <f t="shared" si="6"/>
        <v>34.755767365732922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15.3</v>
      </c>
      <c r="BD24" s="12">
        <f>IF('Données projet'!$A$88&gt;35,BD23+BC24-BL23,IF(A24&lt;'Données projet'!$A$88,$BA$205^A24,IF(A24='Données projet'!$A$88,'Données projet'!$B$88,BD23+BC24-BL23)))</f>
        <v>92.3</v>
      </c>
      <c r="BE24" s="13">
        <f>BD24*VLOOKUP('Données projet'!$B$11,Paramètres!$A$1:$I$89,3,0)*VLOOKUP('Données projet'!$B$11,Paramètres!$A$1:$I$89,5,0)</f>
        <v>55.195399999999999</v>
      </c>
      <c r="BF24" s="13">
        <f t="shared" si="37"/>
        <v>15.947677847278364</v>
      </c>
      <c r="BG24" s="20">
        <f t="shared" si="7"/>
        <v>123.90752725067647</v>
      </c>
      <c r="BH24" s="59">
        <f t="shared" si="8"/>
        <v>417.24086058400979</v>
      </c>
      <c r="BI24" s="59">
        <f ca="1">AVERAGE(OFFSET($BH$3,0,0,'Données projet'!$E$11+1,1))-AVERAGE(OFFSET($H$3,0,0,'Données projet'!$E$11+1,1))</f>
        <v>316.58509520829671</v>
      </c>
      <c r="BJ24" s="59">
        <f t="shared" si="38"/>
        <v>240.71332110643596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5.0148217231323127</v>
      </c>
      <c r="BR24" s="21">
        <f>EXP(-LN(2)/2)*BR23+(1-EXP(-LN(2)/2))/(LN(2)/2)*BL24*BO24*VLOOKUP('Données projet'!$B$11,Paramètres!$A$1:$I$89,3,0)*0.475*44/12</f>
        <v>6.9420818135683602</v>
      </c>
      <c r="BS24" s="22">
        <f t="shared" si="9"/>
        <v>11.956903536700672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14.5</v>
      </c>
      <c r="BY24" s="12">
        <f>IF('Données projet'!$A$114&gt;35,BY23+BX24-CG23,IF(A24&lt;'Données projet'!$A$114,$BV$205^A24,IF(A24='Données projet'!$A$114,'Données projet'!$B$114,BY23+BX24-CG23)))</f>
        <v>81.5</v>
      </c>
      <c r="BZ24" s="13">
        <f>BY24*VLOOKUP('Données projet'!$B$12,Paramètres!$A$1:$I$89,3,0)*VLOOKUP('Données projet'!$B$12,Paramètres!$A$1:$I$89,5,0)</f>
        <v>64.841399999999993</v>
      </c>
      <c r="CA24" s="13">
        <f t="shared" si="39"/>
        <v>18.386744053291277</v>
      </c>
      <c r="CB24" s="20">
        <f t="shared" si="10"/>
        <v>144.95568422614897</v>
      </c>
      <c r="CC24" s="59">
        <f t="shared" si="11"/>
        <v>438.28901755948232</v>
      </c>
      <c r="CD24" s="59">
        <f ca="1">AVERAGE(OFFSET($CC$3,0,0,'Données projet'!$E$12+1,1))-AVERAGE(OFFSET($H$3,0,0,'Données projet'!$E$12+1,1))</f>
        <v>260.20517190557814</v>
      </c>
      <c r="CE24" s="59">
        <f t="shared" si="40"/>
        <v>307.22009971147133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7.5644613433365375</v>
      </c>
      <c r="CM24" s="21">
        <f>EXP(-LN(2)/2)*CM23+(1-EXP(-LN(2)/2))/(LN(2)/2)*CG24*CJ24*VLOOKUP('Données projet'!$B$12,Paramètres!$A$1:$I$89,3,0)*0.475*44/12</f>
        <v>8.8909646015603769</v>
      </c>
      <c r="CN24" s="22">
        <f t="shared" si="12"/>
        <v>16.455425944896916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6.3</v>
      </c>
      <c r="CT24" s="12">
        <f>IF('Données projet'!$A$140&gt;35,CT23+CS24-DB23,IF(A24&lt;'Données projet'!$A$140,$CQ$205^A24,IF(A24='Données projet'!$A$140,'Données projet'!$B$140,CT23+CS24-DB23)))</f>
        <v>42.3</v>
      </c>
      <c r="CU24" s="17">
        <f>CT24*VLOOKUP('Données projet'!$B$13,Paramètres!$A$1:$I$89,3,0)*VLOOKUP('Données projet'!$B$13,Paramètres!$A$1:$I$89,5,0)</f>
        <v>36.293400000000005</v>
      </c>
      <c r="CV24" s="13">
        <f t="shared" si="41"/>
        <v>11.01072157830875</v>
      </c>
      <c r="CW24" s="20">
        <f t="shared" si="13"/>
        <v>82.388011748887735</v>
      </c>
      <c r="CX24" s="59">
        <f t="shared" si="14"/>
        <v>375.72134508222103</v>
      </c>
      <c r="CY24" s="59">
        <f ca="1">AVERAGE(OFFSET($CX$3,0,0,'Données projet'!$E$13+1,1))-AVERAGE(OFFSET($H$3,0,0,'Données projet'!$E$13+1,1))</f>
        <v>310.4018929413723</v>
      </c>
      <c r="CZ24" s="59">
        <f t="shared" si="42"/>
        <v>127.5231137583819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0.48702999576647305</v>
      </c>
      <c r="DH24" s="21">
        <f>EXP(-LN(2)/2)*DH23+(1-EXP(-LN(2)/2))/(LN(2)/2)*DB24*DE24*VLOOKUP('Données projet'!$B$13,Paramètres!$A$1:$I$89,3,0)*0.475*44/12</f>
        <v>0.57243553185346296</v>
      </c>
      <c r="DI24" s="22">
        <f t="shared" si="15"/>
        <v>1.0594655276199361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>
        <f>DO24*VLOOKUP('Données projet'!$B$14,Paramètres!$A$1:$I$89,3,0)*VLOOKUP('Données projet'!$B$14,Paramètres!$A$1:$I$89,5,0)</f>
        <v>59.755800000000001</v>
      </c>
      <c r="DQ24" s="13">
        <f t="shared" si="43"/>
        <v>17.106512943588541</v>
      </c>
      <c r="DR24" s="20">
        <f t="shared" si="16"/>
        <v>133.86852837675002</v>
      </c>
      <c r="DS24" s="59">
        <f t="shared" si="17"/>
        <v>427.20186171008334</v>
      </c>
      <c r="DT24" s="59">
        <f ca="1">AVERAGE(OFFSET($DS$3,0,0,'Données projet'!$E$14+1,1))-AVERAGE(OFFSET($H$3,0,0,'Données projet'!$E$14+1,1))</f>
        <v>234.09142087023463</v>
      </c>
      <c r="DU24" s="59">
        <f t="shared" si="44"/>
        <v>278.990685815294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5.6558551146441518</v>
      </c>
      <c r="EC24" s="21">
        <f>EXP(-LN(2)/2)*EC23+(1-EXP(-LN(2)/2))/(LN(2)/2)*DW24*DZ24*VLOOKUP('Données projet'!$B$14,Paramètres!$A$1:$I$89,3,0)*0.475*44/12</f>
        <v>8.1936340445752478</v>
      </c>
      <c r="ED24" s="22">
        <f t="shared" si="18"/>
        <v>13.849489159219399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16.399999999999999</v>
      </c>
      <c r="AI25" s="13">
        <f>IF('Données projet'!$A$62&gt;35,AI24+AH25-AQ24,IF(A25&lt;'Données projet'!$A$62,$AF$205^A25,IF(A25='Données projet'!$A$62,'Données projet'!$B$62,AI24+AH25-AQ24)))</f>
        <v>128.79999999999998</v>
      </c>
      <c r="AJ25" s="13">
        <f>AI25*VLOOKUP('Données projet'!$B$10,Paramètres!$A$1:$I$89,3,0)*VLOOKUP('Données projet'!$B$10,Paramètres!$A$1:$I$89,5,0)</f>
        <v>70.324799999999982</v>
      </c>
      <c r="AK25" s="13">
        <f t="shared" si="35"/>
        <v>19.754095114409182</v>
      </c>
      <c r="AL25" s="20">
        <f t="shared" si="4"/>
        <v>156.88740899092929</v>
      </c>
      <c r="AM25" s="59">
        <f t="shared" si="5"/>
        <v>450.22074232426257</v>
      </c>
      <c r="AN25" s="59">
        <f ca="1">AVERAGE(OFFSET($AM$3,0,0,'Données projet'!$E$10+1,1))-AVERAGE(OFFSET($H$3,0,0,'Données projet'!$E$10+1,1))</f>
        <v>210.04871822652808</v>
      </c>
      <c r="AO25" s="59">
        <f t="shared" si="36"/>
        <v>250.17540614049324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16.585612518003622</v>
      </c>
      <c r="AW25" s="21">
        <f>EXP(-LN(2)/2)*AW24+(1-EXP(-LN(2)/2))/(LN(2)/2)*AQ25*AT25*VLOOKUP('Données projet'!$B$10,Paramètres!$A$1:$I$89,3,0)*0.475*44/12</f>
        <v>12.51852639760137</v>
      </c>
      <c r="AX25" s="21">
        <f t="shared" si="6"/>
        <v>29.104138915604992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15.3</v>
      </c>
      <c r="BD25" s="12">
        <f>IF('Données projet'!$A$88&gt;35,BD24+BC25-BL24,IF(A25&lt;'Données projet'!$A$88,$BA$205^A25,IF(A25='Données projet'!$A$88,'Données projet'!$B$88,BD24+BC25-BL24)))</f>
        <v>107.6</v>
      </c>
      <c r="BE25" s="13">
        <f>BD25*VLOOKUP('Données projet'!$B$11,Paramètres!$A$1:$I$89,3,0)*VLOOKUP('Données projet'!$B$11,Paramètres!$A$1:$I$89,5,0)</f>
        <v>64.344800000000006</v>
      </c>
      <c r="BF25" s="13">
        <f t="shared" si="37"/>
        <v>18.262261364330694</v>
      </c>
      <c r="BG25" s="20">
        <f t="shared" si="7"/>
        <v>143.87396520954266</v>
      </c>
      <c r="BH25" s="59">
        <f t="shared" si="8"/>
        <v>437.20729854287595</v>
      </c>
      <c r="BI25" s="59">
        <f ca="1">AVERAGE(OFFSET($BH$3,0,0,'Données projet'!$E$11+1,1))-AVERAGE(OFFSET($H$3,0,0,'Données projet'!$E$11+1,1))</f>
        <v>316.58509520829671</v>
      </c>
      <c r="BJ25" s="59">
        <f t="shared" si="38"/>
        <v>240.71332110643596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4.8776911593952468</v>
      </c>
      <c r="BR25" s="21">
        <f>EXP(-LN(2)/2)*BR24+(1-EXP(-LN(2)/2))/(LN(2)/2)*BL25*BO25*VLOOKUP('Données projet'!$B$11,Paramètres!$A$1:$I$89,3,0)*0.475*44/12</f>
        <v>4.9087931259259934</v>
      </c>
      <c r="BS25" s="22">
        <f t="shared" si="9"/>
        <v>9.7864842853212402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14.5</v>
      </c>
      <c r="BY25" s="12">
        <f>IF('Données projet'!$A$114&gt;35,BY24+BX25-CG24,IF(A25&lt;'Données projet'!$A$114,$BV$205^A25,IF(A25='Données projet'!$A$114,'Données projet'!$B$114,BY24+BX25-CG24)))</f>
        <v>96</v>
      </c>
      <c r="BZ25" s="13">
        <f>BY25*VLOOKUP('Données projet'!$B$12,Paramètres!$A$1:$I$89,3,0)*VLOOKUP('Données projet'!$B$12,Paramètres!$A$1:$I$89,5,0)</f>
        <v>76.377600000000001</v>
      </c>
      <c r="CA25" s="13">
        <f t="shared" si="39"/>
        <v>21.249114127498419</v>
      </c>
      <c r="CB25" s="20">
        <f t="shared" si="10"/>
        <v>170.03319377205972</v>
      </c>
      <c r="CC25" s="59">
        <f t="shared" si="11"/>
        <v>463.36652710539306</v>
      </c>
      <c r="CD25" s="59">
        <f ca="1">AVERAGE(OFFSET($CC$3,0,0,'Données projet'!$E$12+1,1))-AVERAGE(OFFSET($H$3,0,0,'Données projet'!$E$12+1,1))</f>
        <v>260.20517190557814</v>
      </c>
      <c r="CE25" s="59">
        <f t="shared" si="40"/>
        <v>307.22009971147133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7.357610750105267</v>
      </c>
      <c r="CM25" s="21">
        <f>EXP(-LN(2)/2)*CM24+(1-EXP(-LN(2)/2))/(LN(2)/2)*CG25*CJ25*VLOOKUP('Données projet'!$B$12,Paramètres!$A$1:$I$89,3,0)*0.475*44/12</f>
        <v>6.2868613610528934</v>
      </c>
      <c r="CN25" s="22">
        <f t="shared" si="12"/>
        <v>13.64447211115816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6.3</v>
      </c>
      <c r="CT25" s="12">
        <f>IF('Données projet'!$A$140&gt;35,CT24+CS25-DB24,IF(A25&lt;'Données projet'!$A$140,$CQ$205^A25,IF(A25='Données projet'!$A$140,'Données projet'!$B$140,CT24+CS25-DB24)))</f>
        <v>48.599999999999994</v>
      </c>
      <c r="CU25" s="17">
        <f>CT25*VLOOKUP('Données projet'!$B$13,Paramètres!$A$1:$I$89,3,0)*VLOOKUP('Données projet'!$B$13,Paramètres!$A$1:$I$89,5,0)</f>
        <v>41.698800000000006</v>
      </c>
      <c r="CV25" s="13">
        <f t="shared" si="41"/>
        <v>12.447818288806266</v>
      </c>
      <c r="CW25" s="20">
        <f t="shared" si="13"/>
        <v>94.305360186337609</v>
      </c>
      <c r="CX25" s="59">
        <f t="shared" si="14"/>
        <v>387.63869351967094</v>
      </c>
      <c r="CY25" s="59">
        <f ca="1">AVERAGE(OFFSET($CX$3,0,0,'Données projet'!$E$13+1,1))-AVERAGE(OFFSET($H$3,0,0,'Données projet'!$E$13+1,1))</f>
        <v>310.4018929413723</v>
      </c>
      <c r="CZ25" s="59">
        <f t="shared" si="42"/>
        <v>127.5231137583819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0.47371213492044451</v>
      </c>
      <c r="DH25" s="21">
        <f>EXP(-LN(2)/2)*DH24+(1-EXP(-LN(2)/2))/(LN(2)/2)*DB25*DE25*VLOOKUP('Données projet'!$B$13,Paramètres!$A$1:$I$89,3,0)*0.475*44/12</f>
        <v>0.4047730463657116</v>
      </c>
      <c r="DI25" s="22">
        <f t="shared" si="15"/>
        <v>0.87848518128615605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>
        <f>DO25*VLOOKUP('Données projet'!$B$14,Paramètres!$A$1:$I$89,3,0)*VLOOKUP('Données projet'!$B$14,Paramètres!$A$1:$I$89,5,0)</f>
        <v>70.387199999999993</v>
      </c>
      <c r="DQ25" s="13">
        <f t="shared" si="43"/>
        <v>19.769582086327805</v>
      </c>
      <c r="DR25" s="20">
        <f t="shared" si="16"/>
        <v>157.02306213368757</v>
      </c>
      <c r="DS25" s="59">
        <f t="shared" si="17"/>
        <v>450.35639546702089</v>
      </c>
      <c r="DT25" s="59">
        <f ca="1">AVERAGE(OFFSET($DS$3,0,0,'Données projet'!$E$14+1,1))-AVERAGE(OFFSET($H$3,0,0,'Données projet'!$E$14+1,1))</f>
        <v>234.09142087023463</v>
      </c>
      <c r="DU25" s="59">
        <f t="shared" si="44"/>
        <v>278.990685815294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5.5011954591057135</v>
      </c>
      <c r="EC25" s="21">
        <f>EXP(-LN(2)/2)*EC24+(1-EXP(-LN(2)/2))/(LN(2)/2)*DW25*DZ25*VLOOKUP('Données projet'!$B$14,Paramètres!$A$1:$I$89,3,0)*0.475*44/12</f>
        <v>5.7937741954801165</v>
      </c>
      <c r="ED25" s="22">
        <f t="shared" si="18"/>
        <v>11.294969654585831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16.399999999999999</v>
      </c>
      <c r="AI26" s="13">
        <f>IF('Données projet'!$A$62&gt;35,AI25+AH26-AQ25,IF(A26&lt;'Données projet'!$A$62,$AF$205^A26,IF(A26='Données projet'!$A$62,'Données projet'!$B$62,AI25+AH26-AQ25)))</f>
        <v>145.19999999999999</v>
      </c>
      <c r="AJ26" s="13">
        <f>AI26*VLOOKUP('Données projet'!$B$10,Paramètres!$A$1:$I$89,3,0)*VLOOKUP('Données projet'!$B$10,Paramètres!$A$1:$I$89,5,0)</f>
        <v>79.279199999999989</v>
      </c>
      <c r="AK26" s="13">
        <f t="shared" si="35"/>
        <v>21.960852053344638</v>
      </c>
      <c r="AL26" s="20">
        <f t="shared" si="4"/>
        <v>176.32642399290856</v>
      </c>
      <c r="AM26" s="59">
        <f t="shared" si="5"/>
        <v>469.6597573262419</v>
      </c>
      <c r="AN26" s="59">
        <f ca="1">AVERAGE(OFFSET($AM$3,0,0,'Données projet'!$E$10+1,1))-AVERAGE(OFFSET($H$3,0,0,'Données projet'!$E$10+1,1))</f>
        <v>210.04871822652808</v>
      </c>
      <c r="AO26" s="59">
        <f t="shared" si="36"/>
        <v>250.17540614049324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16.132078071499357</v>
      </c>
      <c r="AW26" s="21">
        <f>EXP(-LN(2)/2)*AW25+(1-EXP(-LN(2)/2))/(LN(2)/2)*AQ26*AT26*VLOOKUP('Données projet'!$B$10,Paramètres!$A$1:$I$89,3,0)*0.475*44/12</f>
        <v>8.851934906206731</v>
      </c>
      <c r="AX26" s="21">
        <f t="shared" si="6"/>
        <v>24.984012977706087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15.3</v>
      </c>
      <c r="BD26" s="12">
        <f>IF('Données projet'!$A$88&gt;35,BD25+BC26-BL25,IF(A26&lt;'Données projet'!$A$88,$BA$205^A26,IF(A26='Données projet'!$A$88,'Données projet'!$B$88,BD25+BC26-BL25)))</f>
        <v>122.89999999999999</v>
      </c>
      <c r="BE26" s="13">
        <f>BD26*VLOOKUP('Données projet'!$B$11,Paramètres!$A$1:$I$89,3,0)*VLOOKUP('Données projet'!$B$11,Paramètres!$A$1:$I$89,5,0)</f>
        <v>73.494200000000006</v>
      </c>
      <c r="BF26" s="13">
        <f t="shared" si="37"/>
        <v>20.538715292443293</v>
      </c>
      <c r="BG26" s="20">
        <f t="shared" si="7"/>
        <v>163.77399413433875</v>
      </c>
      <c r="BH26" s="59">
        <f t="shared" si="8"/>
        <v>457.10732746767206</v>
      </c>
      <c r="BI26" s="59">
        <f ca="1">AVERAGE(OFFSET($BH$3,0,0,'Données projet'!$E$11+1,1))-AVERAGE(OFFSET($H$3,0,0,'Données projet'!$E$11+1,1))</f>
        <v>316.58509520829671</v>
      </c>
      <c r="BJ26" s="59">
        <f t="shared" si="38"/>
        <v>240.71332110643596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4.7443104381349537</v>
      </c>
      <c r="BR26" s="21">
        <f>EXP(-LN(2)/2)*BR25+(1-EXP(-LN(2)/2))/(LN(2)/2)*BL26*BO26*VLOOKUP('Données projet'!$B$11,Paramètres!$A$1:$I$89,3,0)*0.475*44/12</f>
        <v>3.4710409067841801</v>
      </c>
      <c r="BS26" s="22">
        <f t="shared" si="9"/>
        <v>8.2153513449191333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14.5</v>
      </c>
      <c r="BY26" s="12">
        <f>IF('Données projet'!$A$114&gt;35,BY25+BX26-CG25,IF(A26&lt;'Données projet'!$A$114,$BV$205^A26,IF(A26='Données projet'!$A$114,'Données projet'!$B$114,BY25+BX26-CG25)))</f>
        <v>110.5</v>
      </c>
      <c r="BZ26" s="13">
        <f>BY26*VLOOKUP('Données projet'!$B$12,Paramètres!$A$1:$I$89,3,0)*VLOOKUP('Données projet'!$B$12,Paramètres!$A$1:$I$89,5,0)</f>
        <v>87.913800000000009</v>
      </c>
      <c r="CA26" s="13">
        <f t="shared" si="39"/>
        <v>24.061399085756083</v>
      </c>
      <c r="CB26" s="20">
        <f t="shared" si="10"/>
        <v>195.02347174102519</v>
      </c>
      <c r="CC26" s="59">
        <f t="shared" si="11"/>
        <v>488.35680507435848</v>
      </c>
      <c r="CD26" s="59">
        <f ca="1">AVERAGE(OFFSET($CC$3,0,0,'Données projet'!$E$12+1,1))-AVERAGE(OFFSET($H$3,0,0,'Données projet'!$E$12+1,1))</f>
        <v>260.20517190557814</v>
      </c>
      <c r="CE26" s="59">
        <f t="shared" si="40"/>
        <v>307.22009971147133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7.156416497223705</v>
      </c>
      <c r="CM26" s="21">
        <f>EXP(-LN(2)/2)*CM25+(1-EXP(-LN(2)/2))/(LN(2)/2)*CG26*CJ26*VLOOKUP('Données projet'!$B$12,Paramètres!$A$1:$I$89,3,0)*0.475*44/12</f>
        <v>4.4454823007801894</v>
      </c>
      <c r="CN26" s="22">
        <f t="shared" si="12"/>
        <v>11.601898798003894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6.3</v>
      </c>
      <c r="CT26" s="12">
        <f>IF('Données projet'!$A$140&gt;35,CT25+CS26-DB25,IF(A26&lt;'Données projet'!$A$140,$CQ$205^A26,IF(A26='Données projet'!$A$140,'Données projet'!$B$140,CT25+CS26-DB25)))</f>
        <v>54.899999999999991</v>
      </c>
      <c r="CU26" s="17">
        <f>CT26*VLOOKUP('Données projet'!$B$13,Paramètres!$A$1:$I$89,3,0)*VLOOKUP('Données projet'!$B$13,Paramètres!$A$1:$I$89,5,0)</f>
        <v>47.104199999999999</v>
      </c>
      <c r="CV26" s="13">
        <f t="shared" si="41"/>
        <v>13.863329832294768</v>
      </c>
      <c r="CW26" s="20">
        <f t="shared" si="13"/>
        <v>106.18511445791337</v>
      </c>
      <c r="CX26" s="59">
        <f t="shared" si="14"/>
        <v>399.51844779124667</v>
      </c>
      <c r="CY26" s="59">
        <f ca="1">AVERAGE(OFFSET($CX$3,0,0,'Données projet'!$E$13+1,1))-AVERAGE(OFFSET($H$3,0,0,'Données projet'!$E$13+1,1))</f>
        <v>310.4018929413723</v>
      </c>
      <c r="CZ26" s="59">
        <f t="shared" si="42"/>
        <v>127.5231137583819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0.46075845167960644</v>
      </c>
      <c r="DH26" s="21">
        <f>EXP(-LN(2)/2)*DH25+(1-EXP(-LN(2)/2))/(LN(2)/2)*DB26*DE26*VLOOKUP('Données projet'!$B$13,Paramètres!$A$1:$I$89,3,0)*0.475*44/12</f>
        <v>0.28621776592673148</v>
      </c>
      <c r="DI26" s="22">
        <f t="shared" si="15"/>
        <v>0.74697621760633792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>
        <f>DO26*VLOOKUP('Données projet'!$B$14,Paramètres!$A$1:$I$89,3,0)*VLOOKUP('Données projet'!$B$14,Paramètres!$A$1:$I$89,5,0)</f>
        <v>81.018599999999992</v>
      </c>
      <c r="DQ26" s="13">
        <f t="shared" si="43"/>
        <v>22.386053436560296</v>
      </c>
      <c r="DR26" s="20">
        <f t="shared" si="16"/>
        <v>180.09643806867584</v>
      </c>
      <c r="DS26" s="59">
        <f t="shared" si="17"/>
        <v>473.42977140200912</v>
      </c>
      <c r="DT26" s="59">
        <f ca="1">AVERAGE(OFFSET($DS$3,0,0,'Données projet'!$E$14+1,1))-AVERAGE(OFFSET($H$3,0,0,'Données projet'!$E$14+1,1))</f>
        <v>234.09142087023463</v>
      </c>
      <c r="DU26" s="59">
        <f t="shared" si="44"/>
        <v>278.990685815294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5.3507649799811716</v>
      </c>
      <c r="EC26" s="21">
        <f>EXP(-LN(2)/2)*EC25+(1-EXP(-LN(2)/2))/(LN(2)/2)*DW26*DZ26*VLOOKUP('Données projet'!$B$14,Paramètres!$A$1:$I$89,3,0)*0.475*44/12</f>
        <v>4.0968170222876248</v>
      </c>
      <c r="ED26" s="22">
        <f t="shared" si="18"/>
        <v>9.4475820022687955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16.399999999999999</v>
      </c>
      <c r="AI27" s="13">
        <f>IF('Données projet'!$A$62&gt;35,AI26+AH27-AQ26,IF(A27&lt;'Données projet'!$A$62,$AF$205^A27,IF(A27='Données projet'!$A$62,'Données projet'!$B$62,AI26+AH27-AQ26)))</f>
        <v>161.6</v>
      </c>
      <c r="AJ27" s="13">
        <f>AI27*VLOOKUP('Données projet'!$B$10,Paramètres!$A$1:$I$89,3,0)*VLOOKUP('Données projet'!$B$10,Paramètres!$A$1:$I$89,5,0)</f>
        <v>88.23360000000001</v>
      </c>
      <c r="AK27" s="13">
        <f t="shared" si="35"/>
        <v>24.138721634312098</v>
      </c>
      <c r="AL27" s="20">
        <f t="shared" si="4"/>
        <v>195.7151268464269</v>
      </c>
      <c r="AM27" s="59">
        <f t="shared" si="5"/>
        <v>489.04846017976024</v>
      </c>
      <c r="AN27" s="59">
        <f ca="1">AVERAGE(OFFSET($AM$3,0,0,'Données projet'!$E$10+1,1))-AVERAGE(OFFSET($H$3,0,0,'Données projet'!$E$10+1,1))</f>
        <v>210.04871822652808</v>
      </c>
      <c r="AO27" s="59">
        <f t="shared" si="36"/>
        <v>250.17540614049324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15.690945548285091</v>
      </c>
      <c r="AW27" s="21">
        <f>EXP(-LN(2)/2)*AW26+(1-EXP(-LN(2)/2))/(LN(2)/2)*AQ27*AT27*VLOOKUP('Données projet'!$B$10,Paramètres!$A$1:$I$89,3,0)*0.475*44/12</f>
        <v>6.259263198800685</v>
      </c>
      <c r="AX27" s="21">
        <f t="shared" si="6"/>
        <v>21.950208747085775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15.3</v>
      </c>
      <c r="BD27" s="12">
        <f>IF('Données projet'!$A$88&gt;35,BD26+BC27-BL26,IF(A27&lt;'Données projet'!$A$88,$BA$205^A27,IF(A27='Données projet'!$A$88,'Données projet'!$B$88,BD26+BC27-BL26)))</f>
        <v>138.19999999999999</v>
      </c>
      <c r="BE27" s="13">
        <f>BD27*VLOOKUP('Données projet'!$B$11,Paramètres!$A$1:$I$89,3,0)*VLOOKUP('Données projet'!$B$11,Paramètres!$A$1:$I$89,5,0)</f>
        <v>82.643599999999992</v>
      </c>
      <c r="BF27" s="13">
        <f t="shared" si="37"/>
        <v>22.782329978216918</v>
      </c>
      <c r="BG27" s="20">
        <f t="shared" si="7"/>
        <v>183.61682804539444</v>
      </c>
      <c r="BH27" s="59">
        <f t="shared" si="8"/>
        <v>476.95016137872778</v>
      </c>
      <c r="BI27" s="59">
        <f ca="1">AVERAGE(OFFSET($BH$3,0,0,'Données projet'!$E$11+1,1))-AVERAGE(OFFSET($H$3,0,0,'Données projet'!$E$11+1,1))</f>
        <v>316.58509520829671</v>
      </c>
      <c r="BJ27" s="59">
        <f t="shared" si="38"/>
        <v>240.71332110643596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4.6145770197117111</v>
      </c>
      <c r="BR27" s="21">
        <f>EXP(-LN(2)/2)*BR26+(1-EXP(-LN(2)/2))/(LN(2)/2)*BL27*BO27*VLOOKUP('Données projet'!$B$11,Paramètres!$A$1:$I$89,3,0)*0.475*44/12</f>
        <v>2.4543965629629967</v>
      </c>
      <c r="BS27" s="22">
        <f t="shared" si="9"/>
        <v>7.0689735826747082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14.5</v>
      </c>
      <c r="BY27" s="12">
        <f>IF('Données projet'!$A$114&gt;35,BY26+BX27-CG26,IF(A27&lt;'Données projet'!$A$114,$BV$205^A27,IF(A27='Données projet'!$A$114,'Données projet'!$B$114,BY26+BX27-CG26)))</f>
        <v>125</v>
      </c>
      <c r="BZ27" s="13">
        <f>BY27*VLOOKUP('Données projet'!$B$12,Paramètres!$A$1:$I$89,3,0)*VLOOKUP('Données projet'!$B$12,Paramètres!$A$1:$I$89,5,0)</f>
        <v>99.45</v>
      </c>
      <c r="CA27" s="13">
        <f t="shared" si="39"/>
        <v>26.830925603893352</v>
      </c>
      <c r="CB27" s="20">
        <f t="shared" si="10"/>
        <v>219.93927876011423</v>
      </c>
      <c r="CC27" s="59">
        <f t="shared" si="11"/>
        <v>513.27261209344761</v>
      </c>
      <c r="CD27" s="59">
        <f ca="1">AVERAGE(OFFSET($CC$3,0,0,'Données projet'!$E$12+1,1))-AVERAGE(OFFSET($H$3,0,0,'Données projet'!$E$12+1,1))</f>
        <v>260.20517190557814</v>
      </c>
      <c r="CE27" s="59">
        <f t="shared" si="40"/>
        <v>307.22009971147133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6.960723911767535</v>
      </c>
      <c r="CM27" s="21">
        <f>EXP(-LN(2)/2)*CM26+(1-EXP(-LN(2)/2))/(LN(2)/2)*CG27*CJ27*VLOOKUP('Données projet'!$B$12,Paramètres!$A$1:$I$89,3,0)*0.475*44/12</f>
        <v>3.1434306805264476</v>
      </c>
      <c r="CN27" s="22">
        <f t="shared" si="12"/>
        <v>10.104154592293982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6.3</v>
      </c>
      <c r="CT27" s="12">
        <f>IF('Données projet'!$A$140&gt;35,CT26+CS27-DB26,IF(A27&lt;'Données projet'!$A$140,$CQ$205^A27,IF(A27='Données projet'!$A$140,'Données projet'!$B$140,CT26+CS27-DB26)))</f>
        <v>61.199999999999989</v>
      </c>
      <c r="CU27" s="17">
        <f>CT27*VLOOKUP('Données projet'!$B$13,Paramètres!$A$1:$I$89,3,0)*VLOOKUP('Données projet'!$B$13,Paramètres!$A$1:$I$89,5,0)</f>
        <v>52.509599999999999</v>
      </c>
      <c r="CV27" s="13">
        <f t="shared" si="41"/>
        <v>15.260016001659478</v>
      </c>
      <c r="CW27" s="20">
        <f t="shared" si="13"/>
        <v>118.03208120289025</v>
      </c>
      <c r="CX27" s="59">
        <f t="shared" si="14"/>
        <v>411.36541453622357</v>
      </c>
      <c r="CY27" s="59">
        <f ca="1">AVERAGE(OFFSET($CX$3,0,0,'Données projet'!$E$13+1,1))-AVERAGE(OFFSET($H$3,0,0,'Données projet'!$E$13+1,1))</f>
        <v>310.4018929413723</v>
      </c>
      <c r="CZ27" s="59">
        <f t="shared" si="42"/>
        <v>127.5231137583819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0.44815898758819372</v>
      </c>
      <c r="DH27" s="21">
        <f>EXP(-LN(2)/2)*DH26+(1-EXP(-LN(2)/2))/(LN(2)/2)*DB27*DE27*VLOOKUP('Données projet'!$B$13,Paramètres!$A$1:$I$89,3,0)*0.475*44/12</f>
        <v>0.2023865231828558</v>
      </c>
      <c r="DI27" s="22">
        <f t="shared" si="15"/>
        <v>0.6505455107710495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>
        <f>DO27*VLOOKUP('Données projet'!$B$14,Paramètres!$A$1:$I$89,3,0)*VLOOKUP('Données projet'!$B$14,Paramètres!$A$1:$I$89,5,0)</f>
        <v>91.65</v>
      </c>
      <c r="DQ27" s="13">
        <f t="shared" si="43"/>
        <v>24.962743528770854</v>
      </c>
      <c r="DR27" s="20">
        <f t="shared" si="16"/>
        <v>203.10052831260927</v>
      </c>
      <c r="DS27" s="59">
        <f t="shared" si="17"/>
        <v>496.43386164594256</v>
      </c>
      <c r="DT27" s="59">
        <f ca="1">AVERAGE(OFFSET($DS$3,0,0,'Données projet'!$E$14+1,1))-AVERAGE(OFFSET($H$3,0,0,'Données projet'!$E$14+1,1))</f>
        <v>234.09142087023463</v>
      </c>
      <c r="DU27" s="59">
        <f t="shared" si="44"/>
        <v>278.990685815294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5.2044480302190852</v>
      </c>
      <c r="EC27" s="21">
        <f>EXP(-LN(2)/2)*EC26+(1-EXP(-LN(2)/2))/(LN(2)/2)*DW27*DZ27*VLOOKUP('Données projet'!$B$14,Paramètres!$A$1:$I$89,3,0)*0.475*44/12</f>
        <v>2.8968870977400587</v>
      </c>
      <c r="ED27" s="22">
        <f t="shared" si="18"/>
        <v>8.1013351279591443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16.399999999999999</v>
      </c>
      <c r="AI28" s="13">
        <f>IF('Données projet'!$A$62&gt;35,AI27+AH28-AQ27,IF(A28&lt;'Données projet'!$A$62,$AF$205^A28,IF(A28='Données projet'!$A$62,'Données projet'!$B$62,AI27+AH28-AQ27)))</f>
        <v>178</v>
      </c>
      <c r="AJ28" s="13">
        <f>AI28*VLOOKUP('Données projet'!$B$10,Paramètres!$A$1:$I$89,3,0)*VLOOKUP('Données projet'!$B$10,Paramètres!$A$1:$I$89,5,0)</f>
        <v>97.187999999999988</v>
      </c>
      <c r="AK28" s="13">
        <f t="shared" si="35"/>
        <v>26.290969297460332</v>
      </c>
      <c r="AL28" s="20">
        <f t="shared" si="4"/>
        <v>215.0592048597434</v>
      </c>
      <c r="AM28" s="59">
        <f t="shared" si="5"/>
        <v>508.39253819307669</v>
      </c>
      <c r="AN28" s="59">
        <f ca="1">AVERAGE(OFFSET($AM$3,0,0,'Données projet'!$E$10+1,1))-AVERAGE(OFFSET($H$3,0,0,'Données projet'!$E$10+1,1))</f>
        <v>210.04871822652808</v>
      </c>
      <c r="AO28" s="59">
        <f t="shared" si="36"/>
        <v>250.17540614049324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15.261875817116271</v>
      </c>
      <c r="AW28" s="21">
        <f>EXP(-LN(2)/2)*AW27+(1-EXP(-LN(2)/2))/(LN(2)/2)*AQ28*AT28*VLOOKUP('Données projet'!$B$10,Paramètres!$A$1:$I$89,3,0)*0.475*44/12</f>
        <v>4.4259674531033655</v>
      </c>
      <c r="AX28" s="21">
        <f t="shared" si="6"/>
        <v>19.687843270219638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15.3</v>
      </c>
      <c r="BD28" s="12">
        <f>IF('Données projet'!$A$88&gt;35,BD27+BC28-BL27,IF(A28&lt;'Données projet'!$A$88,$BA$205^A28,IF(A28='Données projet'!$A$88,'Données projet'!$B$88,BD27+BC28-BL27)))</f>
        <v>153.5</v>
      </c>
      <c r="BE28" s="13">
        <f>BD28*VLOOKUP('Données projet'!$B$11,Paramètres!$A$1:$I$89,3,0)*VLOOKUP('Données projet'!$B$11,Paramètres!$A$1:$I$89,5,0)</f>
        <v>91.793000000000006</v>
      </c>
      <c r="BF28" s="13">
        <f t="shared" si="37"/>
        <v>24.997155707793262</v>
      </c>
      <c r="BG28" s="20">
        <f t="shared" si="7"/>
        <v>203.40952119107328</v>
      </c>
      <c r="BH28" s="59">
        <f t="shared" si="8"/>
        <v>496.7428545244066</v>
      </c>
      <c r="BI28" s="59">
        <f ca="1">AVERAGE(OFFSET($BH$3,0,0,'Données projet'!$E$11+1,1))-AVERAGE(OFFSET($H$3,0,0,'Données projet'!$E$11+1,1))</f>
        <v>316.58509520829671</v>
      </c>
      <c r="BJ28" s="59">
        <f t="shared" si="38"/>
        <v>240.71332110643596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4.4883911684376354</v>
      </c>
      <c r="BR28" s="21">
        <f>EXP(-LN(2)/2)*BR27+(1-EXP(-LN(2)/2))/(LN(2)/2)*BL28*BO28*VLOOKUP('Données projet'!$B$11,Paramètres!$A$1:$I$89,3,0)*0.475*44/12</f>
        <v>1.73552045339209</v>
      </c>
      <c r="BS28" s="22">
        <f t="shared" si="9"/>
        <v>6.2239116218297257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14.5</v>
      </c>
      <c r="BY28" s="12">
        <f>IF('Données projet'!$A$114&gt;35,BY27+BX28-CG27,IF(A28&lt;'Données projet'!$A$114,$BV$205^A28,IF(A28='Données projet'!$A$114,'Données projet'!$B$114,BY27+BX28-CG27)))</f>
        <v>139.5</v>
      </c>
      <c r="BZ28" s="13">
        <f>BY28*VLOOKUP('Données projet'!$B$12,Paramètres!$A$1:$I$89,3,0)*VLOOKUP('Données projet'!$B$12,Paramètres!$A$1:$I$89,5,0)</f>
        <v>110.9862</v>
      </c>
      <c r="CA28" s="13">
        <f t="shared" si="39"/>
        <v>29.563220146103436</v>
      </c>
      <c r="CB28" s="20">
        <f t="shared" si="10"/>
        <v>244.79024008779683</v>
      </c>
      <c r="CC28" s="59">
        <f t="shared" si="11"/>
        <v>538.12357342113012</v>
      </c>
      <c r="CD28" s="59">
        <f ca="1">AVERAGE(OFFSET($CC$3,0,0,'Données projet'!$E$12+1,1))-AVERAGE(OFFSET($H$3,0,0,'Données projet'!$E$12+1,1))</f>
        <v>260.20517190557814</v>
      </c>
      <c r="CE28" s="59">
        <f t="shared" si="40"/>
        <v>307.22009971147133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6.7703825503516901</v>
      </c>
      <c r="CM28" s="21">
        <f>EXP(-LN(2)/2)*CM27+(1-EXP(-LN(2)/2))/(LN(2)/2)*CG28*CJ28*VLOOKUP('Données projet'!$B$12,Paramètres!$A$1:$I$89,3,0)*0.475*44/12</f>
        <v>2.2227411503900951</v>
      </c>
      <c r="CN28" s="22">
        <f t="shared" si="12"/>
        <v>8.9931237007417852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6.3</v>
      </c>
      <c r="CT28" s="12">
        <f>IF('Données projet'!$A$140&gt;35,CT27+CS28-DB27,IF(A28&lt;'Données projet'!$A$140,$CQ$205^A28,IF(A28='Données projet'!$A$140,'Données projet'!$B$140,CT27+CS28-DB27)))</f>
        <v>67.499999999999986</v>
      </c>
      <c r="CU28" s="17">
        <f>CT28*VLOOKUP('Données projet'!$B$13,Paramètres!$A$1:$I$89,3,0)*VLOOKUP('Données projet'!$B$13,Paramètres!$A$1:$I$89,5,0)</f>
        <v>57.914999999999992</v>
      </c>
      <c r="CV28" s="13">
        <f t="shared" si="41"/>
        <v>16.640035408149114</v>
      </c>
      <c r="CW28" s="20">
        <f t="shared" si="13"/>
        <v>129.85002000252635</v>
      </c>
      <c r="CX28" s="59">
        <f t="shared" si="14"/>
        <v>423.18335333585969</v>
      </c>
      <c r="CY28" s="59">
        <f ca="1">AVERAGE(OFFSET($CX$3,0,0,'Données projet'!$E$13+1,1))-AVERAGE(OFFSET($H$3,0,0,'Données projet'!$E$13+1,1))</f>
        <v>310.4018929413723</v>
      </c>
      <c r="CZ28" s="59">
        <f t="shared" si="42"/>
        <v>127.5231137583819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0.43590405650493769</v>
      </c>
      <c r="DH28" s="21">
        <f>EXP(-LN(2)/2)*DH27+(1-EXP(-LN(2)/2))/(LN(2)/2)*DB28*DE28*VLOOKUP('Données projet'!$B$13,Paramètres!$A$1:$I$89,3,0)*0.475*44/12</f>
        <v>0.14310888296336574</v>
      </c>
      <c r="DI28" s="22">
        <f t="shared" si="15"/>
        <v>0.57901293946830346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>
        <f>DO28*VLOOKUP('Données projet'!$B$14,Paramètres!$A$1:$I$89,3,0)*VLOOKUP('Données projet'!$B$14,Paramètres!$A$1:$I$89,5,0)</f>
        <v>102.2814</v>
      </c>
      <c r="DQ28" s="13">
        <f t="shared" si="43"/>
        <v>27.504794030836063</v>
      </c>
      <c r="DR28" s="20">
        <f t="shared" si="16"/>
        <v>226.04428793703948</v>
      </c>
      <c r="DS28" s="59">
        <f t="shared" si="17"/>
        <v>519.37762127037286</v>
      </c>
      <c r="DT28" s="59">
        <f ca="1">AVERAGE(OFFSET($DS$3,0,0,'Données projet'!$E$14+1,1))-AVERAGE(OFFSET($H$3,0,0,'Données projet'!$E$14+1,1))</f>
        <v>234.09142087023463</v>
      </c>
      <c r="DU28" s="59">
        <f t="shared" si="44"/>
        <v>278.990685815294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5.0621321251427176</v>
      </c>
      <c r="EC28" s="21">
        <f>EXP(-LN(2)/2)*EC27+(1-EXP(-LN(2)/2))/(LN(2)/2)*DW28*DZ28*VLOOKUP('Données projet'!$B$14,Paramètres!$A$1:$I$89,3,0)*0.475*44/12</f>
        <v>2.0484085111438124</v>
      </c>
      <c r="ED28" s="22">
        <f t="shared" si="18"/>
        <v>7.1105406362865295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16.399999999999999</v>
      </c>
      <c r="AI29" s="13">
        <f>IF('Données projet'!$A$62&gt;35,AI28+AH29-AQ28,IF(A29&lt;'Données projet'!$A$62,$AF$205^A29,IF(A29='Données projet'!$A$62,'Données projet'!$B$62,AI28+AH29-AQ28)))</f>
        <v>194.4</v>
      </c>
      <c r="AJ29" s="13">
        <f>AI29*VLOOKUP('Données projet'!$B$10,Paramètres!$A$1:$I$89,3,0)*VLOOKUP('Données projet'!$B$10,Paramètres!$A$1:$I$89,5,0)</f>
        <v>106.14239999999999</v>
      </c>
      <c r="AK29" s="13">
        <f t="shared" si="35"/>
        <v>28.420224211524975</v>
      </c>
      <c r="AL29" s="20">
        <f t="shared" si="4"/>
        <v>234.36323716840596</v>
      </c>
      <c r="AM29" s="59">
        <f t="shared" si="5"/>
        <v>527.6965705017393</v>
      </c>
      <c r="AN29" s="59">
        <f ca="1">AVERAGE(OFFSET($AM$3,0,0,'Données projet'!$E$10+1,1))-AVERAGE(OFFSET($H$3,0,0,'Données projet'!$E$10+1,1))</f>
        <v>210.04871822652808</v>
      </c>
      <c r="AO29" s="59">
        <f t="shared" si="36"/>
        <v>250.17540614049324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14.844539020310059</v>
      </c>
      <c r="AW29" s="21">
        <f>EXP(-LN(2)/2)*AW28+(1-EXP(-LN(2)/2))/(LN(2)/2)*AQ29*AT29*VLOOKUP('Données projet'!$B$10,Paramètres!$A$1:$I$89,3,0)*0.475*44/12</f>
        <v>3.1296315994003425</v>
      </c>
      <c r="AX29" s="21">
        <f t="shared" si="6"/>
        <v>17.974170619710399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15.3</v>
      </c>
      <c r="BD29" s="12">
        <f>IF('Données projet'!$A$88&gt;35,BD28+BC29-BL28,IF(A29&lt;'Données projet'!$A$88,$BA$205^A29,IF(A29='Données projet'!$A$88,'Données projet'!$B$88,BD28+BC29-BL28)))</f>
        <v>168.8</v>
      </c>
      <c r="BE29" s="13">
        <f>BD29*VLOOKUP('Données projet'!$B$11,Paramètres!$A$1:$I$89,3,0)*VLOOKUP('Données projet'!$B$11,Paramètres!$A$1:$I$89,5,0)</f>
        <v>100.94240000000002</v>
      </c>
      <c r="BF29" s="13">
        <f t="shared" si="37"/>
        <v>27.186388642071154</v>
      </c>
      <c r="BG29" s="20">
        <f t="shared" si="7"/>
        <v>223.15764021827397</v>
      </c>
      <c r="BH29" s="59">
        <f t="shared" si="8"/>
        <v>516.49097355160734</v>
      </c>
      <c r="BI29" s="59">
        <f ca="1">AVERAGE(OFFSET($BH$3,0,0,'Données projet'!$E$11+1,1))-AVERAGE(OFFSET($H$3,0,0,'Données projet'!$E$11+1,1))</f>
        <v>316.58509520829671</v>
      </c>
      <c r="BJ29" s="59">
        <f t="shared" si="38"/>
        <v>240.71332110643596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4.3656558759024753</v>
      </c>
      <c r="BR29" s="21">
        <f>EXP(-LN(2)/2)*BR28+(1-EXP(-LN(2)/2))/(LN(2)/2)*BL29*BO29*VLOOKUP('Données projet'!$B$11,Paramètres!$A$1:$I$89,3,0)*0.475*44/12</f>
        <v>1.2271982814814983</v>
      </c>
      <c r="BS29" s="22">
        <f t="shared" si="9"/>
        <v>5.5928541573839734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14.5</v>
      </c>
      <c r="BY29" s="12">
        <f>IF('Données projet'!$A$114&gt;35,BY28+BX29-CG28,IF(A29&lt;'Données projet'!$A$114,$BV$205^A29,IF(A29='Données projet'!$A$114,'Données projet'!$B$114,BY28+BX29-CG28)))</f>
        <v>154</v>
      </c>
      <c r="BZ29" s="13">
        <f>BY29*VLOOKUP('Données projet'!$B$12,Paramètres!$A$1:$I$89,3,0)*VLOOKUP('Données projet'!$B$12,Paramètres!$A$1:$I$89,5,0)</f>
        <v>122.52240000000002</v>
      </c>
      <c r="CA29" s="13">
        <f t="shared" si="39"/>
        <v>32.26259352430629</v>
      </c>
      <c r="CB29" s="20">
        <f t="shared" si="10"/>
        <v>269.58386372150017</v>
      </c>
      <c r="CC29" s="59">
        <f t="shared" si="11"/>
        <v>562.91719705483342</v>
      </c>
      <c r="CD29" s="59">
        <f ca="1">AVERAGE(OFFSET($CC$3,0,0,'Données projet'!$E$12+1,1))-AVERAGE(OFFSET($H$3,0,0,'Données projet'!$E$12+1,1))</f>
        <v>260.20517190557814</v>
      </c>
      <c r="CE29" s="59">
        <f t="shared" si="40"/>
        <v>307.22009971147133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6.585246083473379</v>
      </c>
      <c r="CM29" s="21">
        <f>EXP(-LN(2)/2)*CM28+(1-EXP(-LN(2)/2))/(LN(2)/2)*CG29*CJ29*VLOOKUP('Données projet'!$B$12,Paramètres!$A$1:$I$89,3,0)*0.475*44/12</f>
        <v>1.571715340263224</v>
      </c>
      <c r="CN29" s="22">
        <f t="shared" si="12"/>
        <v>8.1569614237366039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6.3</v>
      </c>
      <c r="CT29" s="12">
        <f>IF('Données projet'!$A$140&gt;35,CT28+CS29-DB28,IF(A29&lt;'Données projet'!$A$140,$CQ$205^A29,IF(A29='Données projet'!$A$140,'Données projet'!$B$140,CT28+CS29-DB28)))</f>
        <v>73.799999999999983</v>
      </c>
      <c r="CU29" s="17">
        <f>CT29*VLOOKUP('Données projet'!$B$13,Paramètres!$A$1:$I$89,3,0)*VLOOKUP('Données projet'!$B$13,Paramètres!$A$1:$I$89,5,0)</f>
        <v>63.320399999999999</v>
      </c>
      <c r="CV29" s="13">
        <f t="shared" si="41"/>
        <v>18.005120560903215</v>
      </c>
      <c r="CW29" s="20">
        <f t="shared" si="13"/>
        <v>141.64194831023977</v>
      </c>
      <c r="CX29" s="59">
        <f t="shared" si="14"/>
        <v>434.97528164357311</v>
      </c>
      <c r="CY29" s="59">
        <f ca="1">AVERAGE(OFFSET($CX$3,0,0,'Données projet'!$E$13+1,1))-AVERAGE(OFFSET($H$3,0,0,'Données projet'!$E$13+1,1))</f>
        <v>310.4018929413723</v>
      </c>
      <c r="CZ29" s="59">
        <f t="shared" si="42"/>
        <v>127.5231137583819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0.4239842371566121</v>
      </c>
      <c r="DH29" s="21">
        <f>EXP(-LN(2)/2)*DH28+(1-EXP(-LN(2)/2))/(LN(2)/2)*DB29*DE29*VLOOKUP('Données projet'!$B$13,Paramètres!$A$1:$I$89,3,0)*0.475*44/12</f>
        <v>0.1011932615914279</v>
      </c>
      <c r="DI29" s="22">
        <f t="shared" si="15"/>
        <v>0.52517749874803998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>
        <f>DO29*VLOOKUP('Données projet'!$B$14,Paramètres!$A$1:$I$89,3,0)*VLOOKUP('Données projet'!$B$14,Paramètres!$A$1:$I$89,5,0)</f>
        <v>112.91279999999999</v>
      </c>
      <c r="DQ29" s="13">
        <f t="shared" si="43"/>
        <v>30.016215601722575</v>
      </c>
      <c r="DR29" s="20">
        <f t="shared" si="16"/>
        <v>248.93470217300015</v>
      </c>
      <c r="DS29" s="59">
        <f t="shared" si="17"/>
        <v>542.26803550633349</v>
      </c>
      <c r="DT29" s="59">
        <f ca="1">AVERAGE(OFFSET($DS$3,0,0,'Données projet'!$E$14+1,1))-AVERAGE(OFFSET($H$3,0,0,'Données projet'!$E$14+1,1))</f>
        <v>234.09142087023463</v>
      </c>
      <c r="DU29" s="59">
        <f t="shared" si="44"/>
        <v>278.990685815294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4.9237078559747314</v>
      </c>
      <c r="EC29" s="21">
        <f>EXP(-LN(2)/2)*EC28+(1-EXP(-LN(2)/2))/(LN(2)/2)*DW29*DZ29*VLOOKUP('Données projet'!$B$14,Paramètres!$A$1:$I$89,3,0)*0.475*44/12</f>
        <v>1.4484435488700294</v>
      </c>
      <c r="ED29" s="22">
        <f t="shared" si="18"/>
        <v>6.3721514048447609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16.399999999999999</v>
      </c>
      <c r="AI30" s="13">
        <f>IF('Données projet'!$A$62&gt;35,AI29+AH30-AQ29,IF(A30&lt;'Données projet'!$A$62,$AF$205^A30,IF(A30='Données projet'!$A$62,'Données projet'!$B$62,AI29+AH30-AQ29)))</f>
        <v>210.8</v>
      </c>
      <c r="AJ30" s="13">
        <f>AI30*VLOOKUP('Données projet'!$B$10,Paramètres!$A$1:$I$89,3,0)*VLOOKUP('Données projet'!$B$10,Paramètres!$A$1:$I$89,5,0)</f>
        <v>115.0968</v>
      </c>
      <c r="AK30" s="13">
        <f t="shared" si="35"/>
        <v>30.528646626547697</v>
      </c>
      <c r="AL30" s="20">
        <f t="shared" si="4"/>
        <v>253.6309862079039</v>
      </c>
      <c r="AM30" s="59">
        <f t="shared" si="5"/>
        <v>546.96431954123727</v>
      </c>
      <c r="AN30" s="59">
        <f ca="1">AVERAGE(OFFSET($AM$3,0,0,'Données projet'!$E$10+1,1))-AVERAGE(OFFSET($H$3,0,0,'Données projet'!$E$10+1,1))</f>
        <v>210.04871822652808</v>
      </c>
      <c r="AO30" s="59">
        <f t="shared" si="36"/>
        <v>250.17540614049324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14.438614320159301</v>
      </c>
      <c r="AW30" s="21">
        <f>EXP(-LN(2)/2)*AW29+(1-EXP(-LN(2)/2))/(LN(2)/2)*AQ30*AT30*VLOOKUP('Données projet'!$B$10,Paramètres!$A$1:$I$89,3,0)*0.475*44/12</f>
        <v>2.2129837265516827</v>
      </c>
      <c r="AX30" s="21">
        <f t="shared" si="6"/>
        <v>16.651598046710983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15.3</v>
      </c>
      <c r="BD30" s="12">
        <f>IF('Données projet'!$A$88&gt;35,BD29+BC30-BL29,IF(A30&lt;'Données projet'!$A$88,$BA$205^A30,IF(A30='Données projet'!$A$88,'Données projet'!$B$88,BD29+BC30-BL29)))</f>
        <v>184.10000000000002</v>
      </c>
      <c r="BE30" s="13">
        <f>BD30*VLOOKUP('Données projet'!$B$11,Paramètres!$A$1:$I$89,3,0)*VLOOKUP('Données projet'!$B$11,Paramètres!$A$1:$I$89,5,0)</f>
        <v>110.09180000000001</v>
      </c>
      <c r="BF30" s="13">
        <f t="shared" si="37"/>
        <v>29.352612318376288</v>
      </c>
      <c r="BG30" s="20">
        <f t="shared" si="7"/>
        <v>242.86568478783872</v>
      </c>
      <c r="BH30" s="59">
        <f t="shared" si="8"/>
        <v>536.199018121172</v>
      </c>
      <c r="BI30" s="59">
        <f ca="1">AVERAGE(OFFSET($BH$3,0,0,'Données projet'!$E$11+1,1))-AVERAGE(OFFSET($H$3,0,0,'Données projet'!$E$11+1,1))</f>
        <v>316.58509520829671</v>
      </c>
      <c r="BJ30" s="59">
        <f t="shared" si="38"/>
        <v>240.71332110643596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4.2462767863960575</v>
      </c>
      <c r="BR30" s="21">
        <f>EXP(-LN(2)/2)*BR29+(1-EXP(-LN(2)/2))/(LN(2)/2)*BL30*BO30*VLOOKUP('Données projet'!$B$11,Paramètres!$A$1:$I$89,3,0)*0.475*44/12</f>
        <v>0.86776022669604502</v>
      </c>
      <c r="BS30" s="22">
        <f t="shared" si="9"/>
        <v>5.1140370130921022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14.5</v>
      </c>
      <c r="BY30" s="12">
        <f>IF('Données projet'!$A$114&gt;35,BY29+BX30-CG29,IF(A30&lt;'Données projet'!$A$114,$BV$205^A30,IF(A30='Données projet'!$A$114,'Données projet'!$B$114,BY29+BX30-CG29)))</f>
        <v>168.5</v>
      </c>
      <c r="BZ30" s="13">
        <f>BY30*VLOOKUP('Données projet'!$B$12,Paramètres!$A$1:$I$89,3,0)*VLOOKUP('Données projet'!$B$12,Paramètres!$A$1:$I$89,5,0)</f>
        <v>134.05860000000001</v>
      </c>
      <c r="CA30" s="13">
        <f t="shared" si="39"/>
        <v>34.932498076856362</v>
      </c>
      <c r="CB30" s="20">
        <f t="shared" si="10"/>
        <v>294.32616248385813</v>
      </c>
      <c r="CC30" s="59">
        <f t="shared" si="11"/>
        <v>587.65949581719144</v>
      </c>
      <c r="CD30" s="59">
        <f ca="1">AVERAGE(OFFSET($CC$3,0,0,'Données projet'!$E$12+1,1))-AVERAGE(OFFSET($H$3,0,0,'Données projet'!$E$12+1,1))</f>
        <v>260.20517190557814</v>
      </c>
      <c r="CE30" s="59">
        <f t="shared" si="40"/>
        <v>307.22009971147133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6.4051721830177586</v>
      </c>
      <c r="CM30" s="21">
        <f>EXP(-LN(2)/2)*CM29+(1-EXP(-LN(2)/2))/(LN(2)/2)*CG30*CJ30*VLOOKUP('Données projet'!$B$12,Paramètres!$A$1:$I$89,3,0)*0.475*44/12</f>
        <v>1.1113705751950478</v>
      </c>
      <c r="CN30" s="22">
        <f t="shared" si="12"/>
        <v>7.5165427582128066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6.3</v>
      </c>
      <c r="CT30" s="12">
        <f>IF('Données projet'!$A$140&gt;35,CT29+CS30-DB29,IF(A30&lt;'Données projet'!$A$140,$CQ$205^A30,IF(A30='Données projet'!$A$140,'Données projet'!$B$140,CT29+CS30-DB29)))</f>
        <v>80.09999999999998</v>
      </c>
      <c r="CU30" s="17">
        <f>CT30*VLOOKUP('Données projet'!$B$13,Paramètres!$A$1:$I$89,3,0)*VLOOKUP('Données projet'!$B$13,Paramètres!$A$1:$I$89,5,0)</f>
        <v>68.725799999999992</v>
      </c>
      <c r="CV30" s="13">
        <f t="shared" si="41"/>
        <v>19.356691283390781</v>
      </c>
      <c r="CW30" s="20">
        <f t="shared" si="13"/>
        <v>153.41033898523892</v>
      </c>
      <c r="CX30" s="59">
        <f t="shared" si="14"/>
        <v>446.74367231857224</v>
      </c>
      <c r="CY30" s="59">
        <f ca="1">AVERAGE(OFFSET($CX$3,0,0,'Données projet'!$E$13+1,1))-AVERAGE(OFFSET($H$3,0,0,'Données projet'!$E$13+1,1))</f>
        <v>310.4018929413723</v>
      </c>
      <c r="CZ30" s="59">
        <f t="shared" si="42"/>
        <v>127.5231137583819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0.41239036589520256</v>
      </c>
      <c r="DH30" s="21">
        <f>EXP(-LN(2)/2)*DH29+(1-EXP(-LN(2)/2))/(LN(2)/2)*DB30*DE30*VLOOKUP('Données projet'!$B$13,Paramètres!$A$1:$I$89,3,0)*0.475*44/12</f>
        <v>7.1554441481682871E-2</v>
      </c>
      <c r="DI30" s="22">
        <f t="shared" si="15"/>
        <v>0.48394480737688544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>
        <f>DO30*VLOOKUP('Données projet'!$B$14,Paramètres!$A$1:$I$89,3,0)*VLOOKUP('Données projet'!$B$14,Paramètres!$A$1:$I$89,5,0)</f>
        <v>123.54419999999999</v>
      </c>
      <c r="DQ30" s="13">
        <f t="shared" si="43"/>
        <v>32.500220200577459</v>
      </c>
      <c r="DR30" s="20">
        <f t="shared" si="16"/>
        <v>271.77736518267238</v>
      </c>
      <c r="DS30" s="59">
        <f t="shared" si="17"/>
        <v>565.11069851600564</v>
      </c>
      <c r="DT30" s="59">
        <f ca="1">AVERAGE(OFFSET($DS$3,0,0,'Données projet'!$E$14+1,1))-AVERAGE(OFFSET($H$3,0,0,'Données projet'!$E$14+1,1))</f>
        <v>234.09142087023463</v>
      </c>
      <c r="DU30" s="59">
        <f t="shared" si="44"/>
        <v>278.990685815294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4.7890688057265596</v>
      </c>
      <c r="EC30" s="21">
        <f>EXP(-LN(2)/2)*EC29+(1-EXP(-LN(2)/2))/(LN(2)/2)*DW30*DZ30*VLOOKUP('Données projet'!$B$14,Paramètres!$A$1:$I$89,3,0)*0.475*44/12</f>
        <v>1.0242042555719062</v>
      </c>
      <c r="ED30" s="22">
        <f t="shared" si="18"/>
        <v>5.8132730612984655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16.399999999999999</v>
      </c>
      <c r="AI31" s="13">
        <f>IF('Données projet'!$A$62&gt;35,AI30+AH31-AQ30,IF(A31&lt;'Données projet'!$A$62,$AF$205^A31,IF(A31='Données projet'!$A$62,'Données projet'!$B$62,AI30+AH31-AQ30)))</f>
        <v>227.20000000000002</v>
      </c>
      <c r="AJ31" s="13">
        <f>AI31*VLOOKUP('Données projet'!$B$10,Paramètres!$A$1:$I$89,3,0)*VLOOKUP('Données projet'!$B$10,Paramètres!$A$1:$I$89,5,0)</f>
        <v>124.05120000000001</v>
      </c>
      <c r="AK31" s="13">
        <f t="shared" si="35"/>
        <v>32.618041559365977</v>
      </c>
      <c r="AL31" s="20">
        <f t="shared" si="4"/>
        <v>272.86559571589572</v>
      </c>
      <c r="AM31" s="59">
        <f t="shared" si="5"/>
        <v>566.19892904922904</v>
      </c>
      <c r="AN31" s="59">
        <f ca="1">AVERAGE(OFFSET($AM$3,0,0,'Données projet'!$E$10+1,1))-AVERAGE(OFFSET($H$3,0,0,'Données projet'!$E$10+1,1))</f>
        <v>210.04871822652808</v>
      </c>
      <c r="AO31" s="59">
        <f t="shared" si="36"/>
        <v>250.17540614049324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14.043789652280818</v>
      </c>
      <c r="AW31" s="21">
        <f>EXP(-LN(2)/2)*AW30+(1-EXP(-LN(2)/2))/(LN(2)/2)*AQ31*AT31*VLOOKUP('Données projet'!$B$10,Paramètres!$A$1:$I$89,3,0)*0.475*44/12</f>
        <v>1.5648157997001713</v>
      </c>
      <c r="AX31" s="21">
        <f t="shared" si="6"/>
        <v>15.608605451980988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15.3</v>
      </c>
      <c r="BD31" s="12">
        <f>IF('Données projet'!$A$88&gt;35,BD30+BC31-BL30,IF(A31&lt;'Données projet'!$A$88,$BA$205^A31,IF(A31='Données projet'!$A$88,'Données projet'!$B$88,BD30+BC31-BL30)))</f>
        <v>199.40000000000003</v>
      </c>
      <c r="BE31" s="13">
        <f>BD31*VLOOKUP('Données projet'!$B$11,Paramètres!$A$1:$I$89,3,0)*VLOOKUP('Données projet'!$B$11,Paramètres!$A$1:$I$89,5,0)</f>
        <v>119.24120000000002</v>
      </c>
      <c r="BF31" s="13">
        <f t="shared" si="37"/>
        <v>31.497956370300944</v>
      </c>
      <c r="BG31" s="20">
        <f t="shared" si="7"/>
        <v>262.53736401160751</v>
      </c>
      <c r="BH31" s="59">
        <f t="shared" si="8"/>
        <v>555.87069734494082</v>
      </c>
      <c r="BI31" s="59">
        <f ca="1">AVERAGE(OFFSET($BH$3,0,0,'Données projet'!$E$11+1,1))-AVERAGE(OFFSET($H$3,0,0,'Données projet'!$E$11+1,1))</f>
        <v>316.58509520829671</v>
      </c>
      <c r="BJ31" s="59">
        <f t="shared" si="38"/>
        <v>240.71332110643596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4.1301621243700666</v>
      </c>
      <c r="BR31" s="21">
        <f>EXP(-LN(2)/2)*BR30+(1-EXP(-LN(2)/2))/(LN(2)/2)*BL31*BO31*VLOOKUP('Données projet'!$B$11,Paramètres!$A$1:$I$89,3,0)*0.475*44/12</f>
        <v>0.61359914074074917</v>
      </c>
      <c r="BS31" s="22">
        <f t="shared" si="9"/>
        <v>4.7437612651108161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14.5</v>
      </c>
      <c r="BY31" s="12">
        <f>IF('Données projet'!$A$114&gt;35,BY30+BX31-CG30,IF(A31&lt;'Données projet'!$A$114,$BV$205^A31,IF(A31='Données projet'!$A$114,'Données projet'!$B$114,BY30+BX31-CG30)))</f>
        <v>183</v>
      </c>
      <c r="BZ31" s="13">
        <f>BY31*VLOOKUP('Données projet'!$B$12,Paramètres!$A$1:$I$89,3,0)*VLOOKUP('Données projet'!$B$12,Paramètres!$A$1:$I$89,5,0)</f>
        <v>145.59479999999999</v>
      </c>
      <c r="CA31" s="13">
        <f t="shared" si="39"/>
        <v>37.575758023691719</v>
      </c>
      <c r="CB31" s="20">
        <f t="shared" si="10"/>
        <v>319.02205522459639</v>
      </c>
      <c r="CC31" s="59">
        <f t="shared" si="11"/>
        <v>612.3553885579297</v>
      </c>
      <c r="CD31" s="59">
        <f ca="1">AVERAGE(OFFSET($CC$3,0,0,'Données projet'!$E$12+1,1))-AVERAGE(OFFSET($H$3,0,0,'Données projet'!$E$12+1,1))</f>
        <v>260.20517190557814</v>
      </c>
      <c r="CE31" s="59">
        <f t="shared" si="40"/>
        <v>307.22009971147133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6.2300224128397721</v>
      </c>
      <c r="CM31" s="21">
        <f>EXP(-LN(2)/2)*CM30+(1-EXP(-LN(2)/2))/(LN(2)/2)*CG31*CJ31*VLOOKUP('Données projet'!$B$12,Paramètres!$A$1:$I$89,3,0)*0.475*44/12</f>
        <v>0.78585767013161212</v>
      </c>
      <c r="CN31" s="22">
        <f t="shared" si="12"/>
        <v>7.0158800829713845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6.3</v>
      </c>
      <c r="CT31" s="12">
        <f>IF('Données projet'!$A$140&gt;35,CT30+CS31-DB30,IF(A31&lt;'Données projet'!$A$140,$CQ$205^A31,IF(A31='Données projet'!$A$140,'Données projet'!$B$140,CT30+CS31-DB30)))</f>
        <v>86.399999999999977</v>
      </c>
      <c r="CU31" s="17">
        <f>CT31*VLOOKUP('Données projet'!$B$13,Paramètres!$A$1:$I$89,3,0)*VLOOKUP('Données projet'!$B$13,Paramètres!$A$1:$I$89,5,0)</f>
        <v>74.131199999999978</v>
      </c>
      <c r="CV31" s="13">
        <f t="shared" si="41"/>
        <v>20.695931356882326</v>
      </c>
      <c r="CW31" s="20">
        <f t="shared" si="13"/>
        <v>165.15725377990333</v>
      </c>
      <c r="CX31" s="59">
        <f t="shared" si="14"/>
        <v>458.49058711323664</v>
      </c>
      <c r="CY31" s="59">
        <f ca="1">AVERAGE(OFFSET($CX$3,0,0,'Données projet'!$E$13+1,1))-AVERAGE(OFFSET($H$3,0,0,'Données projet'!$E$13+1,1))</f>
        <v>310.4018929413723</v>
      </c>
      <c r="CZ31" s="59">
        <f t="shared" si="42"/>
        <v>127.5231137583819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0.40111352965313141</v>
      </c>
      <c r="DH31" s="21">
        <f>EXP(-LN(2)/2)*DH30+(1-EXP(-LN(2)/2))/(LN(2)/2)*DB31*DE31*VLOOKUP('Données projet'!$B$13,Paramètres!$A$1:$I$89,3,0)*0.475*44/12</f>
        <v>5.059663079571395E-2</v>
      </c>
      <c r="DI31" s="22">
        <f t="shared" si="15"/>
        <v>0.45171016044884538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>
        <f>DO31*VLOOKUP('Données projet'!$B$14,Paramètres!$A$1:$I$89,3,0)*VLOOKUP('Données projet'!$B$14,Paramètres!$A$1:$I$89,5,0)</f>
        <v>134.1756</v>
      </c>
      <c r="DQ31" s="13">
        <f t="shared" si="43"/>
        <v>34.959435402722768</v>
      </c>
      <c r="DR31" s="20">
        <f t="shared" si="16"/>
        <v>294.57685332640881</v>
      </c>
      <c r="DS31" s="59">
        <f t="shared" si="17"/>
        <v>587.91018665974207</v>
      </c>
      <c r="DT31" s="59">
        <f ca="1">AVERAGE(OFFSET($DS$3,0,0,'Données projet'!$E$14+1,1))-AVERAGE(OFFSET($H$3,0,0,'Données projet'!$E$14+1,1))</f>
        <v>234.09142087023463</v>
      </c>
      <c r="DU31" s="59">
        <f t="shared" si="44"/>
        <v>278.990685815294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4.6581114673877835</v>
      </c>
      <c r="EC31" s="21">
        <f>EXP(-LN(2)/2)*EC30+(1-EXP(-LN(2)/2))/(LN(2)/2)*DW31*DZ31*VLOOKUP('Données projet'!$B$14,Paramètres!$A$1:$I$89,3,0)*0.475*44/12</f>
        <v>0.72422177443501468</v>
      </c>
      <c r="ED31" s="22">
        <f t="shared" si="18"/>
        <v>5.3823332418227983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16.399999999999999</v>
      </c>
      <c r="AI32" s="13">
        <f>IF('Données projet'!$A$62&gt;35,AI31+AH32-AQ31,IF(A32&lt;'Données projet'!$A$62,$AF$205^A32,IF(A32='Données projet'!$A$62,'Données projet'!$B$62,AI31+AH32-AQ31)))</f>
        <v>243.60000000000002</v>
      </c>
      <c r="AJ32" s="13">
        <f>AI32*VLOOKUP('Données projet'!$B$10,Paramètres!$A$1:$I$89,3,0)*VLOOKUP('Données projet'!$B$10,Paramètres!$A$1:$I$89,5,0)</f>
        <v>133.00560000000002</v>
      </c>
      <c r="AK32" s="13">
        <f t="shared" si="35"/>
        <v>34.689938673073549</v>
      </c>
      <c r="AL32" s="20">
        <f t="shared" si="4"/>
        <v>292.06972985560316</v>
      </c>
      <c r="AM32" s="59">
        <f t="shared" si="5"/>
        <v>585.40306318893647</v>
      </c>
      <c r="AN32" s="59">
        <f ca="1">AVERAGE(OFFSET($AM$3,0,0,'Données projet'!$E$10+1,1))-AVERAGE(OFFSET($H$3,0,0,'Données projet'!$E$10+1,1))</f>
        <v>210.04871822652808</v>
      </c>
      <c r="AO32" s="59">
        <f t="shared" si="36"/>
        <v>250.17540614049324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13.659761485708399</v>
      </c>
      <c r="AW32" s="21">
        <f>EXP(-LN(2)/2)*AW31+(1-EXP(-LN(2)/2))/(LN(2)/2)*AQ32*AT32*VLOOKUP('Données projet'!$B$10,Paramètres!$A$1:$I$89,3,0)*0.475*44/12</f>
        <v>1.1064918632758414</v>
      </c>
      <c r="AX32" s="21">
        <f t="shared" si="6"/>
        <v>14.766253348984241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15.3</v>
      </c>
      <c r="BD32" s="12">
        <f>IF('Données projet'!$A$88&gt;35,BD31+BC32-BL31,IF(A32&lt;'Données projet'!$A$88,$BA$205^A32,IF(A32='Données projet'!$A$88,'Données projet'!$B$88,BD31+BC32-BL31)))</f>
        <v>214.70000000000005</v>
      </c>
      <c r="BE32" s="13">
        <f>BD32*VLOOKUP('Données projet'!$B$11,Paramètres!$A$1:$I$89,3,0)*VLOOKUP('Données projet'!$B$11,Paramètres!$A$1:$I$89,5,0)</f>
        <v>128.39060000000003</v>
      </c>
      <c r="BF32" s="13">
        <f t="shared" si="37"/>
        <v>33.624205053748</v>
      </c>
      <c r="BG32" s="20">
        <f t="shared" si="7"/>
        <v>282.17578546861114</v>
      </c>
      <c r="BH32" s="59">
        <f t="shared" si="8"/>
        <v>575.5091188019444</v>
      </c>
      <c r="BI32" s="59">
        <f ca="1">AVERAGE(OFFSET($BH$3,0,0,'Données projet'!$E$11+1,1))-AVERAGE(OFFSET($H$3,0,0,'Données projet'!$E$11+1,1))</f>
        <v>316.58509520829671</v>
      </c>
      <c r="BJ32" s="59">
        <f t="shared" si="38"/>
        <v>240.71332110643596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4.0172226238833808</v>
      </c>
      <c r="BR32" s="21">
        <f>EXP(-LN(2)/2)*BR31+(1-EXP(-LN(2)/2))/(LN(2)/2)*BL32*BO32*VLOOKUP('Données projet'!$B$11,Paramètres!$A$1:$I$89,3,0)*0.475*44/12</f>
        <v>0.43388011334802251</v>
      </c>
      <c r="BS32" s="22">
        <f t="shared" si="9"/>
        <v>4.4511027372314036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14.5</v>
      </c>
      <c r="BY32" s="12">
        <f>IF('Données projet'!$A$114&gt;35,BY31+BX32-CG31,IF(A32&lt;'Données projet'!$A$114,$BV$205^A32,IF(A32='Données projet'!$A$114,'Données projet'!$B$114,BY31+BX32-CG31)))</f>
        <v>197.5</v>
      </c>
      <c r="BZ32" s="13">
        <f>BY32*VLOOKUP('Données projet'!$B$12,Paramètres!$A$1:$I$89,3,0)*VLOOKUP('Données projet'!$B$12,Paramètres!$A$1:$I$89,5,0)</f>
        <v>157.13100000000003</v>
      </c>
      <c r="CA32" s="13">
        <f t="shared" si="39"/>
        <v>40.194724574621844</v>
      </c>
      <c r="CB32" s="20">
        <f t="shared" si="10"/>
        <v>343.67563696746635</v>
      </c>
      <c r="CC32" s="59">
        <f t="shared" si="11"/>
        <v>637.00897030079966</v>
      </c>
      <c r="CD32" s="59">
        <f ca="1">AVERAGE(OFFSET($CC$3,0,0,'Données projet'!$E$12+1,1))-AVERAGE(OFFSET($H$3,0,0,'Données projet'!$E$12+1,1))</f>
        <v>260.20517190557814</v>
      </c>
      <c r="CE32" s="59">
        <f t="shared" si="40"/>
        <v>307.22009971147133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6.0596621223380289</v>
      </c>
      <c r="CM32" s="21">
        <f>EXP(-LN(2)/2)*CM31+(1-EXP(-LN(2)/2))/(LN(2)/2)*CG32*CJ32*VLOOKUP('Données projet'!$B$12,Paramètres!$A$1:$I$89,3,0)*0.475*44/12</f>
        <v>0.55568528759752389</v>
      </c>
      <c r="CN32" s="22">
        <f t="shared" si="12"/>
        <v>6.6153474099355529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6.3</v>
      </c>
      <c r="CT32" s="12">
        <f>IF('Données projet'!$A$140&gt;35,CT31+CS32-DB31,IF(A32&lt;'Données projet'!$A$140,$CQ$205^A32,IF(A32='Données projet'!$A$140,'Données projet'!$B$140,CT31+CS32-DB31)))</f>
        <v>92.699999999999974</v>
      </c>
      <c r="CU32" s="17">
        <f>CT32*VLOOKUP('Données projet'!$B$13,Paramètres!$A$1:$I$89,3,0)*VLOOKUP('Données projet'!$B$13,Paramètres!$A$1:$I$89,5,0)</f>
        <v>79.536599999999993</v>
      </c>
      <c r="CV32" s="13">
        <f t="shared" si="41"/>
        <v>22.023842139649517</v>
      </c>
      <c r="CW32" s="20">
        <f t="shared" si="13"/>
        <v>176.88443672655623</v>
      </c>
      <c r="CX32" s="59">
        <f t="shared" si="14"/>
        <v>470.21777005988952</v>
      </c>
      <c r="CY32" s="59">
        <f ca="1">AVERAGE(OFFSET($CX$3,0,0,'Données projet'!$E$13+1,1))-AVERAGE(OFFSET($H$3,0,0,'Données projet'!$E$13+1,1))</f>
        <v>310.4018929413723</v>
      </c>
      <c r="CZ32" s="59">
        <f t="shared" si="42"/>
        <v>127.5231137583819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0.39014505909112274</v>
      </c>
      <c r="DH32" s="21">
        <f>EXP(-LN(2)/2)*DH31+(1-EXP(-LN(2)/2))/(LN(2)/2)*DB32*DE32*VLOOKUP('Données projet'!$B$13,Paramètres!$A$1:$I$89,3,0)*0.475*44/12</f>
        <v>3.5777220740841435E-2</v>
      </c>
      <c r="DI32" s="22">
        <f t="shared" si="15"/>
        <v>0.42592227983196418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>
        <f>DO32*VLOOKUP('Données projet'!$B$14,Paramètres!$A$1:$I$89,3,0)*VLOOKUP('Données projet'!$B$14,Paramètres!$A$1:$I$89,5,0)</f>
        <v>144.80699999999999</v>
      </c>
      <c r="DQ32" s="13">
        <f t="shared" si="43"/>
        <v>37.396048708072577</v>
      </c>
      <c r="DR32" s="20">
        <f t="shared" si="16"/>
        <v>317.33697649989301</v>
      </c>
      <c r="DS32" s="59">
        <f t="shared" si="17"/>
        <v>610.67030983322638</v>
      </c>
      <c r="DT32" s="59">
        <f ca="1">AVERAGE(OFFSET($DS$3,0,0,'Données projet'!$E$14+1,1))-AVERAGE(OFFSET($H$3,0,0,'Données projet'!$E$14+1,1))</f>
        <v>234.09142087023463</v>
      </c>
      <c r="DU32" s="59">
        <f t="shared" si="44"/>
        <v>278.990685815294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4.5307351643526284</v>
      </c>
      <c r="EC32" s="21">
        <f>EXP(-LN(2)/2)*EC31+(1-EXP(-LN(2)/2))/(LN(2)/2)*DW32*DZ32*VLOOKUP('Données projet'!$B$14,Paramètres!$A$1:$I$89,3,0)*0.475*44/12</f>
        <v>0.5121021277859531</v>
      </c>
      <c r="ED32" s="22">
        <f t="shared" si="18"/>
        <v>5.0428372921385813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16.399999999999999</v>
      </c>
      <c r="AH33" s="12">
        <f t="array" ref="AH33">INDEX(AG:AG,MIN(IF(ISNUMBER(AG33:AG229),ROW(AG33:AG229),"")))</f>
        <v>16.399999999999999</v>
      </c>
      <c r="AI33" s="13">
        <f>IF('Données projet'!$A$62&gt;35,AI32+AH33-AQ32,IF(A33&lt;'Données projet'!$A$62,$AF$205^A33,IF(A33='Données projet'!$A$62,'Données projet'!$B$62,AI32+AH33-AQ32)))</f>
        <v>260</v>
      </c>
      <c r="AJ33" s="13">
        <f>AI33*VLOOKUP('Données projet'!$B$10,Paramètres!$A$1:$I$89,3,0)*VLOOKUP('Données projet'!$B$10,Paramètres!$A$1:$I$89,5,0)</f>
        <v>141.96</v>
      </c>
      <c r="AK33" s="13">
        <f t="shared" si="35"/>
        <v>36.745650011720485</v>
      </c>
      <c r="AL33" s="20">
        <f t="shared" si="4"/>
        <v>311.24567377041313</v>
      </c>
      <c r="AM33" s="59">
        <f t="shared" si="5"/>
        <v>604.57900710374645</v>
      </c>
      <c r="AN33" s="59">
        <f ca="1">AVERAGE(OFFSET($AM$3,0,0,'Données projet'!$E$10+1,1))-AVERAGE(OFFSET($H$3,0,0,'Données projet'!$E$10+1,1))</f>
        <v>210.04871822652808</v>
      </c>
      <c r="AO33" s="59">
        <f t="shared" si="36"/>
        <v>250.17540614049324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7.3009862621134873</v>
      </c>
      <c r="AV33" s="21">
        <f>EXP(-LN(2)/25)*AV32+(1-EXP(-LN(2)/25))/(LN(2)/25)*Calculateur!AQ33*Calculateur!AS33*VLOOKUP('Données projet'!$B$10,Paramètres!$A$1:$I$89,3,0)*0.475*44/12</f>
        <v>27.830713584157436</v>
      </c>
      <c r="AW33" s="21">
        <f>EXP(-LN(2)/2)*AW32+(1-EXP(-LN(2)/2))/(LN(2)/2)*AQ33*AT33*VLOOKUP('Données projet'!$B$10,Paramètres!$A$1:$I$89,3,0)*0.475*44/12</f>
        <v>21.553888737351617</v>
      </c>
      <c r="AX33" s="21">
        <f t="shared" si="6"/>
        <v>56.685588583622547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230</v>
      </c>
      <c r="BB33" s="12">
        <f>VLOOKUP(A33,'Données projet'!$A$87:$I$107,9,0)</f>
        <v>15.3</v>
      </c>
      <c r="BC33" s="12">
        <f t="array" ref="BC33">INDEX(BB:BB,MIN(IF(ISNUMBER(BB33:BB229),ROW(BB33:BB229),"")))</f>
        <v>15.3</v>
      </c>
      <c r="BD33" s="12">
        <f>IF('Données projet'!$A$88&gt;35,BD32+BC33-BL32,IF(A33&lt;'Données projet'!$A$88,$BA$205^A33,IF(A33='Données projet'!$A$88,'Données projet'!$B$88,BD32+BC33-BL32)))</f>
        <v>230.00000000000006</v>
      </c>
      <c r="BE33" s="13">
        <f>BD33*VLOOKUP('Données projet'!$B$11,Paramètres!$A$1:$I$89,3,0)*VLOOKUP('Données projet'!$B$11,Paramètres!$A$1:$I$89,5,0)</f>
        <v>137.54000000000005</v>
      </c>
      <c r="BF33" s="13">
        <f t="shared" si="37"/>
        <v>35.73287391561098</v>
      </c>
      <c r="BG33" s="20">
        <f t="shared" si="7"/>
        <v>301.78358873635585</v>
      </c>
      <c r="BH33" s="59">
        <f t="shared" si="8"/>
        <v>595.11692206968917</v>
      </c>
      <c r="BI33" s="59">
        <f ca="1">AVERAGE(OFFSET($BH$3,0,0,'Données projet'!$E$11+1,1))-AVERAGE(OFFSET($H$3,0,0,'Données projet'!$E$11+1,1))</f>
        <v>316.58509520829671</v>
      </c>
      <c r="BJ33" s="59">
        <f t="shared" si="38"/>
        <v>240.71332110643596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71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0.20250000000000001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2.5345473142073405</v>
      </c>
      <c r="BQ33" s="21">
        <f>EXP(-LN(2)/25)*BQ32+(1-EXP(-LN(2)/25))/(LN(2)/25)*Calculateur!BL33*Calculateur!BN33*VLOOKUP('Données projet'!$B$11,Paramètres!$A$1:$I$89,3,0)*0.475*44/12</f>
        <v>15.267926720595529</v>
      </c>
      <c r="BR33" s="21">
        <f>EXP(-LN(2)/2)*BR32+(1-EXP(-LN(2)/2))/(LN(2)/2)*BL33*BO33*VLOOKUP('Données projet'!$B$11,Paramètres!$A$1:$I$89,3,0)*0.475*44/12</f>
        <v>21.939343070140783</v>
      </c>
      <c r="BS33" s="22">
        <f t="shared" si="9"/>
        <v>39.741817104943649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212</v>
      </c>
      <c r="BW33" s="12">
        <f>VLOOKUP(A33,'Données projet'!$A$113:$I$133,9,0)</f>
        <v>14.5</v>
      </c>
      <c r="BX33" s="12">
        <f t="array" ref="BX33">INDEX(BW:BW,MIN(IF(ISNUMBER(BW33:BW229),ROW(BW33:BW229),"")))</f>
        <v>14.5</v>
      </c>
      <c r="BY33" s="12">
        <f>IF('Données projet'!$A$114&gt;35,BY32+BX33-CG32,IF(A33&lt;'Données projet'!$A$114,$BV$205^A33,IF(A33='Données projet'!$A$114,'Données projet'!$B$114,BY32+BX33-CG32)))</f>
        <v>212</v>
      </c>
      <c r="BZ33" s="13">
        <f>BY33*VLOOKUP('Données projet'!$B$12,Paramètres!$A$1:$I$89,3,0)*VLOOKUP('Données projet'!$B$12,Paramètres!$A$1:$I$89,5,0)</f>
        <v>168.66720000000001</v>
      </c>
      <c r="CA33" s="13">
        <f t="shared" si="39"/>
        <v>42.791384119459089</v>
      </c>
      <c r="CB33" s="20">
        <f t="shared" si="10"/>
        <v>368.29036734139123</v>
      </c>
      <c r="CC33" s="59">
        <f t="shared" si="11"/>
        <v>661.62370067472455</v>
      </c>
      <c r="CD33" s="59">
        <f ca="1">AVERAGE(OFFSET($CC$3,0,0,'Données projet'!$E$12+1,1))-AVERAGE(OFFSET($H$3,0,0,'Données projet'!$E$12+1,1))</f>
        <v>260.20517190557814</v>
      </c>
      <c r="CE33" s="59">
        <f t="shared" si="40"/>
        <v>307.22009971147133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5.3000000000000005E-2</v>
      </c>
      <c r="CI33" s="16">
        <f>IF(ISNA(VLOOKUP(A33,'Données projet'!$A$113:$I$133,6,0)),0%,VLOOKUP(A33,'Données projet'!$A$113:$I$133,6,0)*VLOOKUP('Données projet'!$B$12,Paramètres!$A$1:$I$89,7,0))</f>
        <v>0.23850000000000002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3.2629903879783009</v>
      </c>
      <c r="CL33" s="21">
        <f>EXP(-LN(2)/25)*CL32+(1-EXP(-LN(2)/25))/(LN(2)/25)*Calculateur!CG33*Calculateur!CI33*VLOOKUP('Données projet'!$B$12,Paramètres!$A$1:$I$89,3,0)*0.475*44/12</f>
        <v>20.519602724797</v>
      </c>
      <c r="CM33" s="21">
        <f>EXP(-LN(2)/2)*CM32+(1-EXP(-LN(2)/2))/(LN(2)/2)*CG33*CJ33*VLOOKUP('Données projet'!$B$12,Paramètres!$A$1:$I$89,3,0)*0.475*44/12</f>
        <v>24.039034252757283</v>
      </c>
      <c r="CN33" s="22">
        <f t="shared" si="12"/>
        <v>47.821627365532585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99</v>
      </c>
      <c r="CR33" s="12">
        <f>VLOOKUP(A33,'Données projet'!$A$139:$I$159,9,0)</f>
        <v>6.3</v>
      </c>
      <c r="CS33" s="12">
        <f t="array" ref="CS33">INDEX(CR:CR,MIN(IF(ISNUMBER(CR33:CR229),ROW(CR33:CR229),"")))</f>
        <v>6.3</v>
      </c>
      <c r="CT33" s="12">
        <f>IF('Données projet'!$A$140&gt;35,CT32+CS33-DB32,IF(A33&lt;'Données projet'!$A$140,$CQ$205^A33,IF(A33='Données projet'!$A$140,'Données projet'!$B$140,CT32+CS33-DB32)))</f>
        <v>98.999999999999972</v>
      </c>
      <c r="CU33" s="17">
        <f>CT33*VLOOKUP('Données projet'!$B$13,Paramètres!$A$1:$I$89,3,0)*VLOOKUP('Données projet'!$B$13,Paramètres!$A$1:$I$89,5,0)</f>
        <v>84.941999999999979</v>
      </c>
      <c r="CV33" s="13">
        <f t="shared" si="41"/>
        <v>23.34128117988622</v>
      </c>
      <c r="CW33" s="20">
        <f t="shared" si="13"/>
        <v>188.59338138830176</v>
      </c>
      <c r="CX33" s="59">
        <f t="shared" si="14"/>
        <v>481.92671472163511</v>
      </c>
      <c r="CY33" s="59">
        <f ca="1">AVERAGE(OFFSET($CX$3,0,0,'Données projet'!$E$13+1,1))-AVERAGE(OFFSET($H$3,0,0,'Données projet'!$E$13+1,1))</f>
        <v>310.4018929413723</v>
      </c>
      <c r="CZ33" s="59">
        <f t="shared" si="42"/>
        <v>127.5231137583819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0.26500000000000001</v>
      </c>
      <c r="DE33" s="16">
        <f>IF(ISNA(VLOOKUP(A33,'Données projet'!$A$139:$I$159,7,0)),0%,VLOOKUP(A33,'Données projet'!$A$139:$I$159,7,0))</f>
        <v>0.5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5.88742152101476</v>
      </c>
      <c r="DH33" s="21">
        <f>EXP(-LN(2)/2)*DH32+(1-EXP(-LN(2)/2))/(LN(2)/2)*DB33*DE33*VLOOKUP('Données projet'!$B$13,Paramètres!$A$1:$I$89,3,0)*0.475*44/12</f>
        <v>8.93030533544351</v>
      </c>
      <c r="DI33" s="22">
        <f t="shared" si="15"/>
        <v>14.81772685645827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>
        <f>DO33*VLOOKUP('Données projet'!$B$14,Paramètres!$A$1:$I$89,3,0)*VLOOKUP('Données projet'!$B$14,Paramètres!$A$1:$I$89,5,0)</f>
        <v>155.4384</v>
      </c>
      <c r="DQ33" s="13">
        <f t="shared" si="43"/>
        <v>39.811908198208918</v>
      </c>
      <c r="DR33" s="20">
        <f t="shared" si="16"/>
        <v>340.06095344521384</v>
      </c>
      <c r="DS33" s="59">
        <f t="shared" si="17"/>
        <v>633.39428677854721</v>
      </c>
      <c r="DT33" s="59">
        <f ca="1">AVERAGE(OFFSET($DS$3,0,0,'Données projet'!$E$14+1,1))-AVERAGE(OFFSET($H$3,0,0,'Données projet'!$E$14+1,1))</f>
        <v>234.09142087023463</v>
      </c>
      <c r="DU33" s="59">
        <f t="shared" si="44"/>
        <v>278.990685815294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2.4396979556434131</v>
      </c>
      <c r="EB33" s="21">
        <f>EXP(-LN(2)/25)*EB32+(1-EXP(-LN(2)/25))/(LN(2)/25)*Calculateur!DW33*Calculateur!DY33*VLOOKUP('Données projet'!$B$14,Paramètres!$A$1:$I$89,3,0)*0.475*44/12</f>
        <v>15.342255681396496</v>
      </c>
      <c r="EC33" s="21">
        <f>EXP(-LN(2)/2)*EC32+(1-EXP(-LN(2)/2))/(LN(2)/2)*DW33*DZ33*VLOOKUP('Données projet'!$B$14,Paramètres!$A$1:$I$89,3,0)*0.475*44/12</f>
        <v>22.153619801560634</v>
      </c>
      <c r="ED33" s="22">
        <f t="shared" si="18"/>
        <v>39.935573438600542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13.8</v>
      </c>
      <c r="AI34" s="13">
        <f>IF('Données projet'!$A$62&gt;35,AI33+AH34-AQ33,IF(A34&lt;'Données projet'!$A$62,$AF$205^A34,IF(A34='Données projet'!$A$62,'Données projet'!$B$62,AI33+AH34-AQ33)))</f>
        <v>189.8</v>
      </c>
      <c r="AJ34" s="13">
        <f>AI34*VLOOKUP('Données projet'!$B$10,Paramètres!$A$1:$I$89,3,0)*VLOOKUP('Données projet'!$B$10,Paramètres!$A$1:$I$89,5,0)</f>
        <v>103.63080000000001</v>
      </c>
      <c r="AK34" s="13">
        <f t="shared" si="35"/>
        <v>27.825181985080775</v>
      </c>
      <c r="AL34" s="20">
        <f t="shared" si="4"/>
        <v>228.952501957349</v>
      </c>
      <c r="AM34" s="59">
        <f t="shared" si="5"/>
        <v>522.28583529068237</v>
      </c>
      <c r="AN34" s="59">
        <f ca="1">AVERAGE(OFFSET($AM$3,0,0,'Données projet'!$E$10+1,1))-AVERAGE(OFFSET($H$3,0,0,'Données projet'!$E$10+1,1))</f>
        <v>210.04871822652808</v>
      </c>
      <c r="AO34" s="59">
        <f t="shared" si="36"/>
        <v>250.17540614049324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7.1578183746753483</v>
      </c>
      <c r="AV34" s="21">
        <f>EXP(-LN(2)/25)*AV33+(1-EXP(-LN(2)/25))/(LN(2)/25)*Calculateur!AQ34*Calculateur!AS34*VLOOKUP('Données projet'!$B$10,Paramètres!$A$1:$I$89,3,0)*0.475*44/12</f>
        <v>27.069681257645033</v>
      </c>
      <c r="AW34" s="21">
        <f>EXP(-LN(2)/2)*AW33+(1-EXP(-LN(2)/2))/(LN(2)/2)*AQ34*AT34*VLOOKUP('Données projet'!$B$10,Paramètres!$A$1:$I$89,3,0)*0.475*44/12</f>
        <v>15.240900887121683</v>
      </c>
      <c r="AX34" s="21">
        <f t="shared" si="6"/>
        <v>49.468400519442064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18.2</v>
      </c>
      <c r="BD34" s="12">
        <f>IF('Données projet'!$A$88&gt;35,BD33+BC34-BL33,IF(A34&lt;'Données projet'!$A$88,$BA$205^A34,IF(A34='Données projet'!$A$88,'Données projet'!$B$88,BD33+BC34-BL33)))</f>
        <v>177.20000000000005</v>
      </c>
      <c r="BE34" s="13">
        <f>BD34*VLOOKUP('Données projet'!$B$11,Paramètres!$A$1:$I$89,3,0)*VLOOKUP('Données projet'!$B$11,Paramètres!$A$1:$I$89,5,0)</f>
        <v>105.96560000000004</v>
      </c>
      <c r="BF34" s="13">
        <f t="shared" si="37"/>
        <v>28.378391242376729</v>
      </c>
      <c r="BG34" s="20">
        <f t="shared" si="7"/>
        <v>233.98245141380619</v>
      </c>
      <c r="BH34" s="59">
        <f t="shared" si="8"/>
        <v>527.31578474713956</v>
      </c>
      <c r="BI34" s="59">
        <f ca="1">AVERAGE(OFFSET($BH$3,0,0,'Données projet'!$E$11+1,1))-AVERAGE(OFFSET($H$3,0,0,'Données projet'!$E$11+1,1))</f>
        <v>316.58509520829671</v>
      </c>
      <c r="BJ34" s="59">
        <f t="shared" si="38"/>
        <v>240.71332110643596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2.4848463872969493</v>
      </c>
      <c r="BQ34" s="21">
        <f>EXP(-LN(2)/25)*BQ33+(1-EXP(-LN(2)/25))/(LN(2)/25)*Calculateur!BL34*Calculateur!BN34*VLOOKUP('Données projet'!$B$11,Paramètres!$A$1:$I$89,3,0)*0.475*44/12</f>
        <v>14.850424461515473</v>
      </c>
      <c r="BR34" s="21">
        <f>EXP(-LN(2)/2)*BR33+(1-EXP(-LN(2)/2))/(LN(2)/2)*BL34*BO34*VLOOKUP('Données projet'!$B$11,Paramètres!$A$1:$I$89,3,0)*0.475*44/12</f>
        <v>15.513458259674637</v>
      </c>
      <c r="BS34" s="22">
        <f t="shared" si="9"/>
        <v>32.848729108487056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12.1</v>
      </c>
      <c r="BY34" s="12">
        <f>IF('Données projet'!$A$114&gt;35,BY33+BX34-CG33,IF(A34&lt;'Données projet'!$A$114,$BV$205^A34,IF(A34='Données projet'!$A$114,'Données projet'!$B$114,BY33+BX34-CG33)))</f>
        <v>154.1</v>
      </c>
      <c r="BZ34" s="13">
        <f>BY34*VLOOKUP('Données projet'!$B$12,Paramètres!$A$1:$I$89,3,0)*VLOOKUP('Données projet'!$B$12,Paramètres!$A$1:$I$89,5,0)</f>
        <v>122.60195999999999</v>
      </c>
      <c r="CA34" s="13">
        <f t="shared" si="39"/>
        <v>32.281104011674643</v>
      </c>
      <c r="CB34" s="20">
        <f t="shared" si="10"/>
        <v>269.75466982033333</v>
      </c>
      <c r="CC34" s="59">
        <f t="shared" si="11"/>
        <v>563.0880031536667</v>
      </c>
      <c r="CD34" s="59">
        <f ca="1">AVERAGE(OFFSET($CC$3,0,0,'Données projet'!$E$12+1,1))-AVERAGE(OFFSET($H$3,0,0,'Données projet'!$E$12+1,1))</f>
        <v>260.20517190557814</v>
      </c>
      <c r="CE34" s="59">
        <f t="shared" si="40"/>
        <v>307.22009971147133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3.1990051366976644</v>
      </c>
      <c r="CL34" s="21">
        <f>EXP(-LN(2)/25)*CL33+(1-EXP(-LN(2)/25))/(LN(2)/25)*Calculateur!CG34*Calculateur!CI34*VLOOKUP('Données projet'!$B$12,Paramètres!$A$1:$I$89,3,0)*0.475*44/12</f>
        <v>19.958493109208415</v>
      </c>
      <c r="CM34" s="21">
        <f>EXP(-LN(2)/2)*CM33+(1-EXP(-LN(2)/2))/(LN(2)/2)*CG34*CJ34*VLOOKUP('Données projet'!$B$12,Paramètres!$A$1:$I$89,3,0)*0.475*44/12</f>
        <v>16.998164133300367</v>
      </c>
      <c r="CN34" s="22">
        <f t="shared" si="12"/>
        <v>40.155662379206447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9.6</v>
      </c>
      <c r="CT34" s="12">
        <f>IF('Données projet'!$A$140&gt;35,CT33+CS34-DB33,IF(A34&lt;'Données projet'!$A$140,$CQ$205^A34,IF(A34='Données projet'!$A$140,'Données projet'!$B$140,CT33+CS34-DB33)))</f>
        <v>86.599999999999966</v>
      </c>
      <c r="CU34" s="17">
        <f>CT34*VLOOKUP('Données projet'!$B$13,Paramètres!$A$1:$I$89,3,0)*VLOOKUP('Données projet'!$B$13,Paramètres!$A$1:$I$89,5,0)</f>
        <v>74.302799999999991</v>
      </c>
      <c r="CV34" s="13">
        <f t="shared" si="41"/>
        <v>20.73825650366803</v>
      </c>
      <c r="CW34" s="20">
        <f t="shared" si="13"/>
        <v>165.52984007722179</v>
      </c>
      <c r="CX34" s="59">
        <f t="shared" si="14"/>
        <v>458.86317341055508</v>
      </c>
      <c r="CY34" s="59">
        <f ca="1">AVERAGE(OFFSET($CX$3,0,0,'Données projet'!$E$13+1,1))-AVERAGE(OFFSET($H$3,0,0,'Données projet'!$E$13+1,1))</f>
        <v>310.4018929413723</v>
      </c>
      <c r="CZ34" s="59">
        <f t="shared" si="42"/>
        <v>127.5231137583819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5.7264296699165698</v>
      </c>
      <c r="DH34" s="21">
        <f>EXP(-LN(2)/2)*DH33+(1-EXP(-LN(2)/2))/(LN(2)/2)*DB34*DE34*VLOOKUP('Données projet'!$B$13,Paramètres!$A$1:$I$89,3,0)*0.475*44/12</f>
        <v>6.3146794607585122</v>
      </c>
      <c r="DI34" s="22">
        <f t="shared" si="15"/>
        <v>12.041109130675082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>
        <f>DO34*VLOOKUP('Données projet'!$B$14,Paramètres!$A$1:$I$89,3,0)*VLOOKUP('Données projet'!$B$14,Paramètres!$A$1:$I$89,5,0)</f>
        <v>112.98611999999999</v>
      </c>
      <c r="DQ34" s="13">
        <f t="shared" si="43"/>
        <v>30.033437241989123</v>
      </c>
      <c r="DR34" s="20">
        <f t="shared" si="16"/>
        <v>249.0923955297977</v>
      </c>
      <c r="DS34" s="59">
        <f t="shared" si="17"/>
        <v>542.42572886313098</v>
      </c>
      <c r="DT34" s="59">
        <f ca="1">AVERAGE(OFFSET($DS$3,0,0,'Données projet'!$E$14+1,1))-AVERAGE(OFFSET($H$3,0,0,'Données projet'!$E$14+1,1))</f>
        <v>234.09142087023463</v>
      </c>
      <c r="DU34" s="59">
        <f t="shared" si="44"/>
        <v>278.990685815294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2.3918569668020639</v>
      </c>
      <c r="EB34" s="21">
        <f>EXP(-LN(2)/25)*EB33+(1-EXP(-LN(2)/25))/(LN(2)/25)*Calculateur!DW34*Calculateur!DY34*VLOOKUP('Données projet'!$B$14,Paramètres!$A$1:$I$89,3,0)*0.475*44/12</f>
        <v>14.922720892974548</v>
      </c>
      <c r="EC34" s="21">
        <f>EXP(-LN(2)/2)*EC33+(1-EXP(-LN(2)/2))/(LN(2)/2)*DW34*DZ34*VLOOKUP('Données projet'!$B$14,Paramètres!$A$1:$I$89,3,0)*0.475*44/12</f>
        <v>15.664974789512103</v>
      </c>
      <c r="ED34" s="22">
        <f t="shared" si="18"/>
        <v>32.979552649288713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13.8</v>
      </c>
      <c r="AI35" s="13">
        <f>IF('Données projet'!$A$62&gt;35,AI34+AH35-AQ34,IF(A35&lt;'Données projet'!$A$62,$AF$205^A35,IF(A35='Données projet'!$A$62,'Données projet'!$B$62,AI34+AH35-AQ34)))</f>
        <v>203.60000000000002</v>
      </c>
      <c r="AJ35" s="13">
        <f>AI35*VLOOKUP('Données projet'!$B$10,Paramètres!$A$1:$I$89,3,0)*VLOOKUP('Données projet'!$B$10,Paramètres!$A$1:$I$89,5,0)</f>
        <v>111.1656</v>
      </c>
      <c r="AK35" s="13">
        <f t="shared" si="35"/>
        <v>29.60544032483066</v>
      </c>
      <c r="AL35" s="20">
        <f t="shared" si="4"/>
        <v>245.17622856574675</v>
      </c>
      <c r="AM35" s="59">
        <f t="shared" si="5"/>
        <v>538.50956189908004</v>
      </c>
      <c r="AN35" s="59">
        <f ca="1">AVERAGE(OFFSET($AM$3,0,0,'Données projet'!$E$10+1,1))-AVERAGE(OFFSET($H$3,0,0,'Données projet'!$E$10+1,1))</f>
        <v>210.04871822652808</v>
      </c>
      <c r="AO35" s="59">
        <f t="shared" si="36"/>
        <v>250.17540614049324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7.0174579221860824</v>
      </c>
      <c r="AV35" s="21">
        <f>EXP(-LN(2)/25)*AV34+(1-EXP(-LN(2)/25))/(LN(2)/25)*Calculateur!AQ35*Calculateur!AS35*VLOOKUP('Données projet'!$B$10,Paramètres!$A$1:$I$89,3,0)*0.475*44/12</f>
        <v>26.329459400122062</v>
      </c>
      <c r="AW35" s="21">
        <f>EXP(-LN(2)/2)*AW34+(1-EXP(-LN(2)/2))/(LN(2)/2)*AQ35*AT35*VLOOKUP('Données projet'!$B$10,Paramètres!$A$1:$I$89,3,0)*0.475*44/12</f>
        <v>10.77694436867581</v>
      </c>
      <c r="AX35" s="21">
        <f t="shared" si="6"/>
        <v>44.123861690983958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18.2</v>
      </c>
      <c r="BD35" s="12">
        <f>IF('Données projet'!$A$88&gt;35,BD34+BC35-BL34,IF(A35&lt;'Données projet'!$A$88,$BA$205^A35,IF(A35='Données projet'!$A$88,'Données projet'!$B$88,BD34+BC35-BL34)))</f>
        <v>195.40000000000003</v>
      </c>
      <c r="BE35" s="13">
        <f>BD35*VLOOKUP('Données projet'!$B$11,Paramètres!$A$1:$I$89,3,0)*VLOOKUP('Données projet'!$B$11,Paramètres!$A$1:$I$89,5,0)</f>
        <v>116.84920000000002</v>
      </c>
      <c r="BF35" s="13">
        <f t="shared" si="37"/>
        <v>30.938992822101849</v>
      </c>
      <c r="BG35" s="20">
        <f t="shared" si="7"/>
        <v>257.39776916516081</v>
      </c>
      <c r="BH35" s="59">
        <f t="shared" si="8"/>
        <v>550.73110249849412</v>
      </c>
      <c r="BI35" s="59">
        <f ca="1">AVERAGE(OFFSET($BH$3,0,0,'Données projet'!$E$11+1,1))-AVERAGE(OFFSET($H$3,0,0,'Données projet'!$E$11+1,1))</f>
        <v>316.58509520829671</v>
      </c>
      <c r="BJ35" s="59">
        <f t="shared" si="38"/>
        <v>240.71332110643596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2.4361200652486987</v>
      </c>
      <c r="BQ35" s="21">
        <f>EXP(-LN(2)/25)*BQ34+(1-EXP(-LN(2)/25))/(LN(2)/25)*Calculateur!BL35*Calculateur!BN35*VLOOKUP('Données projet'!$B$11,Paramètres!$A$1:$I$89,3,0)*0.475*44/12</f>
        <v>14.444338823665451</v>
      </c>
      <c r="BR35" s="21">
        <f>EXP(-LN(2)/2)*BR34+(1-EXP(-LN(2)/2))/(LN(2)/2)*BL35*BO35*VLOOKUP('Données projet'!$B$11,Paramètres!$A$1:$I$89,3,0)*0.475*44/12</f>
        <v>10.969671535070393</v>
      </c>
      <c r="BS35" s="22">
        <f t="shared" si="9"/>
        <v>27.850130423984542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12.1</v>
      </c>
      <c r="BY35" s="12">
        <f>IF('Données projet'!$A$114&gt;35,BY34+BX35-CG34,IF(A35&lt;'Données projet'!$A$114,$BV$205^A35,IF(A35='Données projet'!$A$114,'Données projet'!$B$114,BY34+BX35-CG34)))</f>
        <v>166.2</v>
      </c>
      <c r="BZ35" s="13">
        <f>BY35*VLOOKUP('Données projet'!$B$12,Paramètres!$A$1:$I$89,3,0)*VLOOKUP('Données projet'!$B$12,Paramètres!$A$1:$I$89,5,0)</f>
        <v>132.22872000000001</v>
      </c>
      <c r="CA35" s="13">
        <f t="shared" si="39"/>
        <v>34.510840487492601</v>
      </c>
      <c r="CB35" s="20">
        <f t="shared" si="10"/>
        <v>290.40473451571626</v>
      </c>
      <c r="CC35" s="59">
        <f t="shared" si="11"/>
        <v>583.73806784904957</v>
      </c>
      <c r="CD35" s="59">
        <f ca="1">AVERAGE(OFFSET($CC$3,0,0,'Données projet'!$E$12+1,1))-AVERAGE(OFFSET($H$3,0,0,'Données projet'!$E$12+1,1))</f>
        <v>260.20517190557814</v>
      </c>
      <c r="CE35" s="59">
        <f t="shared" si="40"/>
        <v>307.22009971147133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3.1362745971674917</v>
      </c>
      <c r="CL35" s="21">
        <f>EXP(-LN(2)/25)*CL34+(1-EXP(-LN(2)/25))/(LN(2)/25)*Calculateur!CG35*Calculateur!CI35*VLOOKUP('Données projet'!$B$12,Paramètres!$A$1:$I$89,3,0)*0.475*44/12</f>
        <v>19.412727065565573</v>
      </c>
      <c r="CM35" s="21">
        <f>EXP(-LN(2)/2)*CM34+(1-EXP(-LN(2)/2))/(LN(2)/2)*CG35*CJ35*VLOOKUP('Données projet'!$B$12,Paramètres!$A$1:$I$89,3,0)*0.475*44/12</f>
        <v>12.019517126378643</v>
      </c>
      <c r="CN35" s="22">
        <f t="shared" si="12"/>
        <v>34.568518789111707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9.6</v>
      </c>
      <c r="CT35" s="12">
        <f>IF('Données projet'!$A$140&gt;35,CT34+CS35-DB34,IF(A35&lt;'Données projet'!$A$140,$CQ$205^A35,IF(A35='Données projet'!$A$140,'Données projet'!$B$140,CT34+CS35-DB34)))</f>
        <v>96.19999999999996</v>
      </c>
      <c r="CU35" s="17">
        <f>CT35*VLOOKUP('Données projet'!$B$13,Paramètres!$A$1:$I$89,3,0)*VLOOKUP('Données projet'!$B$13,Paramètres!$A$1:$I$89,5,0)</f>
        <v>82.539599999999979</v>
      </c>
      <c r="CV35" s="13">
        <f t="shared" si="41"/>
        <v>22.756995627482848</v>
      </c>
      <c r="CW35" s="20">
        <f t="shared" si="13"/>
        <v>183.3915707178659</v>
      </c>
      <c r="CX35" s="59">
        <f t="shared" si="14"/>
        <v>476.72490405119925</v>
      </c>
      <c r="CY35" s="59">
        <f ca="1">AVERAGE(OFFSET($CX$3,0,0,'Données projet'!$E$13+1,1))-AVERAGE(OFFSET($H$3,0,0,'Données projet'!$E$13+1,1))</f>
        <v>310.4018929413723</v>
      </c>
      <c r="CZ35" s="59">
        <f t="shared" si="42"/>
        <v>127.5231137583819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5.5698401494528529</v>
      </c>
      <c r="DH35" s="21">
        <f>EXP(-LN(2)/2)*DH34+(1-EXP(-LN(2)/2))/(LN(2)/2)*DB35*DE35*VLOOKUP('Données projet'!$B$13,Paramètres!$A$1:$I$89,3,0)*0.475*44/12</f>
        <v>4.4651526677217559</v>
      </c>
      <c r="DI35" s="22">
        <f t="shared" si="15"/>
        <v>10.034992817174608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>
        <f>DO35*VLOOKUP('Données projet'!$B$14,Paramètres!$A$1:$I$89,3,0)*VLOOKUP('Données projet'!$B$14,Paramètres!$A$1:$I$89,5,0)</f>
        <v>121.85783999999998</v>
      </c>
      <c r="DQ35" s="13">
        <f t="shared" si="43"/>
        <v>32.107921760499821</v>
      </c>
      <c r="DR35" s="20">
        <f t="shared" si="16"/>
        <v>268.15703506620378</v>
      </c>
      <c r="DS35" s="59">
        <f t="shared" si="17"/>
        <v>561.49036839953715</v>
      </c>
      <c r="DT35" s="59">
        <f ca="1">AVERAGE(OFFSET($DS$3,0,0,'Données projet'!$E$14+1,1))-AVERAGE(OFFSET($H$3,0,0,'Données projet'!$E$14+1,1))</f>
        <v>234.09142087023463</v>
      </c>
      <c r="DU35" s="59">
        <f t="shared" si="44"/>
        <v>278.990685815294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2.3449541105717717</v>
      </c>
      <c r="EB35" s="21">
        <f>EXP(-LN(2)/25)*EB34+(1-EXP(-LN(2)/25))/(LN(2)/25)*Calculateur!DW35*Calculateur!DY35*VLOOKUP('Données projet'!$B$14,Paramètres!$A$1:$I$89,3,0)*0.475*44/12</f>
        <v>14.514658305404373</v>
      </c>
      <c r="EC35" s="21">
        <f>EXP(-LN(2)/2)*EC34+(1-EXP(-LN(2)/2))/(LN(2)/2)*DW35*DZ35*VLOOKUP('Données projet'!$B$14,Paramètres!$A$1:$I$89,3,0)*0.475*44/12</f>
        <v>11.076809900780319</v>
      </c>
      <c r="ED35" s="22">
        <f t="shared" si="18"/>
        <v>27.936422316756463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13.8</v>
      </c>
      <c r="AI36" s="13">
        <f>IF('Données projet'!$A$62&gt;35,AI35+AH36-AQ35,IF(A36&lt;'Données projet'!$A$62,$AF$205^A36,IF(A36='Données projet'!$A$62,'Données projet'!$B$62,AI35+AH36-AQ35)))</f>
        <v>217.40000000000003</v>
      </c>
      <c r="AJ36" s="13">
        <f>AI36*VLOOKUP('Données projet'!$B$10,Paramètres!$A$1:$I$89,3,0)*VLOOKUP('Données projet'!$B$10,Paramètres!$A$1:$I$89,5,0)</f>
        <v>118.70040000000002</v>
      </c>
      <c r="AK36" s="13">
        <f t="shared" si="35"/>
        <v>31.371697109278699</v>
      </c>
      <c r="AL36" s="20">
        <f t="shared" si="4"/>
        <v>261.37556913199376</v>
      </c>
      <c r="AM36" s="59">
        <f t="shared" si="5"/>
        <v>554.70890246532713</v>
      </c>
      <c r="AN36" s="59">
        <f ca="1">AVERAGE(OFFSET($AM$3,0,0,'Données projet'!$E$10+1,1))-AVERAGE(OFFSET($H$3,0,0,'Données projet'!$E$10+1,1))</f>
        <v>210.04871822652808</v>
      </c>
      <c r="AO36" s="59">
        <f t="shared" si="36"/>
        <v>250.17540614049324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6.8798498525587082</v>
      </c>
      <c r="AV36" s="21">
        <f>EXP(-LN(2)/25)*AV35+(1-EXP(-LN(2)/25))/(LN(2)/25)*Calculateur!AQ36*Calculateur!AS36*VLOOKUP('Données projet'!$B$10,Paramètres!$A$1:$I$89,3,0)*0.475*44/12</f>
        <v>25.609478948219632</v>
      </c>
      <c r="AW36" s="21">
        <f>EXP(-LN(2)/2)*AW35+(1-EXP(-LN(2)/2))/(LN(2)/2)*AQ36*AT36*VLOOKUP('Données projet'!$B$10,Paramètres!$A$1:$I$89,3,0)*0.475*44/12</f>
        <v>7.6204504435608422</v>
      </c>
      <c r="AX36" s="21">
        <f t="shared" si="6"/>
        <v>40.10977924433918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18.2</v>
      </c>
      <c r="BD36" s="12">
        <f>IF('Données projet'!$A$88&gt;35,BD35+BC36-BL35,IF(A36&lt;'Données projet'!$A$88,$BA$205^A36,IF(A36='Données projet'!$A$88,'Données projet'!$B$88,BD35+BC36-BL35)))</f>
        <v>213.60000000000002</v>
      </c>
      <c r="BE36" s="13">
        <f>BD36*VLOOKUP('Données projet'!$B$11,Paramètres!$A$1:$I$89,3,0)*VLOOKUP('Données projet'!$B$11,Paramètres!$A$1:$I$89,5,0)</f>
        <v>127.73280000000003</v>
      </c>
      <c r="BF36" s="13">
        <f t="shared" si="37"/>
        <v>33.471940749957469</v>
      </c>
      <c r="BG36" s="20">
        <f t="shared" si="7"/>
        <v>280.76492347284267</v>
      </c>
      <c r="BH36" s="59">
        <f t="shared" si="8"/>
        <v>574.09825680617598</v>
      </c>
      <c r="BI36" s="59">
        <f ca="1">AVERAGE(OFFSET($BH$3,0,0,'Données projet'!$E$11+1,1))-AVERAGE(OFFSET($H$3,0,0,'Données projet'!$E$11+1,1))</f>
        <v>316.58509520829671</v>
      </c>
      <c r="BJ36" s="59">
        <f t="shared" si="38"/>
        <v>240.71332110643596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2.3883492366556927</v>
      </c>
      <c r="BQ36" s="21">
        <f>EXP(-LN(2)/25)*BQ35+(1-EXP(-LN(2)/25))/(LN(2)/25)*Calculateur!BL36*Calculateur!BN36*VLOOKUP('Données projet'!$B$11,Paramètres!$A$1:$I$89,3,0)*0.475*44/12</f>
        <v>14.049357618937552</v>
      </c>
      <c r="BR36" s="21">
        <f>EXP(-LN(2)/2)*BR35+(1-EXP(-LN(2)/2))/(LN(2)/2)*BL36*BO36*VLOOKUP('Données projet'!$B$11,Paramètres!$A$1:$I$89,3,0)*0.475*44/12</f>
        <v>7.7567291298373204</v>
      </c>
      <c r="BS36" s="22">
        <f t="shared" si="9"/>
        <v>24.194435985430566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12.1</v>
      </c>
      <c r="BY36" s="12">
        <f>IF('Données projet'!$A$114&gt;35,BY35+BX36-CG35,IF(A36&lt;'Données projet'!$A$114,$BV$205^A36,IF(A36='Données projet'!$A$114,'Données projet'!$B$114,BY35+BX36-CG35)))</f>
        <v>178.29999999999998</v>
      </c>
      <c r="BZ36" s="13">
        <f>BY36*VLOOKUP('Données projet'!$B$12,Paramètres!$A$1:$I$89,3,0)*VLOOKUP('Données projet'!$B$12,Paramètres!$A$1:$I$89,5,0)</f>
        <v>141.85548</v>
      </c>
      <c r="CA36" s="13">
        <f t="shared" si="39"/>
        <v>36.721743640099248</v>
      </c>
      <c r="CB36" s="20">
        <f t="shared" si="10"/>
        <v>311.02199783983951</v>
      </c>
      <c r="CC36" s="59">
        <f t="shared" si="11"/>
        <v>604.35533117317277</v>
      </c>
      <c r="CD36" s="59">
        <f ca="1">AVERAGE(OFFSET($CC$3,0,0,'Données projet'!$E$12+1,1))-AVERAGE(OFFSET($H$3,0,0,'Données projet'!$E$12+1,1))</f>
        <v>260.20517190557814</v>
      </c>
      <c r="CE36" s="59">
        <f t="shared" si="40"/>
        <v>307.22009971147133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3.0747741652556546</v>
      </c>
      <c r="CL36" s="21">
        <f>EXP(-LN(2)/25)*CL35+(1-EXP(-LN(2)/25))/(LN(2)/25)*Calculateur!CG36*Calculateur!CI36*VLOOKUP('Données projet'!$B$12,Paramètres!$A$1:$I$89,3,0)*0.475*44/12</f>
        <v>18.881885023086735</v>
      </c>
      <c r="CM36" s="21">
        <f>EXP(-LN(2)/2)*CM35+(1-EXP(-LN(2)/2))/(LN(2)/2)*CG36*CJ36*VLOOKUP('Données projet'!$B$12,Paramètres!$A$1:$I$89,3,0)*0.475*44/12</f>
        <v>8.4990820666501836</v>
      </c>
      <c r="CN36" s="22">
        <f t="shared" si="12"/>
        <v>30.455741254992574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9.6</v>
      </c>
      <c r="CT36" s="12">
        <f>IF('Données projet'!$A$140&gt;35,CT35+CS36-DB35,IF(A36&lt;'Données projet'!$A$140,$CQ$205^A36,IF(A36='Données projet'!$A$140,'Données projet'!$B$140,CT35+CS36-DB35)))</f>
        <v>105.79999999999995</v>
      </c>
      <c r="CU36" s="17">
        <f>CT36*VLOOKUP('Données projet'!$B$13,Paramètres!$A$1:$I$89,3,0)*VLOOKUP('Données projet'!$B$13,Paramètres!$A$1:$I$89,5,0)</f>
        <v>90.776399999999967</v>
      </c>
      <c r="CV36" s="13">
        <f t="shared" si="41"/>
        <v>24.752380266200454</v>
      </c>
      <c r="CW36" s="20">
        <f t="shared" si="13"/>
        <v>201.21262563029904</v>
      </c>
      <c r="CX36" s="59">
        <f t="shared" si="14"/>
        <v>494.54595896363236</v>
      </c>
      <c r="CY36" s="59">
        <f ca="1">AVERAGE(OFFSET($CX$3,0,0,'Données projet'!$E$13+1,1))-AVERAGE(OFFSET($H$3,0,0,'Données projet'!$E$13+1,1))</f>
        <v>310.4018929413723</v>
      </c>
      <c r="CZ36" s="59">
        <f t="shared" si="42"/>
        <v>127.5231137583819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5.4175325776609009</v>
      </c>
      <c r="DH36" s="21">
        <f>EXP(-LN(2)/2)*DH35+(1-EXP(-LN(2)/2))/(LN(2)/2)*DB36*DE36*VLOOKUP('Données projet'!$B$13,Paramètres!$A$1:$I$89,3,0)*0.475*44/12</f>
        <v>3.157339730379257</v>
      </c>
      <c r="DI36" s="22">
        <f t="shared" si="15"/>
        <v>8.5748723080401579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>
        <f>DO36*VLOOKUP('Données projet'!$B$14,Paramètres!$A$1:$I$89,3,0)*VLOOKUP('Données projet'!$B$14,Paramètres!$A$1:$I$89,5,0)</f>
        <v>130.72955999999999</v>
      </c>
      <c r="DQ36" s="13">
        <f t="shared" si="43"/>
        <v>34.164884281295677</v>
      </c>
      <c r="DR36" s="20">
        <f t="shared" si="16"/>
        <v>287.19115712325663</v>
      </c>
      <c r="DS36" s="59">
        <f t="shared" si="17"/>
        <v>580.52449045659</v>
      </c>
      <c r="DT36" s="59">
        <f ca="1">AVERAGE(OFFSET($DS$3,0,0,'Données projet'!$E$14+1,1))-AVERAGE(OFFSET($H$3,0,0,'Données projet'!$E$14+1,1))</f>
        <v>234.09142087023463</v>
      </c>
      <c r="DU36" s="59">
        <f t="shared" si="44"/>
        <v>278.990685815294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2.2989709907442384</v>
      </c>
      <c r="EB36" s="21">
        <f>EXP(-LN(2)/25)*EB35+(1-EXP(-LN(2)/25))/(LN(2)/25)*Calculateur!DW36*Calculateur!DY36*VLOOKUP('Données projet'!$B$14,Paramètres!$A$1:$I$89,3,0)*0.475*44/12</f>
        <v>14.117754210750384</v>
      </c>
      <c r="EC36" s="21">
        <f>EXP(-LN(2)/2)*EC35+(1-EXP(-LN(2)/2))/(LN(2)/2)*DW36*DZ36*VLOOKUP('Données projet'!$B$14,Paramètres!$A$1:$I$89,3,0)*0.475*44/12</f>
        <v>7.8324873947560523</v>
      </c>
      <c r="ED36" s="22">
        <f t="shared" si="18"/>
        <v>24.249212596250672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13.8</v>
      </c>
      <c r="AI37" s="13">
        <f>IF('Données projet'!$A$62&gt;35,AI36+AH37-AQ36,IF(A37&lt;'Données projet'!$A$62,$AF$205^A37,IF(A37='Données projet'!$A$62,'Données projet'!$B$62,AI36+AH37-AQ36)))</f>
        <v>231.20000000000005</v>
      </c>
      <c r="AJ37" s="13">
        <f>AI37*VLOOKUP('Données projet'!$B$10,Paramètres!$A$1:$I$89,3,0)*VLOOKUP('Données projet'!$B$10,Paramètres!$A$1:$I$89,5,0)</f>
        <v>126.23520000000002</v>
      </c>
      <c r="AK37" s="13">
        <f t="shared" si="35"/>
        <v>33.12494229060627</v>
      </c>
      <c r="AL37" s="20">
        <f t="shared" si="4"/>
        <v>277.55224782280595</v>
      </c>
      <c r="AM37" s="59">
        <f t="shared" si="5"/>
        <v>570.88558115613932</v>
      </c>
      <c r="AN37" s="59">
        <f ca="1">AVERAGE(OFFSET($AM$3,0,0,'Données projet'!$E$10+1,1))-AVERAGE(OFFSET($H$3,0,0,'Données projet'!$E$10+1,1))</f>
        <v>210.04871822652808</v>
      </c>
      <c r="AO37" s="59">
        <f t="shared" si="36"/>
        <v>250.17540614049324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6.7449401932440924</v>
      </c>
      <c r="AV37" s="21">
        <f>EXP(-LN(2)/25)*AV36+(1-EXP(-LN(2)/25))/(LN(2)/25)*Calculateur!AQ37*Calculateur!AS37*VLOOKUP('Données projet'!$B$10,Paramètres!$A$1:$I$89,3,0)*0.475*44/12</f>
        <v>24.909186399636599</v>
      </c>
      <c r="AW37" s="21">
        <f>EXP(-LN(2)/2)*AW36+(1-EXP(-LN(2)/2))/(LN(2)/2)*AQ37*AT37*VLOOKUP('Données projet'!$B$10,Paramètres!$A$1:$I$89,3,0)*0.475*44/12</f>
        <v>5.388472184337906</v>
      </c>
      <c r="AX37" s="21">
        <f t="shared" si="6"/>
        <v>37.042598777218601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18.2</v>
      </c>
      <c r="BD37" s="12">
        <f>IF('Données projet'!$A$88&gt;35,BD36+BC37-BL36,IF(A37&lt;'Données projet'!$A$88,$BA$205^A37,IF(A37='Données projet'!$A$88,'Données projet'!$B$88,BD36+BC37-BL36)))</f>
        <v>231.8</v>
      </c>
      <c r="BE37" s="13">
        <f>BD37*VLOOKUP('Données projet'!$B$11,Paramètres!$A$1:$I$89,3,0)*VLOOKUP('Données projet'!$B$11,Paramètres!$A$1:$I$89,5,0)</f>
        <v>138.61640000000003</v>
      </c>
      <c r="BF37" s="13">
        <f t="shared" si="37"/>
        <v>35.97985917844175</v>
      </c>
      <c r="BG37" s="20">
        <f t="shared" si="7"/>
        <v>304.08848473578604</v>
      </c>
      <c r="BH37" s="59">
        <f t="shared" si="8"/>
        <v>597.42181806911935</v>
      </c>
      <c r="BI37" s="59">
        <f ca="1">AVERAGE(OFFSET($BH$3,0,0,'Données projet'!$E$11+1,1))-AVERAGE(OFFSET($H$3,0,0,'Données projet'!$E$11+1,1))</f>
        <v>316.58509520829671</v>
      </c>
      <c r="BJ37" s="59">
        <f t="shared" si="38"/>
        <v>240.71332110643596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2.3415151648740666</v>
      </c>
      <c r="BQ37" s="21">
        <f>EXP(-LN(2)/25)*BQ36+(1-EXP(-LN(2)/25))/(LN(2)/25)*Calculateur!BL37*Calculateur!BN37*VLOOKUP('Données projet'!$B$11,Paramètres!$A$1:$I$89,3,0)*0.475*44/12</f>
        <v>13.665177196024098</v>
      </c>
      <c r="BR37" s="21">
        <f>EXP(-LN(2)/2)*BR36+(1-EXP(-LN(2)/2))/(LN(2)/2)*BL37*BO37*VLOOKUP('Données projet'!$B$11,Paramètres!$A$1:$I$89,3,0)*0.475*44/12</f>
        <v>5.4848357675351975</v>
      </c>
      <c r="BS37" s="22">
        <f t="shared" si="9"/>
        <v>21.491528128433362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12.1</v>
      </c>
      <c r="BY37" s="12">
        <f>IF('Données projet'!$A$114&gt;35,BY36+BX37-CG36,IF(A37&lt;'Données projet'!$A$114,$BV$205^A37,IF(A37='Données projet'!$A$114,'Données projet'!$B$114,BY36+BX37-CG36)))</f>
        <v>190.39999999999998</v>
      </c>
      <c r="BZ37" s="13">
        <f>BY37*VLOOKUP('Données projet'!$B$12,Paramètres!$A$1:$I$89,3,0)*VLOOKUP('Données projet'!$B$12,Paramètres!$A$1:$I$89,5,0)</f>
        <v>151.48223999999999</v>
      </c>
      <c r="CA37" s="13">
        <f t="shared" si="39"/>
        <v>38.915236966075291</v>
      </c>
      <c r="CB37" s="20">
        <f t="shared" si="10"/>
        <v>331.60893904924779</v>
      </c>
      <c r="CC37" s="59">
        <f t="shared" si="11"/>
        <v>624.94227238258111</v>
      </c>
      <c r="CD37" s="59">
        <f ca="1">AVERAGE(OFFSET($CC$3,0,0,'Données projet'!$E$12+1,1))-AVERAGE(OFFSET($H$3,0,0,'Données projet'!$E$12+1,1))</f>
        <v>260.20517190557814</v>
      </c>
      <c r="CE37" s="59">
        <f t="shared" si="40"/>
        <v>307.22009971147133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3.0144797193020492</v>
      </c>
      <c r="CL37" s="21">
        <f>EXP(-LN(2)/25)*CL36+(1-EXP(-LN(2)/25))/(LN(2)/25)*Calculateur!CG37*Calculateur!CI37*VLOOKUP('Données projet'!$B$12,Paramètres!$A$1:$I$89,3,0)*0.475*44/12</f>
        <v>18.36555888417525</v>
      </c>
      <c r="CM37" s="21">
        <f>EXP(-LN(2)/2)*CM36+(1-EXP(-LN(2)/2))/(LN(2)/2)*CG37*CJ37*VLOOKUP('Données projet'!$B$12,Paramètres!$A$1:$I$89,3,0)*0.475*44/12</f>
        <v>6.0097585631893216</v>
      </c>
      <c r="CN37" s="22">
        <f t="shared" si="12"/>
        <v>27.389797166666622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9.6</v>
      </c>
      <c r="CT37" s="12">
        <f>IF('Données projet'!$A$140&gt;35,CT36+CS37-DB36,IF(A37&lt;'Données projet'!$A$140,$CQ$205^A37,IF(A37='Données projet'!$A$140,'Données projet'!$B$140,CT36+CS37-DB36)))</f>
        <v>115.39999999999995</v>
      </c>
      <c r="CU37" s="17">
        <f>CT37*VLOOKUP('Données projet'!$B$13,Paramètres!$A$1:$I$89,3,0)*VLOOKUP('Données projet'!$B$13,Paramètres!$A$1:$I$89,5,0)</f>
        <v>99.013199999999969</v>
      </c>
      <c r="CV37" s="13">
        <f t="shared" si="41"/>
        <v>26.726770540392092</v>
      </c>
      <c r="CW37" s="20">
        <f t="shared" si="13"/>
        <v>218.99711535784954</v>
      </c>
      <c r="CX37" s="59">
        <f t="shared" si="14"/>
        <v>512.33044869118282</v>
      </c>
      <c r="CY37" s="59">
        <f ca="1">AVERAGE(OFFSET($CX$3,0,0,'Données projet'!$E$13+1,1))-AVERAGE(OFFSET($H$3,0,0,'Données projet'!$E$13+1,1))</f>
        <v>310.4018929413723</v>
      </c>
      <c r="CZ37" s="59">
        <f t="shared" si="42"/>
        <v>127.5231137583819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5.2693898644291073</v>
      </c>
      <c r="DH37" s="21">
        <f>EXP(-LN(2)/2)*DH36+(1-EXP(-LN(2)/2))/(LN(2)/2)*DB37*DE37*VLOOKUP('Données projet'!$B$13,Paramètres!$A$1:$I$89,3,0)*0.475*44/12</f>
        <v>2.2325763338608784</v>
      </c>
      <c r="DI37" s="22">
        <f t="shared" si="15"/>
        <v>7.5019661982899857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>
        <f>DO37*VLOOKUP('Données projet'!$B$14,Paramètres!$A$1:$I$89,3,0)*VLOOKUP('Données projet'!$B$14,Paramètres!$A$1:$I$89,5,0)</f>
        <v>139.60127999999997</v>
      </c>
      <c r="DQ37" s="13">
        <f t="shared" si="43"/>
        <v>36.205649185823027</v>
      </c>
      <c r="DR37" s="20">
        <f t="shared" si="16"/>
        <v>306.19706833197506</v>
      </c>
      <c r="DS37" s="59">
        <f t="shared" si="17"/>
        <v>599.53040166530832</v>
      </c>
      <c r="DT37" s="59">
        <f ca="1">AVERAGE(OFFSET($DS$3,0,0,'Données projet'!$E$14+1,1))-AVERAGE(OFFSET($H$3,0,0,'Données projet'!$E$14+1,1))</f>
        <v>234.09142087023463</v>
      </c>
      <c r="DU37" s="59">
        <f t="shared" si="44"/>
        <v>278.990685815294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2.253889571849589</v>
      </c>
      <c r="EB37" s="21">
        <f>EXP(-LN(2)/25)*EB36+(1-EXP(-LN(2)/25))/(LN(2)/25)*Calculateur!DW37*Calculateur!DY37*VLOOKUP('Données projet'!$B$14,Paramètres!$A$1:$I$89,3,0)*0.475*44/12</f>
        <v>13.731703479436987</v>
      </c>
      <c r="EC37" s="21">
        <f>EXP(-LN(2)/2)*EC36+(1-EXP(-LN(2)/2))/(LN(2)/2)*DW37*DZ37*VLOOKUP('Données projet'!$B$14,Paramètres!$A$1:$I$89,3,0)*0.475*44/12</f>
        <v>5.5384049503901602</v>
      </c>
      <c r="ED37" s="22">
        <f t="shared" si="18"/>
        <v>21.523998001676738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</v>
      </c>
      <c r="AI38" s="13">
        <f>IF('Données projet'!$A$62&gt;35,AI37+AH38-AQ37,IF(A38&lt;'Données projet'!$A$62,$AF$205^A38,IF(A38='Données projet'!$A$62,'Données projet'!$B$62,AI37+AH38-AQ37)))</f>
        <v>245.00000000000006</v>
      </c>
      <c r="AJ38" s="13">
        <f>AI38*VLOOKUP('Données projet'!$B$10,Paramètres!$A$1:$I$89,3,0)*VLOOKUP('Données projet'!$B$10,Paramètres!$A$1:$I$89,5,0)</f>
        <v>133.77000000000004</v>
      </c>
      <c r="AK38" s="13">
        <f t="shared" si="35"/>
        <v>34.86604096673306</v>
      </c>
      <c r="AL38" s="20">
        <f t="shared" si="4"/>
        <v>293.70777135039344</v>
      </c>
      <c r="AM38" s="59">
        <f t="shared" si="5"/>
        <v>587.04110468372676</v>
      </c>
      <c r="AN38" s="59">
        <f ca="1">AVERAGE(OFFSET($AM$3,0,0,'Données projet'!$E$10+1,1))-AVERAGE(OFFSET($H$3,0,0,'Données projet'!$E$10+1,1))</f>
        <v>210.04871822652808</v>
      </c>
      <c r="AO38" s="59">
        <f t="shared" si="36"/>
        <v>250.17540614049324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6.612676030061869</v>
      </c>
      <c r="AV38" s="21">
        <f>EXP(-LN(2)/25)*AV37+(1-EXP(-LN(2)/25))/(LN(2)/25)*Calculateur!AQ38*Calculateur!AS38*VLOOKUP('Données projet'!$B$10,Paramètres!$A$1:$I$89,3,0)*0.475*44/12</f>
        <v>24.228043387621355</v>
      </c>
      <c r="AW38" s="21">
        <f>EXP(-LN(2)/2)*AW37+(1-EXP(-LN(2)/2))/(LN(2)/2)*AQ38*AT38*VLOOKUP('Données projet'!$B$10,Paramètres!$A$1:$I$89,3,0)*0.475*44/12</f>
        <v>3.8102252217804216</v>
      </c>
      <c r="AX38" s="21">
        <f t="shared" si="6"/>
        <v>34.650944639463646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18.2</v>
      </c>
      <c r="BD38" s="12">
        <f>IF('Données projet'!$A$88&gt;35,BD37+BC38-BL37,IF(A38&lt;'Données projet'!$A$88,$BA$205^A38,IF(A38='Données projet'!$A$88,'Données projet'!$B$88,BD37+BC38-BL37)))</f>
        <v>250</v>
      </c>
      <c r="BE38" s="13">
        <f>BD38*VLOOKUP('Données projet'!$B$11,Paramètres!$A$1:$I$89,3,0)*VLOOKUP('Données projet'!$B$11,Paramètres!$A$1:$I$89,5,0)</f>
        <v>149.5</v>
      </c>
      <c r="BF38" s="13">
        <f t="shared" si="37"/>
        <v>38.464936755681478</v>
      </c>
      <c r="BG38" s="20">
        <f t="shared" si="7"/>
        <v>327.3722648494786</v>
      </c>
      <c r="BH38" s="59">
        <f t="shared" si="8"/>
        <v>620.70559818281185</v>
      </c>
      <c r="BI38" s="59">
        <f ca="1">AVERAGE(OFFSET($BH$3,0,0,'Données projet'!$E$11+1,1))-AVERAGE(OFFSET($H$3,0,0,'Données projet'!$E$11+1,1))</f>
        <v>316.58509520829671</v>
      </c>
      <c r="BJ38" s="59">
        <f t="shared" si="38"/>
        <v>240.71332110643596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2.2955994806741153</v>
      </c>
      <c r="BQ38" s="21">
        <f>EXP(-LN(2)/25)*BQ37+(1-EXP(-LN(2)/25))/(LN(2)/25)*Calculateur!BL38*Calculateur!BN38*VLOOKUP('Données projet'!$B$11,Paramètres!$A$1:$I$89,3,0)*0.475*44/12</f>
        <v>13.291502206978382</v>
      </c>
      <c r="BR38" s="21">
        <f>EXP(-LN(2)/2)*BR37+(1-EXP(-LN(2)/2))/(LN(2)/2)*BL38*BO38*VLOOKUP('Données projet'!$B$11,Paramètres!$A$1:$I$89,3,0)*0.475*44/12</f>
        <v>3.8783645649186607</v>
      </c>
      <c r="BS38" s="22">
        <f t="shared" si="9"/>
        <v>19.465466252571158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12.1</v>
      </c>
      <c r="BY38" s="12">
        <f>IF('Données projet'!$A$114&gt;35,BY37+BX38-CG37,IF(A38&lt;'Données projet'!$A$114,$BV$205^A38,IF(A38='Données projet'!$A$114,'Données projet'!$B$114,BY37+BX38-CG37)))</f>
        <v>202.49999999999997</v>
      </c>
      <c r="BZ38" s="13">
        <f>BY38*VLOOKUP('Données projet'!$B$12,Paramètres!$A$1:$I$89,3,0)*VLOOKUP('Données projet'!$B$12,Paramètres!$A$1:$I$89,5,0)</f>
        <v>161.10899999999998</v>
      </c>
      <c r="CA38" s="13">
        <f t="shared" si="39"/>
        <v>41.092552806229541</v>
      </c>
      <c r="CB38" s="20">
        <f t="shared" si="10"/>
        <v>352.16770447084974</v>
      </c>
      <c r="CC38" s="59">
        <f t="shared" si="11"/>
        <v>645.50103780418306</v>
      </c>
      <c r="CD38" s="59">
        <f ca="1">AVERAGE(OFFSET($CC$3,0,0,'Données projet'!$E$12+1,1))-AVERAGE(OFFSET($H$3,0,0,'Données projet'!$E$12+1,1))</f>
        <v>260.20517190557814</v>
      </c>
      <c r="CE38" s="59">
        <f t="shared" si="40"/>
        <v>307.22009971147133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2.9553676106576132</v>
      </c>
      <c r="CL38" s="21">
        <f>EXP(-LN(2)/25)*CL37+(1-EXP(-LN(2)/25))/(LN(2)/25)*Calculateur!CG38*Calculateur!CI38*VLOOKUP('Données projet'!$B$12,Paramètres!$A$1:$I$89,3,0)*0.475*44/12</f>
        <v>17.863351710684711</v>
      </c>
      <c r="CM38" s="21">
        <f>EXP(-LN(2)/2)*CM37+(1-EXP(-LN(2)/2))/(LN(2)/2)*CG38*CJ38*VLOOKUP('Données projet'!$B$12,Paramètres!$A$1:$I$89,3,0)*0.475*44/12</f>
        <v>4.2495410333250918</v>
      </c>
      <c r="CN38" s="22">
        <f t="shared" si="12"/>
        <v>25.068260354667416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9.6</v>
      </c>
      <c r="CT38" s="12">
        <f>IF('Données projet'!$A$140&gt;35,CT37+CS38-DB37,IF(A38&lt;'Données projet'!$A$140,$CQ$205^A38,IF(A38='Données projet'!$A$140,'Données projet'!$B$140,CT37+CS38-DB37)))</f>
        <v>124.99999999999994</v>
      </c>
      <c r="CU38" s="17">
        <f>CT38*VLOOKUP('Données projet'!$B$13,Paramètres!$A$1:$I$89,3,0)*VLOOKUP('Données projet'!$B$13,Paramètres!$A$1:$I$89,5,0)</f>
        <v>107.24999999999996</v>
      </c>
      <c r="CV38" s="13">
        <f t="shared" si="41"/>
        <v>28.682111509300139</v>
      </c>
      <c r="CW38" s="20">
        <f t="shared" si="13"/>
        <v>236.74842754536431</v>
      </c>
      <c r="CX38" s="59">
        <f t="shared" si="14"/>
        <v>530.08176087869765</v>
      </c>
      <c r="CY38" s="59">
        <f ca="1">AVERAGE(OFFSET($CX$3,0,0,'Données projet'!$E$13+1,1))-AVERAGE(OFFSET($H$3,0,0,'Données projet'!$E$13+1,1))</f>
        <v>310.4018929413723</v>
      </c>
      <c r="CZ38" s="59">
        <f t="shared" si="42"/>
        <v>127.5231137583819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5.1252981214811237</v>
      </c>
      <c r="DH38" s="21">
        <f>EXP(-LN(2)/2)*DH37+(1-EXP(-LN(2)/2))/(LN(2)/2)*DB38*DE38*VLOOKUP('Données projet'!$B$13,Paramètres!$A$1:$I$89,3,0)*0.475*44/12</f>
        <v>1.5786698651896287</v>
      </c>
      <c r="DI38" s="22">
        <f t="shared" si="15"/>
        <v>6.7039679866707527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>
        <f>DO38*VLOOKUP('Données projet'!$B$14,Paramètres!$A$1:$I$89,3,0)*VLOOKUP('Données projet'!$B$14,Paramètres!$A$1:$I$89,5,0)</f>
        <v>148.47299999999998</v>
      </c>
      <c r="DQ38" s="13">
        <f t="shared" si="43"/>
        <v>38.231363009539002</v>
      </c>
      <c r="DR38" s="20">
        <f t="shared" si="16"/>
        <v>325.17676557494707</v>
      </c>
      <c r="DS38" s="59">
        <f t="shared" si="17"/>
        <v>618.51009890828038</v>
      </c>
      <c r="DT38" s="59">
        <f ca="1">AVERAGE(OFFSET($DS$3,0,0,'Données projet'!$E$14+1,1))-AVERAGE(OFFSET($H$3,0,0,'Données projet'!$E$14+1,1))</f>
        <v>234.09142087023463</v>
      </c>
      <c r="DU38" s="59">
        <f t="shared" si="44"/>
        <v>278.990685815294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2.2096921720825136</v>
      </c>
      <c r="EB38" s="21">
        <f>EXP(-LN(2)/25)*EB37+(1-EXP(-LN(2)/25))/(LN(2)/25)*Calculateur!DW38*Calculateur!DY38*VLOOKUP('Données projet'!$B$14,Paramètres!$A$1:$I$89,3,0)*0.475*44/12</f>
        <v>13.35620932567288</v>
      </c>
      <c r="EC38" s="21">
        <f>EXP(-LN(2)/2)*EC37+(1-EXP(-LN(2)/2))/(LN(2)/2)*DW38*DZ38*VLOOKUP('Données projet'!$B$14,Paramètres!$A$1:$I$89,3,0)*0.475*44/12</f>
        <v>3.916243697378027</v>
      </c>
      <c r="ED38" s="22">
        <f t="shared" si="18"/>
        <v>19.48214519513342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</v>
      </c>
      <c r="AI39" s="13">
        <f>IF('Données projet'!$A$62&gt;35,AI38+AH39-AQ38,IF(A39&lt;'Données projet'!$A$62,$AF$205^A39,IF(A39='Données projet'!$A$62,'Données projet'!$B$62,AI38+AH39-AQ38)))</f>
        <v>258.80000000000007</v>
      </c>
      <c r="AJ39" s="13">
        <f>AI39*VLOOKUP('Données projet'!$B$10,Paramètres!$A$1:$I$89,3,0)*VLOOKUP('Données projet'!$B$10,Paramètres!$A$1:$I$89,5,0)</f>
        <v>141.30480000000003</v>
      </c>
      <c r="AK39" s="13">
        <f t="shared" si="35"/>
        <v>36.595755275288994</v>
      </c>
      <c r="AL39" s="20">
        <f t="shared" si="4"/>
        <v>309.84346710446169</v>
      </c>
      <c r="AM39" s="59">
        <f t="shared" si="5"/>
        <v>603.17680043779501</v>
      </c>
      <c r="AN39" s="59">
        <f ca="1">AVERAGE(OFFSET($AM$3,0,0,'Données projet'!$E$10+1,1))-AVERAGE(OFFSET($H$3,0,0,'Données projet'!$E$10+1,1))</f>
        <v>210.04871822652808</v>
      </c>
      <c r="AO39" s="59">
        <f t="shared" si="36"/>
        <v>250.17540614049324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6.4830054864464755</v>
      </c>
      <c r="AV39" s="21">
        <f>EXP(-LN(2)/25)*AV38+(1-EXP(-LN(2)/25))/(LN(2)/25)*Calculateur!AQ39*Calculateur!AS39*VLOOKUP('Données projet'!$B$10,Paramètres!$A$1:$I$89,3,0)*0.475*44/12</f>
        <v>23.565526267089421</v>
      </c>
      <c r="AW39" s="21">
        <f>EXP(-LN(2)/2)*AW38+(1-EXP(-LN(2)/2))/(LN(2)/2)*AQ39*AT39*VLOOKUP('Données projet'!$B$10,Paramètres!$A$1:$I$89,3,0)*0.475*44/12</f>
        <v>2.6942360921689534</v>
      </c>
      <c r="AX39" s="21">
        <f t="shared" si="6"/>
        <v>32.742767845704847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18.2</v>
      </c>
      <c r="BD39" s="12">
        <f>IF('Données projet'!$A$88&gt;35,BD38+BC39-BL38,IF(A39&lt;'Données projet'!$A$88,$BA$205^A39,IF(A39='Données projet'!$A$88,'Données projet'!$B$88,BD38+BC39-BL38)))</f>
        <v>268.2</v>
      </c>
      <c r="BE39" s="13">
        <f>BD39*VLOOKUP('Données projet'!$B$11,Paramètres!$A$1:$I$89,3,0)*VLOOKUP('Données projet'!$B$11,Paramètres!$A$1:$I$89,5,0)</f>
        <v>160.3836</v>
      </c>
      <c r="BF39" s="13">
        <f t="shared" si="37"/>
        <v>40.929025395397886</v>
      </c>
      <c r="BG39" s="20">
        <f t="shared" si="7"/>
        <v>350.61948923031804</v>
      </c>
      <c r="BH39" s="59">
        <f t="shared" si="8"/>
        <v>643.95282256365135</v>
      </c>
      <c r="BI39" s="59">
        <f ca="1">AVERAGE(OFFSET($BH$3,0,0,'Données projet'!$E$11+1,1))-AVERAGE(OFFSET($H$3,0,0,'Données projet'!$E$11+1,1))</f>
        <v>316.58509520829671</v>
      </c>
      <c r="BJ39" s="59">
        <f t="shared" si="38"/>
        <v>240.71332110643596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2.2505841750355233</v>
      </c>
      <c r="BQ39" s="21">
        <f>EXP(-LN(2)/25)*BQ38+(1-EXP(-LN(2)/25))/(LN(2)/25)*Calculateur!BL39*Calculateur!BN39*VLOOKUP('Données projet'!$B$11,Paramètres!$A$1:$I$89,3,0)*0.475*44/12</f>
        <v>12.928045380158835</v>
      </c>
      <c r="BR39" s="21">
        <f>EXP(-LN(2)/2)*BR38+(1-EXP(-LN(2)/2))/(LN(2)/2)*BL39*BO39*VLOOKUP('Données projet'!$B$11,Paramètres!$A$1:$I$89,3,0)*0.475*44/12</f>
        <v>2.7424178837675992</v>
      </c>
      <c r="BS39" s="22">
        <f t="shared" si="9"/>
        <v>17.921047438961956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12.1</v>
      </c>
      <c r="BY39" s="12">
        <f>IF('Données projet'!$A$114&gt;35,BY38+BX39-CG38,IF(A39&lt;'Données projet'!$A$114,$BV$205^A39,IF(A39='Données projet'!$A$114,'Données projet'!$B$114,BY38+BX39-CG38)))</f>
        <v>214.59999999999997</v>
      </c>
      <c r="BZ39" s="13">
        <f>BY39*VLOOKUP('Données projet'!$B$12,Paramètres!$A$1:$I$89,3,0)*VLOOKUP('Données projet'!$B$12,Paramètres!$A$1:$I$89,5,0)</f>
        <v>170.73575999999997</v>
      </c>
      <c r="CA39" s="13">
        <f t="shared" si="39"/>
        <v>43.254767908658785</v>
      </c>
      <c r="CB39" s="20">
        <f t="shared" si="10"/>
        <v>372.70016944091395</v>
      </c>
      <c r="CC39" s="59">
        <f t="shared" si="11"/>
        <v>666.03350277424727</v>
      </c>
      <c r="CD39" s="59">
        <f ca="1">AVERAGE(OFFSET($CC$3,0,0,'Données projet'!$E$12+1,1))-AVERAGE(OFFSET($H$3,0,0,'Données projet'!$E$12+1,1))</f>
        <v>260.20517190557814</v>
      </c>
      <c r="CE39" s="59">
        <f t="shared" si="40"/>
        <v>307.22009971147133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2.8974146544088684</v>
      </c>
      <c r="CL39" s="21">
        <f>EXP(-LN(2)/25)*CL38+(1-EXP(-LN(2)/25))/(LN(2)/25)*Calculateur!CG39*Calculateur!CI39*VLOOKUP('Données projet'!$B$12,Paramètres!$A$1:$I$89,3,0)*0.475*44/12</f>
        <v>17.374877418763198</v>
      </c>
      <c r="CM39" s="21">
        <f>EXP(-LN(2)/2)*CM38+(1-EXP(-LN(2)/2))/(LN(2)/2)*CG39*CJ39*VLOOKUP('Données projet'!$B$12,Paramètres!$A$1:$I$89,3,0)*0.475*44/12</f>
        <v>3.0048792815946608</v>
      </c>
      <c r="CN39" s="22">
        <f t="shared" si="12"/>
        <v>23.277171354766729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134.59999999999994</v>
      </c>
      <c r="CU39" s="17">
        <f>CT39*VLOOKUP('Données projet'!$B$13,Paramètres!$A$1:$I$89,3,0)*VLOOKUP('Données projet'!$B$13,Paramètres!$A$1:$I$89,5,0)</f>
        <v>115.48679999999996</v>
      </c>
      <c r="CV39" s="13">
        <f t="shared" si="41"/>
        <v>30.620032500597208</v>
      </c>
      <c r="CW39" s="20">
        <f t="shared" si="13"/>
        <v>254.46939993854008</v>
      </c>
      <c r="CX39" s="59">
        <f t="shared" si="14"/>
        <v>547.80273327187342</v>
      </c>
      <c r="CY39" s="59">
        <f ca="1">AVERAGE(OFFSET($CX$3,0,0,'Données projet'!$E$13+1,1))-AVERAGE(OFFSET($H$3,0,0,'Données projet'!$E$13+1,1))</f>
        <v>310.4018929413723</v>
      </c>
      <c r="CZ39" s="59">
        <f t="shared" si="42"/>
        <v>127.5231137583819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4.985146574821508</v>
      </c>
      <c r="DH39" s="21">
        <f>EXP(-LN(2)/2)*DH38+(1-EXP(-LN(2)/2))/(LN(2)/2)*DB39*DE39*VLOOKUP('Données projet'!$B$13,Paramètres!$A$1:$I$89,3,0)*0.475*44/12</f>
        <v>1.1162881669304394</v>
      </c>
      <c r="DI39" s="22">
        <f t="shared" si="15"/>
        <v>6.1014347417519472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>
        <f>DO39*VLOOKUP('Données projet'!$B$14,Paramètres!$A$1:$I$89,3,0)*VLOOKUP('Données projet'!$B$14,Paramètres!$A$1:$I$89,5,0)</f>
        <v>157.34471999999997</v>
      </c>
      <c r="DQ39" s="13">
        <f t="shared" si="43"/>
        <v>40.243027528788531</v>
      </c>
      <c r="DR39" s="20">
        <f t="shared" si="16"/>
        <v>344.13199361263992</v>
      </c>
      <c r="DS39" s="59">
        <f t="shared" si="17"/>
        <v>637.46532694597317</v>
      </c>
      <c r="DT39" s="59">
        <f ca="1">AVERAGE(OFFSET($DS$3,0,0,'Données projet'!$E$14+1,1))-AVERAGE(OFFSET($H$3,0,0,'Données projet'!$E$14+1,1))</f>
        <v>234.09142087023463</v>
      </c>
      <c r="DU39" s="59">
        <f t="shared" si="44"/>
        <v>278.990685815294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2.1663614563671185</v>
      </c>
      <c r="EB39" s="21">
        <f>EXP(-LN(2)/25)*EB38+(1-EXP(-LN(2)/25))/(LN(2)/25)*Calculateur!DW39*Calculateur!DY39*VLOOKUP('Données projet'!$B$14,Paramètres!$A$1:$I$89,3,0)*0.475*44/12</f>
        <v>12.990983079289833</v>
      </c>
      <c r="EC39" s="21">
        <f>EXP(-LN(2)/2)*EC38+(1-EXP(-LN(2)/2))/(LN(2)/2)*DW39*DZ39*VLOOKUP('Données projet'!$B$14,Paramètres!$A$1:$I$89,3,0)*0.475*44/12</f>
        <v>2.7692024751950806</v>
      </c>
      <c r="ED39" s="22">
        <f t="shared" si="18"/>
        <v>17.926547010852033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</v>
      </c>
      <c r="AI40" s="13">
        <f>IF('Données projet'!$A$62&gt;35,AI39+AH40-AQ39,IF(A40&lt;'Données projet'!$A$62,$AF$205^A40,IF(A40='Données projet'!$A$62,'Données projet'!$B$62,AI39+AH40-AQ39)))</f>
        <v>272.60000000000008</v>
      </c>
      <c r="AJ40" s="13">
        <f>AI40*VLOOKUP('Données projet'!$B$10,Paramètres!$A$1:$I$89,3,0)*VLOOKUP('Données projet'!$B$10,Paramètres!$A$1:$I$89,5,0)</f>
        <v>148.83960000000005</v>
      </c>
      <c r="AK40" s="13">
        <f t="shared" si="35"/>
        <v>38.314761484407519</v>
      </c>
      <c r="AL40" s="20">
        <f t="shared" si="4"/>
        <v>325.9605129186765</v>
      </c>
      <c r="AM40" s="59">
        <f t="shared" si="5"/>
        <v>619.29384625200987</v>
      </c>
      <c r="AN40" s="59">
        <f ca="1">AVERAGE(OFFSET($AM$3,0,0,'Données projet'!$E$10+1,1))-AVERAGE(OFFSET($H$3,0,0,'Données projet'!$E$10+1,1))</f>
        <v>210.04871822652808</v>
      </c>
      <c r="AO40" s="59">
        <f t="shared" si="36"/>
        <v>250.17540614049324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6.3558777031001581</v>
      </c>
      <c r="AV40" s="21">
        <f>EXP(-LN(2)/25)*AV39+(1-EXP(-LN(2)/25))/(LN(2)/25)*Calculateur!AQ40*Calculateur!AS40*VLOOKUP('Données projet'!$B$10,Paramètres!$A$1:$I$89,3,0)*0.475*44/12</f>
        <v>22.921125712058693</v>
      </c>
      <c r="AW40" s="21">
        <f>EXP(-LN(2)/2)*AW39+(1-EXP(-LN(2)/2))/(LN(2)/2)*AQ40*AT40*VLOOKUP('Données projet'!$B$10,Paramètres!$A$1:$I$89,3,0)*0.475*44/12</f>
        <v>1.9051126108902112</v>
      </c>
      <c r="AX40" s="21">
        <f t="shared" si="6"/>
        <v>31.182116026049062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18.2</v>
      </c>
      <c r="BD40" s="12">
        <f>IF('Données projet'!$A$88&gt;35,BD39+BC40-BL39,IF(A40&lt;'Données projet'!$A$88,$BA$205^A40,IF(A40='Données projet'!$A$88,'Données projet'!$B$88,BD39+BC40-BL39)))</f>
        <v>286.39999999999998</v>
      </c>
      <c r="BE40" s="13">
        <f>BD40*VLOOKUP('Données projet'!$B$11,Paramètres!$A$1:$I$89,3,0)*VLOOKUP('Données projet'!$B$11,Paramètres!$A$1:$I$89,5,0)</f>
        <v>171.2672</v>
      </c>
      <c r="BF40" s="13">
        <f t="shared" si="37"/>
        <v>43.373711445811836</v>
      </c>
      <c r="BG40" s="20">
        <f t="shared" si="7"/>
        <v>373.83292076812228</v>
      </c>
      <c r="BH40" s="59">
        <f t="shared" si="8"/>
        <v>667.16625410145559</v>
      </c>
      <c r="BI40" s="59">
        <f ca="1">AVERAGE(OFFSET($BH$3,0,0,'Données projet'!$E$11+1,1))-AVERAGE(OFFSET($H$3,0,0,'Données projet'!$E$11+1,1))</f>
        <v>316.58509520829671</v>
      </c>
      <c r="BJ40" s="59">
        <f t="shared" si="38"/>
        <v>240.71332110643596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2.2064515920838788</v>
      </c>
      <c r="BQ40" s="21">
        <f>EXP(-LN(2)/25)*BQ39+(1-EXP(-LN(2)/25))/(LN(2)/25)*Calculateur!BL40*Calculateur!BN40*VLOOKUP('Données projet'!$B$11,Paramètres!$A$1:$I$89,3,0)*0.475*44/12</f>
        <v>12.574527299382032</v>
      </c>
      <c r="BR40" s="21">
        <f>EXP(-LN(2)/2)*BR39+(1-EXP(-LN(2)/2))/(LN(2)/2)*BL40*BO40*VLOOKUP('Données projet'!$B$11,Paramètres!$A$1:$I$89,3,0)*0.475*44/12</f>
        <v>1.9391822824593306</v>
      </c>
      <c r="BS40" s="22">
        <f t="shared" si="9"/>
        <v>16.720161173925241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12.1</v>
      </c>
      <c r="BY40" s="12">
        <f>IF('Données projet'!$A$114&gt;35,BY39+BX40-CG39,IF(A40&lt;'Données projet'!$A$114,$BV$205^A40,IF(A40='Données projet'!$A$114,'Données projet'!$B$114,BY39+BX40-CG39)))</f>
        <v>226.69999999999996</v>
      </c>
      <c r="BZ40" s="13">
        <f>BY40*VLOOKUP('Données projet'!$B$12,Paramètres!$A$1:$I$89,3,0)*VLOOKUP('Données projet'!$B$12,Paramètres!$A$1:$I$89,5,0)</f>
        <v>180.36251999999996</v>
      </c>
      <c r="CA40" s="13">
        <f t="shared" si="39"/>
        <v>45.402830740762262</v>
      </c>
      <c r="CB40" s="20">
        <f t="shared" si="10"/>
        <v>393.20798587349418</v>
      </c>
      <c r="CC40" s="59">
        <f t="shared" si="11"/>
        <v>686.54131920682744</v>
      </c>
      <c r="CD40" s="59">
        <f ca="1">AVERAGE(OFFSET($CC$3,0,0,'Données projet'!$E$12+1,1))-AVERAGE(OFFSET($H$3,0,0,'Données projet'!$E$12+1,1))</f>
        <v>260.20517190557814</v>
      </c>
      <c r="CE40" s="59">
        <f t="shared" si="40"/>
        <v>307.22009971147133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2.8405981202843482</v>
      </c>
      <c r="CL40" s="21">
        <f>EXP(-LN(2)/25)*CL39+(1-EXP(-LN(2)/25))/(LN(2)/25)*Calculateur!CG40*Calculateur!CI40*VLOOKUP('Données projet'!$B$12,Paramètres!$A$1:$I$89,3,0)*0.475*44/12</f>
        <v>16.899760482042026</v>
      </c>
      <c r="CM40" s="21">
        <f>EXP(-LN(2)/2)*CM39+(1-EXP(-LN(2)/2))/(LN(2)/2)*CG40*CJ40*VLOOKUP('Données projet'!$B$12,Paramètres!$A$1:$I$89,3,0)*0.475*44/12</f>
        <v>2.1247705166625459</v>
      </c>
      <c r="CN40" s="22">
        <f t="shared" si="12"/>
        <v>21.865129118988921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144.19999999999993</v>
      </c>
      <c r="CU40" s="17">
        <f>CT40*VLOOKUP('Données projet'!$B$13,Paramètres!$A$1:$I$89,3,0)*VLOOKUP('Données projet'!$B$13,Paramètres!$A$1:$I$89,5,0)</f>
        <v>123.72359999999996</v>
      </c>
      <c r="CV40" s="13">
        <f t="shared" si="41"/>
        <v>32.541917257515259</v>
      </c>
      <c r="CW40" s="20">
        <f t="shared" si="13"/>
        <v>272.16244255683904</v>
      </c>
      <c r="CX40" s="59">
        <f t="shared" si="14"/>
        <v>565.49577589017235</v>
      </c>
      <c r="CY40" s="59">
        <f ca="1">AVERAGE(OFFSET($CX$3,0,0,'Données projet'!$E$13+1,1))-AVERAGE(OFFSET($H$3,0,0,'Données projet'!$E$13+1,1))</f>
        <v>310.4018929413723</v>
      </c>
      <c r="CZ40" s="59">
        <f t="shared" si="42"/>
        <v>127.5231137583819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4.848827479575549</v>
      </c>
      <c r="DH40" s="21">
        <f>EXP(-LN(2)/2)*DH39+(1-EXP(-LN(2)/2))/(LN(2)/2)*DB40*DE40*VLOOKUP('Données projet'!$B$13,Paramètres!$A$1:$I$89,3,0)*0.475*44/12</f>
        <v>0.78933493259481446</v>
      </c>
      <c r="DI40" s="22">
        <f t="shared" si="15"/>
        <v>5.6381624121703631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>
        <f>DO40*VLOOKUP('Données projet'!$B$14,Paramètres!$A$1:$I$89,3,0)*VLOOKUP('Données projet'!$B$14,Paramètres!$A$1:$I$89,5,0)</f>
        <v>166.21643999999998</v>
      </c>
      <c r="DQ40" s="13">
        <f t="shared" si="43"/>
        <v>42.241525171139848</v>
      </c>
      <c r="DR40" s="20">
        <f t="shared" si="16"/>
        <v>363.06428933973513</v>
      </c>
      <c r="DS40" s="59">
        <f t="shared" si="17"/>
        <v>656.39762267306844</v>
      </c>
      <c r="DT40" s="59">
        <f ca="1">AVERAGE(OFFSET($DS$3,0,0,'Données projet'!$E$14+1,1))-AVERAGE(OFFSET($H$3,0,0,'Données projet'!$E$14+1,1))</f>
        <v>234.09142087023463</v>
      </c>
      <c r="DU40" s="59">
        <f t="shared" si="44"/>
        <v>278.990685815294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2.1238804295577753</v>
      </c>
      <c r="EB40" s="21">
        <f>EXP(-LN(2)/25)*EB39+(1-EXP(-LN(2)/25))/(LN(2)/25)*Calculateur!DW40*Calculateur!DY40*VLOOKUP('Données projet'!$B$14,Paramètres!$A$1:$I$89,3,0)*0.475*44/12</f>
        <v>12.635743963820543</v>
      </c>
      <c r="EC40" s="21">
        <f>EXP(-LN(2)/2)*EC39+(1-EXP(-LN(2)/2))/(LN(2)/2)*DW40*DZ40*VLOOKUP('Données projet'!$B$14,Paramètres!$A$1:$I$89,3,0)*0.475*44/12</f>
        <v>1.9581218486890137</v>
      </c>
      <c r="ED40" s="22">
        <f t="shared" si="18"/>
        <v>16.717746242067332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</v>
      </c>
      <c r="AI41" s="13">
        <f>IF('Données projet'!$A$62&gt;35,AI40+AH41-AQ40,IF(A41&lt;'Données projet'!$A$62,$AF$205^A41,IF(A41='Données projet'!$A$62,'Données projet'!$B$62,AI40+AH41-AQ40)))</f>
        <v>286.40000000000009</v>
      </c>
      <c r="AJ41" s="13">
        <f>AI41*VLOOKUP('Données projet'!$B$10,Paramètres!$A$1:$I$89,3,0)*VLOOKUP('Données projet'!$B$10,Paramètres!$A$1:$I$89,5,0)</f>
        <v>156.37440000000007</v>
      </c>
      <c r="AK41" s="13">
        <f t="shared" si="35"/>
        <v>40.023663524293205</v>
      </c>
      <c r="AL41" s="20">
        <f t="shared" si="4"/>
        <v>342.0599606381441</v>
      </c>
      <c r="AM41" s="59">
        <f t="shared" si="5"/>
        <v>635.39329397147742</v>
      </c>
      <c r="AN41" s="59">
        <f ca="1">AVERAGE(OFFSET($AM$3,0,0,'Données projet'!$E$10+1,1))-AVERAGE(OFFSET($H$3,0,0,'Données projet'!$E$10+1,1))</f>
        <v>210.04871822652808</v>
      </c>
      <c r="AO41" s="59">
        <f t="shared" si="36"/>
        <v>250.17540614049324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6.2312428180449704</v>
      </c>
      <c r="AV41" s="21">
        <f>EXP(-LN(2)/25)*AV40+(1-EXP(-LN(2)/25))/(LN(2)/25)*Calculateur!AQ41*Calculateur!AS41*VLOOKUP('Données projet'!$B$10,Paramètres!$A$1:$I$89,3,0)*0.475*44/12</f>
        <v>22.294346324092835</v>
      </c>
      <c r="AW41" s="21">
        <f>EXP(-LN(2)/2)*AW40+(1-EXP(-LN(2)/2))/(LN(2)/2)*AQ41*AT41*VLOOKUP('Données projet'!$B$10,Paramètres!$A$1:$I$89,3,0)*0.475*44/12</f>
        <v>1.3471180460844769</v>
      </c>
      <c r="AX41" s="21">
        <f t="shared" si="6"/>
        <v>29.872707188222282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18.2</v>
      </c>
      <c r="BD41" s="12">
        <f>IF('Données projet'!$A$88&gt;35,BD40+BC41-BL40,IF(A41&lt;'Données projet'!$A$88,$BA$205^A41,IF(A41='Données projet'!$A$88,'Données projet'!$B$88,BD40+BC41-BL40)))</f>
        <v>304.59999999999997</v>
      </c>
      <c r="BE41" s="13">
        <f>BD41*VLOOKUP('Données projet'!$B$11,Paramètres!$A$1:$I$89,3,0)*VLOOKUP('Données projet'!$B$11,Paramètres!$A$1:$I$89,5,0)</f>
        <v>182.15079999999998</v>
      </c>
      <c r="BF41" s="13">
        <f t="shared" si="37"/>
        <v>45.800368240506849</v>
      </c>
      <c r="BG41" s="20">
        <f t="shared" si="7"/>
        <v>397.01495135221603</v>
      </c>
      <c r="BH41" s="59">
        <f t="shared" si="8"/>
        <v>690.34828468554929</v>
      </c>
      <c r="BI41" s="59">
        <f ca="1">AVERAGE(OFFSET($BH$3,0,0,'Données projet'!$E$11+1,1))-AVERAGE(OFFSET($H$3,0,0,'Données projet'!$E$11+1,1))</f>
        <v>316.58509520829671</v>
      </c>
      <c r="BJ41" s="59">
        <f t="shared" si="38"/>
        <v>240.71332110643596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2.1631844221656982</v>
      </c>
      <c r="BQ41" s="21">
        <f>EXP(-LN(2)/25)*BQ40+(1-EXP(-LN(2)/25))/(LN(2)/25)*Calculateur!BL41*Calculateur!BN41*VLOOKUP('Données projet'!$B$11,Paramètres!$A$1:$I$89,3,0)*0.475*44/12</f>
        <v>12.23067618911478</v>
      </c>
      <c r="BR41" s="21">
        <f>EXP(-LN(2)/2)*BR40+(1-EXP(-LN(2)/2))/(LN(2)/2)*BL41*BO41*VLOOKUP('Données projet'!$B$11,Paramètres!$A$1:$I$89,3,0)*0.475*44/12</f>
        <v>1.3712089418837998</v>
      </c>
      <c r="BS41" s="22">
        <f t="shared" si="9"/>
        <v>15.765069553164277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12.1</v>
      </c>
      <c r="BY41" s="12">
        <f>IF('Données projet'!$A$114&gt;35,BY40+BX41-CG40,IF(A41&lt;'Données projet'!$A$114,$BV$205^A41,IF(A41='Données projet'!$A$114,'Données projet'!$B$114,BY40+BX41-CG40)))</f>
        <v>238.79999999999995</v>
      </c>
      <c r="BZ41" s="13">
        <f>BY41*VLOOKUP('Données projet'!$B$12,Paramètres!$A$1:$I$89,3,0)*VLOOKUP('Données projet'!$B$12,Paramètres!$A$1:$I$89,5,0)</f>
        <v>189.98927999999998</v>
      </c>
      <c r="CA41" s="13">
        <f t="shared" si="39"/>
        <v>47.537582803650189</v>
      </c>
      <c r="CB41" s="20">
        <f t="shared" si="10"/>
        <v>413.69261938302407</v>
      </c>
      <c r="CC41" s="59">
        <f t="shared" si="11"/>
        <v>707.02595271635732</v>
      </c>
      <c r="CD41" s="59">
        <f ca="1">AVERAGE(OFFSET($CC$3,0,0,'Données projet'!$E$12+1,1))-AVERAGE(OFFSET($H$3,0,0,'Données projet'!$E$12+1,1))</f>
        <v>260.20517190557814</v>
      </c>
      <c r="CE41" s="59">
        <f t="shared" si="40"/>
        <v>307.22009971147133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2.7848957237393459</v>
      </c>
      <c r="CL41" s="21">
        <f>EXP(-LN(2)/25)*CL40+(1-EXP(-LN(2)/25))/(LN(2)/25)*Calculateur!CG41*Calculateur!CI41*VLOOKUP('Données projet'!$B$12,Paramètres!$A$1:$I$89,3,0)*0.475*44/12</f>
        <v>16.437635642940808</v>
      </c>
      <c r="CM41" s="21">
        <f>EXP(-LN(2)/2)*CM40+(1-EXP(-LN(2)/2))/(LN(2)/2)*CG41*CJ41*VLOOKUP('Données projet'!$B$12,Paramètres!$A$1:$I$89,3,0)*0.475*44/12</f>
        <v>1.5024396407973304</v>
      </c>
      <c r="CN41" s="22">
        <f t="shared" si="12"/>
        <v>20.724971007477485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153.79999999999993</v>
      </c>
      <c r="CU41" s="17">
        <f>CT41*VLOOKUP('Données projet'!$B$13,Paramètres!$A$1:$I$89,3,0)*VLOOKUP('Données projet'!$B$13,Paramètres!$A$1:$I$89,5,0)</f>
        <v>131.96039999999994</v>
      </c>
      <c r="CV41" s="13">
        <f t="shared" si="41"/>
        <v>34.448954856861199</v>
      </c>
      <c r="CW41" s="20">
        <f t="shared" si="13"/>
        <v>289.82962637569977</v>
      </c>
      <c r="CX41" s="59">
        <f t="shared" si="14"/>
        <v>583.16295970903309</v>
      </c>
      <c r="CY41" s="59">
        <f ca="1">AVERAGE(OFFSET($CX$3,0,0,'Données projet'!$E$13+1,1))-AVERAGE(OFFSET($H$3,0,0,'Données projet'!$E$13+1,1))</f>
        <v>310.4018929413723</v>
      </c>
      <c r="CZ41" s="59">
        <f t="shared" si="42"/>
        <v>127.5231137583819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4.7162360371578007</v>
      </c>
      <c r="DH41" s="21">
        <f>EXP(-LN(2)/2)*DH40+(1-EXP(-LN(2)/2))/(LN(2)/2)*DB41*DE41*VLOOKUP('Données projet'!$B$13,Paramètres!$A$1:$I$89,3,0)*0.475*44/12</f>
        <v>0.55814408346521971</v>
      </c>
      <c r="DI41" s="22">
        <f t="shared" si="15"/>
        <v>5.2743801206230208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>
        <f>DO41*VLOOKUP('Données projet'!$B$14,Paramètres!$A$1:$I$89,3,0)*VLOOKUP('Données projet'!$B$14,Paramètres!$A$1:$I$89,5,0)</f>
        <v>175.08815999999996</v>
      </c>
      <c r="DQ41" s="13">
        <f t="shared" si="43"/>
        <v>44.227638845714424</v>
      </c>
      <c r="DR41" s="20">
        <f t="shared" si="16"/>
        <v>381.97501632295251</v>
      </c>
      <c r="DS41" s="59">
        <f t="shared" si="17"/>
        <v>675.30834965628583</v>
      </c>
      <c r="DT41" s="59">
        <f ca="1">AVERAGE(OFFSET($DS$3,0,0,'Données projet'!$E$14+1,1))-AVERAGE(OFFSET($H$3,0,0,'Données projet'!$E$14+1,1))</f>
        <v>234.09142087023463</v>
      </c>
      <c r="DU41" s="59">
        <f t="shared" si="44"/>
        <v>278.990685815294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2.0822324297732955</v>
      </c>
      <c r="EB41" s="21">
        <f>EXP(-LN(2)/25)*EB40+(1-EXP(-LN(2)/25))/(LN(2)/25)*Calculateur!DW41*Calculateur!DY41*VLOOKUP('Données projet'!$B$14,Paramètres!$A$1:$I$89,3,0)*0.475*44/12</f>
        <v>12.290218880644975</v>
      </c>
      <c r="EC41" s="21">
        <f>EXP(-LN(2)/2)*EC40+(1-EXP(-LN(2)/2))/(LN(2)/2)*DW41*DZ41*VLOOKUP('Données projet'!$B$14,Paramètres!$A$1:$I$89,3,0)*0.475*44/12</f>
        <v>1.3846012375975405</v>
      </c>
      <c r="ED41" s="22">
        <f t="shared" si="18"/>
        <v>15.75705254801581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</v>
      </c>
      <c r="AI42" s="13">
        <f>IF('Données projet'!$A$62&gt;35,AI41+AH42-AQ41,IF(A42&lt;'Données projet'!$A$62,$AF$205^A42,IF(A42='Données projet'!$A$62,'Données projet'!$B$62,AI41+AH42-AQ41)))</f>
        <v>300.2000000000001</v>
      </c>
      <c r="AJ42" s="13">
        <f>AI42*VLOOKUP('Données projet'!$B$10,Paramètres!$A$1:$I$89,3,0)*VLOOKUP('Données projet'!$B$10,Paramètres!$A$1:$I$89,5,0)</f>
        <v>163.90920000000006</v>
      </c>
      <c r="AK42" s="13">
        <f t="shared" si="35"/>
        <v>41.723003836805745</v>
      </c>
      <c r="AL42" s="20">
        <f t="shared" si="4"/>
        <v>358.14275501577009</v>
      </c>
      <c r="AM42" s="59">
        <f t="shared" si="5"/>
        <v>651.47608834910341</v>
      </c>
      <c r="AN42" s="59">
        <f ca="1">AVERAGE(OFFSET($AM$3,0,0,'Données projet'!$E$10+1,1))-AVERAGE(OFFSET($H$3,0,0,'Données projet'!$E$10+1,1))</f>
        <v>210.04871822652808</v>
      </c>
      <c r="AO42" s="59">
        <f t="shared" si="36"/>
        <v>250.17540614049324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6.1090519470659412</v>
      </c>
      <c r="AV42" s="21">
        <f>EXP(-LN(2)/25)*AV41+(1-EXP(-LN(2)/25))/(LN(2)/25)*Calculateur!AQ42*Calculateur!AS42*VLOOKUP('Données projet'!$B$10,Paramètres!$A$1:$I$89,3,0)*0.475*44/12</f>
        <v>21.684706251451797</v>
      </c>
      <c r="AW42" s="21">
        <f>EXP(-LN(2)/2)*AW41+(1-EXP(-LN(2)/2))/(LN(2)/2)*AQ42*AT42*VLOOKUP('Données projet'!$B$10,Paramètres!$A$1:$I$89,3,0)*0.475*44/12</f>
        <v>0.95255630544510572</v>
      </c>
      <c r="AX42" s="21">
        <f t="shared" si="6"/>
        <v>28.746314503962843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18.2</v>
      </c>
      <c r="BD42" s="12">
        <f>IF('Données projet'!$A$88&gt;35,BD41+BC42-BL41,IF(A42&lt;'Données projet'!$A$88,$BA$205^A42,IF(A42='Données projet'!$A$88,'Données projet'!$B$88,BD41+BC42-BL41)))</f>
        <v>322.79999999999995</v>
      </c>
      <c r="BE42" s="13">
        <f>BD42*VLOOKUP('Données projet'!$B$11,Paramètres!$A$1:$I$89,3,0)*VLOOKUP('Données projet'!$B$11,Paramètres!$A$1:$I$89,5,0)</f>
        <v>193.03440000000001</v>
      </c>
      <c r="BF42" s="13">
        <f t="shared" si="37"/>
        <v>48.210195726438577</v>
      </c>
      <c r="BG42" s="20">
        <f t="shared" si="7"/>
        <v>420.16767089021386</v>
      </c>
      <c r="BH42" s="59">
        <f t="shared" si="8"/>
        <v>713.50100422354717</v>
      </c>
      <c r="BI42" s="59">
        <f ca="1">AVERAGE(OFFSET($BH$3,0,0,'Données projet'!$E$11+1,1))-AVERAGE(OFFSET($H$3,0,0,'Données projet'!$E$11+1,1))</f>
        <v>316.58509520829671</v>
      </c>
      <c r="BJ42" s="59">
        <f t="shared" si="38"/>
        <v>240.71332110643596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2.1207656950592453</v>
      </c>
      <c r="BQ42" s="21">
        <f>EXP(-LN(2)/25)*BQ41+(1-EXP(-LN(2)/25))/(LN(2)/25)*Calculateur!BL42*Calculateur!BN42*VLOOKUP('Données projet'!$B$11,Paramètres!$A$1:$I$89,3,0)*0.475*44/12</f>
        <v>11.896227705540129</v>
      </c>
      <c r="BR42" s="21">
        <f>EXP(-LN(2)/2)*BR41+(1-EXP(-LN(2)/2))/(LN(2)/2)*BL42*BO42*VLOOKUP('Données projet'!$B$11,Paramètres!$A$1:$I$89,3,0)*0.475*44/12</f>
        <v>0.9695911412296655</v>
      </c>
      <c r="BS42" s="22">
        <f t="shared" si="9"/>
        <v>14.986584541829041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12.1</v>
      </c>
      <c r="BY42" s="12">
        <f>IF('Données projet'!$A$114&gt;35,BY41+BX42-CG41,IF(A42&lt;'Données projet'!$A$114,$BV$205^A42,IF(A42='Données projet'!$A$114,'Données projet'!$B$114,BY41+BX42-CG41)))</f>
        <v>250.89999999999995</v>
      </c>
      <c r="BZ42" s="13">
        <f>BY42*VLOOKUP('Données projet'!$B$12,Paramètres!$A$1:$I$89,3,0)*VLOOKUP('Données projet'!$B$12,Paramètres!$A$1:$I$89,5,0)</f>
        <v>199.61603999999997</v>
      </c>
      <c r="CA42" s="13">
        <f t="shared" si="39"/>
        <v>49.659775503665841</v>
      </c>
      <c r="CB42" s="20">
        <f t="shared" si="10"/>
        <v>434.15537866888457</v>
      </c>
      <c r="CC42" s="59">
        <f t="shared" si="11"/>
        <v>727.48871200221788</v>
      </c>
      <c r="CD42" s="59">
        <f ca="1">AVERAGE(OFFSET($CC$3,0,0,'Données projet'!$E$12+1,1))-AVERAGE(OFFSET($H$3,0,0,'Données projet'!$E$12+1,1))</f>
        <v>260.20517190557814</v>
      </c>
      <c r="CE42" s="59">
        <f t="shared" si="40"/>
        <v>307.22009971147133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2.7302856172154844</v>
      </c>
      <c r="CL42" s="21">
        <f>EXP(-LN(2)/25)*CL41+(1-EXP(-LN(2)/25))/(LN(2)/25)*Calculateur!CG42*Calculateur!CI42*VLOOKUP('Données projet'!$B$12,Paramètres!$A$1:$I$89,3,0)*0.475*44/12</f>
        <v>15.988147631866902</v>
      </c>
      <c r="CM42" s="21">
        <f>EXP(-LN(2)/2)*CM41+(1-EXP(-LN(2)/2))/(LN(2)/2)*CG42*CJ42*VLOOKUP('Données projet'!$B$12,Paramètres!$A$1:$I$89,3,0)*0.475*44/12</f>
        <v>1.062385258331273</v>
      </c>
      <c r="CN42" s="22">
        <f t="shared" si="12"/>
        <v>19.78081850741366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163.39999999999992</v>
      </c>
      <c r="CU42" s="17">
        <f>CT42*VLOOKUP('Données projet'!$B$13,Paramètres!$A$1:$I$89,3,0)*VLOOKUP('Données projet'!$B$13,Paramètres!$A$1:$I$89,5,0)</f>
        <v>140.19719999999995</v>
      </c>
      <c r="CV42" s="13">
        <f t="shared" si="41"/>
        <v>36.34217754431797</v>
      </c>
      <c r="CW42" s="20">
        <f t="shared" si="13"/>
        <v>307.47274922302034</v>
      </c>
      <c r="CX42" s="59">
        <f t="shared" si="14"/>
        <v>600.80608255635366</v>
      </c>
      <c r="CY42" s="59">
        <f ca="1">AVERAGE(OFFSET($CX$3,0,0,'Données projet'!$E$13+1,1))-AVERAGE(OFFSET($H$3,0,0,'Données projet'!$E$13+1,1))</f>
        <v>310.4018929413723</v>
      </c>
      <c r="CZ42" s="59">
        <f t="shared" si="42"/>
        <v>127.5231137583819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4.5872703147056466</v>
      </c>
      <c r="DH42" s="21">
        <f>EXP(-LN(2)/2)*DH41+(1-EXP(-LN(2)/2))/(LN(2)/2)*DB42*DE42*VLOOKUP('Données projet'!$B$13,Paramètres!$A$1:$I$89,3,0)*0.475*44/12</f>
        <v>0.39466746629740723</v>
      </c>
      <c r="DI42" s="22">
        <f t="shared" si="15"/>
        <v>4.9819377810030536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>
        <f>DO42*VLOOKUP('Données projet'!$B$14,Paramètres!$A$1:$I$89,3,0)*VLOOKUP('Données projet'!$B$14,Paramètres!$A$1:$I$89,5,0)</f>
        <v>183.95987999999997</v>
      </c>
      <c r="DQ42" s="13">
        <f t="shared" si="43"/>
        <v>46.202067639979852</v>
      </c>
      <c r="DR42" s="20">
        <f t="shared" si="16"/>
        <v>400.86539213963152</v>
      </c>
      <c r="DS42" s="59">
        <f t="shared" si="17"/>
        <v>694.19872547296484</v>
      </c>
      <c r="DT42" s="59">
        <f ca="1">AVERAGE(OFFSET($DS$3,0,0,'Données projet'!$E$14+1,1))-AVERAGE(OFFSET($H$3,0,0,'Données projet'!$E$14+1,1))</f>
        <v>234.09142087023463</v>
      </c>
      <c r="DU42" s="59">
        <f t="shared" si="44"/>
        <v>278.990685815294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2.0414011218618175</v>
      </c>
      <c r="EB42" s="21">
        <f>EXP(-LN(2)/25)*EB41+(1-EXP(-LN(2)/25))/(LN(2)/25)*Calculateur!DW42*Calculateur!DY42*VLOOKUP('Données projet'!$B$14,Paramètres!$A$1:$I$89,3,0)*0.475*44/12</f>
        <v>11.954142199039216</v>
      </c>
      <c r="EC42" s="21">
        <f>EXP(-LN(2)/2)*EC41+(1-EXP(-LN(2)/2))/(LN(2)/2)*DW42*DZ42*VLOOKUP('Données projet'!$B$14,Paramètres!$A$1:$I$89,3,0)*0.475*44/12</f>
        <v>0.97906092434450709</v>
      </c>
      <c r="ED42" s="22">
        <f t="shared" si="18"/>
        <v>14.974604245245541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314</v>
      </c>
      <c r="AG43" s="12">
        <f>VLOOKUP(A43,'Données projet'!$A$61:$I$81,9,0)</f>
        <v>13.8</v>
      </c>
      <c r="AH43" s="12">
        <f t="array" ref="AH43">INDEX(AG:AG,MIN(IF(ISNUMBER(AG43:AG239),ROW(AG43:AG239),"")))</f>
        <v>13.8</v>
      </c>
      <c r="AI43" s="13">
        <f>IF('Données projet'!$A$62&gt;35,AI42+AH43-AQ42,IF(A43&lt;'Données projet'!$A$62,$AF$205^A43,IF(A43='Données projet'!$A$62,'Données projet'!$B$62,AI42+AH43-AQ42)))</f>
        <v>314.00000000000011</v>
      </c>
      <c r="AJ43" s="13">
        <f>AI43*VLOOKUP('Données projet'!$B$10,Paramètres!$A$1:$I$89,3,0)*VLOOKUP('Données projet'!$B$10,Paramètres!$A$1:$I$89,5,0)</f>
        <v>171.44400000000007</v>
      </c>
      <c r="AK43" s="13">
        <f t="shared" si="35"/>
        <v>43.413272173627242</v>
      </c>
      <c r="AL43" s="20">
        <f t="shared" si="4"/>
        <v>374.20974903573421</v>
      </c>
      <c r="AM43" s="59">
        <f t="shared" si="5"/>
        <v>667.54308236906752</v>
      </c>
      <c r="AN43" s="59">
        <f ca="1">AVERAGE(OFFSET($AM$3,0,0,'Données projet'!$E$10+1,1))-AVERAGE(OFFSET($H$3,0,0,'Données projet'!$E$10+1,1))</f>
        <v>210.04871822652808</v>
      </c>
      <c r="AO43" s="59">
        <f t="shared" si="36"/>
        <v>250.17540614049324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5.9892571645377384</v>
      </c>
      <c r="AV43" s="21">
        <f>EXP(-LN(2)/25)*AV42+(1-EXP(-LN(2)/25))/(LN(2)/25)*Calculateur!AQ43*Calculateur!AS43*VLOOKUP('Données projet'!$B$10,Paramètres!$A$1:$I$89,3,0)*0.475*44/12</f>
        <v>21.091736818656706</v>
      </c>
      <c r="AW43" s="21">
        <f>EXP(-LN(2)/2)*AW42+(1-EXP(-LN(2)/2))/(LN(2)/2)*AQ43*AT43*VLOOKUP('Données projet'!$B$10,Paramètres!$A$1:$I$89,3,0)*0.475*44/12</f>
        <v>0.67355902304223858</v>
      </c>
      <c r="AX43" s="21">
        <f t="shared" si="6"/>
        <v>27.754553006236684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341</v>
      </c>
      <c r="BB43" s="12">
        <f>VLOOKUP(A43,'Données projet'!$A$87:$I$107,9,0)</f>
        <v>18.2</v>
      </c>
      <c r="BC43" s="12">
        <f t="array" ref="BC43">INDEX(BB:BB,MIN(IF(ISNUMBER(BB43:BB239),ROW(BB43:BB239),"")))</f>
        <v>18.2</v>
      </c>
      <c r="BD43" s="12">
        <f>IF('Données projet'!$A$88&gt;35,BD42+BC43-BL42,IF(A43&lt;'Données projet'!$A$88,$BA$205^A43,IF(A43='Données projet'!$A$88,'Données projet'!$B$88,BD42+BC43-BL42)))</f>
        <v>340.99999999999994</v>
      </c>
      <c r="BE43" s="13">
        <f>BD43*VLOOKUP('Données projet'!$B$11,Paramètres!$A$1:$I$89,3,0)*VLOOKUP('Données projet'!$B$11,Paramètres!$A$1:$I$89,5,0)</f>
        <v>203.91799999999998</v>
      </c>
      <c r="BF43" s="13">
        <f t="shared" si="37"/>
        <v>50.604250898161411</v>
      </c>
      <c r="BG43" s="20">
        <f t="shared" si="7"/>
        <v>443.29292031429776</v>
      </c>
      <c r="BH43" s="59">
        <f t="shared" si="8"/>
        <v>736.62625364763107</v>
      </c>
      <c r="BI43" s="59">
        <f ca="1">AVERAGE(OFFSET($BH$3,0,0,'Données projet'!$E$11+1,1))-AVERAGE(OFFSET($H$3,0,0,'Données projet'!$E$11+1,1))</f>
        <v>316.58509520829671</v>
      </c>
      <c r="BJ43" s="59">
        <f t="shared" si="38"/>
        <v>240.71332110643596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95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2.079178773318481</v>
      </c>
      <c r="BQ43" s="21">
        <f>EXP(-LN(2)/25)*BQ42+(1-EXP(-LN(2)/25))/(LN(2)/25)*Calculateur!BL43*Calculateur!BN43*VLOOKUP('Données projet'!$B$11,Paramètres!$A$1:$I$89,3,0)*0.475*44/12</f>
        <v>11.570924733336708</v>
      </c>
      <c r="BR43" s="21">
        <f>EXP(-LN(2)/2)*BR42+(1-EXP(-LN(2)/2))/(LN(2)/2)*BL43*BO43*VLOOKUP('Données projet'!$B$11,Paramètres!$A$1:$I$89,3,0)*0.475*44/12</f>
        <v>0.68560447094190002</v>
      </c>
      <c r="BS43" s="22">
        <f t="shared" si="9"/>
        <v>14.335707977597089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12.1</v>
      </c>
      <c r="BX43" s="12">
        <f t="array" ref="BX43">INDEX(BW:BW,MIN(IF(ISNUMBER(BW43:BW239),ROW(BW43:BW239),"")))</f>
        <v>12.1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209.24279999999996</v>
      </c>
      <c r="CA43" s="13">
        <f t="shared" si="39"/>
        <v>51.770083677016814</v>
      </c>
      <c r="CB43" s="20">
        <f t="shared" si="10"/>
        <v>454.59743907080411</v>
      </c>
      <c r="CC43" s="59">
        <f t="shared" si="11"/>
        <v>747.93077240413743</v>
      </c>
      <c r="CD43" s="59">
        <f ca="1">AVERAGE(OFFSET($CC$3,0,0,'Données projet'!$E$12+1,1))-AVERAGE(OFFSET($H$3,0,0,'Données projet'!$E$12+1,1))</f>
        <v>260.20517190557814</v>
      </c>
      <c r="CE43" s="59">
        <f t="shared" si="40"/>
        <v>307.22009971147133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2.6767463815716797</v>
      </c>
      <c r="CL43" s="21">
        <f>EXP(-LN(2)/25)*CL42+(1-EXP(-LN(2)/25))/(LN(2)/25)*Calculateur!CG43*Calculateur!CI43*VLOOKUP('Données projet'!$B$12,Paramètres!$A$1:$I$89,3,0)*0.475*44/12</f>
        <v>15.550950894093358</v>
      </c>
      <c r="CM43" s="21">
        <f>EXP(-LN(2)/2)*CM42+(1-EXP(-LN(2)/2))/(LN(2)/2)*CG43*CJ43*VLOOKUP('Données projet'!$B$12,Paramètres!$A$1:$I$89,3,0)*0.475*44/12</f>
        <v>0.75121982039866519</v>
      </c>
      <c r="CN43" s="22">
        <f t="shared" si="12"/>
        <v>18.9789170960637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173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172.99999999999991</v>
      </c>
      <c r="CU43" s="17">
        <f>CT43*VLOOKUP('Données projet'!$B$13,Paramètres!$A$1:$I$89,3,0)*VLOOKUP('Données projet'!$B$13,Paramètres!$A$1:$I$89,5,0)</f>
        <v>148.43399999999994</v>
      </c>
      <c r="CV43" s="13">
        <f t="shared" si="41"/>
        <v>38.222489421716382</v>
      </c>
      <c r="CW43" s="20">
        <f t="shared" si="13"/>
        <v>325.09338574282259</v>
      </c>
      <c r="CX43" s="59">
        <f t="shared" si="14"/>
        <v>618.4267190761559</v>
      </c>
      <c r="CY43" s="59">
        <f ca="1">AVERAGE(OFFSET($CX$3,0,0,'Données projet'!$E$13+1,1))-AVERAGE(OFFSET($H$3,0,0,'Données projet'!$E$13+1,1))</f>
        <v>310.4018929413723</v>
      </c>
      <c r="CZ43" s="59">
        <f t="shared" si="42"/>
        <v>127.5231137583819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4.4618311667159594</v>
      </c>
      <c r="DH43" s="21">
        <f>EXP(-LN(2)/2)*DH42+(1-EXP(-LN(2)/2))/(LN(2)/2)*DB43*DE43*VLOOKUP('Données projet'!$B$13,Paramètres!$A$1:$I$89,3,0)*0.475*44/12</f>
        <v>0.27907204173260985</v>
      </c>
      <c r="DI43" s="22">
        <f t="shared" si="15"/>
        <v>4.7409032084485689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713.06984362634944</v>
      </c>
      <c r="DT43" s="59">
        <f ca="1">AVERAGE(OFFSET($DS$3,0,0,'Données projet'!$E$14+1,1))-AVERAGE(OFFSET($H$3,0,0,'Données projet'!$E$14+1,1))</f>
        <v>234.09142087023463</v>
      </c>
      <c r="DU43" s="59">
        <f t="shared" si="44"/>
        <v>278.990685815294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2.0013704909938452</v>
      </c>
      <c r="EB43" s="21">
        <f>EXP(-LN(2)/25)*EB42+(1-EXP(-LN(2)/25))/(LN(2)/25)*Calculateur!DW43*Calculateur!DY43*VLOOKUP('Données projet'!$B$14,Paramètres!$A$1:$I$89,3,0)*0.475*44/12</f>
        <v>11.627255551965472</v>
      </c>
      <c r="EC43" s="21">
        <f>EXP(-LN(2)/2)*EC42+(1-EXP(-LN(2)/2))/(LN(2)/2)*DW43*DZ43*VLOOKUP('Données projet'!$B$14,Paramètres!$A$1:$I$89,3,0)*0.475*44/12</f>
        <v>0.69230061879877036</v>
      </c>
      <c r="ED43" s="22">
        <f t="shared" si="18"/>
        <v>14.320926661758088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11.5</v>
      </c>
      <c r="AI44" s="13">
        <f>IF('Données projet'!$A$62&gt;35,AI43+AH44-AQ43,IF(A44&lt;'Données projet'!$A$62,$AF$205^A44,IF(A44='Données projet'!$A$62,'Données projet'!$B$62,AI43+AH44-AQ43)))</f>
        <v>245.50000000000011</v>
      </c>
      <c r="AJ44" s="13">
        <f>AI44*VLOOKUP('Données projet'!$B$10,Paramètres!$A$1:$I$89,3,0)*VLOOKUP('Données projet'!$B$10,Paramètres!$A$1:$I$89,5,0)</f>
        <v>134.04300000000006</v>
      </c>
      <c r="AK44" s="13">
        <f t="shared" si="35"/>
        <v>34.928906226695894</v>
      </c>
      <c r="AL44" s="20">
        <f t="shared" si="4"/>
        <v>294.2927366781621</v>
      </c>
      <c r="AM44" s="59">
        <f t="shared" si="5"/>
        <v>587.62607001149536</v>
      </c>
      <c r="AN44" s="59">
        <f ca="1">AVERAGE(OFFSET($AM$3,0,0,'Données projet'!$E$10+1,1))-AVERAGE(OFFSET($H$3,0,0,'Données projet'!$E$10+1,1))</f>
        <v>210.04871822652808</v>
      </c>
      <c r="AO44" s="59">
        <f t="shared" si="36"/>
        <v>250.17540614049324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5.8718114846273117</v>
      </c>
      <c r="AV44" s="21">
        <f>EXP(-LN(2)/25)*AV43+(1-EXP(-LN(2)/25))/(LN(2)/25)*Calculateur!AQ44*Calculateur!AS44*VLOOKUP('Données projet'!$B$10,Paramètres!$A$1:$I$89,3,0)*0.475*44/12</f>
        <v>20.514982166184303</v>
      </c>
      <c r="AW44" s="21">
        <f>EXP(-LN(2)/2)*AW43+(1-EXP(-LN(2)/2))/(LN(2)/2)*AQ44*AT44*VLOOKUP('Données projet'!$B$10,Paramètres!$A$1:$I$89,3,0)*0.475*44/12</f>
        <v>0.47627815272255297</v>
      </c>
      <c r="AX44" s="21">
        <f t="shared" si="6"/>
        <v>26.863071803534169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18.899999999999999</v>
      </c>
      <c r="BD44" s="12">
        <f>IF('Données projet'!$A$88&gt;35,BD43+BC44-BL43,IF(A44&lt;'Données projet'!$A$88,$BA$205^A44,IF(A44='Données projet'!$A$88,'Données projet'!$B$88,BD43+BC44-BL43)))</f>
        <v>264.89999999999992</v>
      </c>
      <c r="BE44" s="13">
        <f>BD44*VLOOKUP('Données projet'!$B$11,Paramètres!$A$1:$I$89,3,0)*VLOOKUP('Données projet'!$B$11,Paramètres!$A$1:$I$89,5,0)</f>
        <v>158.41019999999997</v>
      </c>
      <c r="BF44" s="13">
        <f t="shared" si="37"/>
        <v>40.483723442869469</v>
      </c>
      <c r="BG44" s="20">
        <f t="shared" si="7"/>
        <v>346.40691666299762</v>
      </c>
      <c r="BH44" s="59">
        <f t="shared" si="8"/>
        <v>639.74024999633093</v>
      </c>
      <c r="BI44" s="59">
        <f ca="1">AVERAGE(OFFSET($BH$3,0,0,'Données projet'!$E$11+1,1))-AVERAGE(OFFSET($H$3,0,0,'Données projet'!$E$11+1,1))</f>
        <v>316.58509520829671</v>
      </c>
      <c r="BJ44" s="59">
        <f t="shared" si="38"/>
        <v>240.71332110643596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2.0384073457475353</v>
      </c>
      <c r="BQ44" s="21">
        <f>EXP(-LN(2)/25)*BQ43+(1-EXP(-LN(2)/25))/(LN(2)/25)*Calculateur!BL44*Calculateur!BN44*VLOOKUP('Données projet'!$B$11,Paramètres!$A$1:$I$89,3,0)*0.475*44/12</f>
        <v>11.25451718801513</v>
      </c>
      <c r="BR44" s="21">
        <f>EXP(-LN(2)/2)*BR43+(1-EXP(-LN(2)/2))/(LN(2)/2)*BL44*BO44*VLOOKUP('Données projet'!$B$11,Paramètres!$A$1:$I$89,3,0)*0.475*44/12</f>
        <v>0.4847955706148328</v>
      </c>
      <c r="BS44" s="22">
        <f t="shared" si="9"/>
        <v>13.777720104377497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9.1999999999999993</v>
      </c>
      <c r="BY44" s="12">
        <f>IF('Données projet'!$A$114&gt;35,BY43+BX44-CG43,IF(A44&lt;'Données projet'!$A$114,$BV$205^A44,IF(A44='Données projet'!$A$114,'Données projet'!$B$114,BY43+BX44-CG43)))</f>
        <v>202.19999999999993</v>
      </c>
      <c r="BZ44" s="13">
        <f>BY44*VLOOKUP('Données projet'!$B$12,Paramètres!$A$1:$I$89,3,0)*VLOOKUP('Données projet'!$B$12,Paramètres!$A$1:$I$89,5,0)</f>
        <v>160.87031999999996</v>
      </c>
      <c r="CA44" s="13">
        <f t="shared" si="39"/>
        <v>41.038756492063129</v>
      </c>
      <c r="CB44" s="20">
        <f t="shared" si="10"/>
        <v>351.65830822367656</v>
      </c>
      <c r="CC44" s="59">
        <f t="shared" si="11"/>
        <v>644.99164155700987</v>
      </c>
      <c r="CD44" s="59">
        <f ca="1">AVERAGE(OFFSET($CC$3,0,0,'Données projet'!$E$12+1,1))-AVERAGE(OFFSET($H$3,0,0,'Données projet'!$E$12+1,1))</f>
        <v>260.20517190557814</v>
      </c>
      <c r="CE44" s="59">
        <f t="shared" si="40"/>
        <v>307.22009971147133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2.6242570176831408</v>
      </c>
      <c r="CL44" s="21">
        <f>EXP(-LN(2)/25)*CL43+(1-EXP(-LN(2)/25))/(LN(2)/25)*Calculateur!CG44*Calculateur!CI44*VLOOKUP('Données projet'!$B$12,Paramètres!$A$1:$I$89,3,0)*0.475*44/12</f>
        <v>15.12570932410541</v>
      </c>
      <c r="CM44" s="21">
        <f>EXP(-LN(2)/2)*CM43+(1-EXP(-LN(2)/2))/(LN(2)/2)*CG44*CJ44*VLOOKUP('Données projet'!$B$12,Paramètres!$A$1:$I$89,3,0)*0.475*44/12</f>
        <v>0.53119262916563648</v>
      </c>
      <c r="CN44" s="22">
        <f t="shared" si="12"/>
        <v>18.281158970954188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10.6</v>
      </c>
      <c r="CT44" s="12">
        <f>IF('Données projet'!$A$140&gt;35,CT43+CS44-DB43,IF(A44&lt;'Données projet'!$A$140,$CQ$205^A44,IF(A44='Données projet'!$A$140,'Données projet'!$B$140,CT43+CS44-DB43)))</f>
        <v>132.59999999999991</v>
      </c>
      <c r="CU44" s="17">
        <f>CT44*VLOOKUP('Données projet'!$B$13,Paramètres!$A$1:$I$89,3,0)*VLOOKUP('Données projet'!$B$13,Paramètres!$A$1:$I$89,5,0)</f>
        <v>113.77079999999992</v>
      </c>
      <c r="CV44" s="13">
        <f t="shared" si="41"/>
        <v>30.217664170580228</v>
      </c>
      <c r="CW44" s="20">
        <f t="shared" si="13"/>
        <v>250.77990843042707</v>
      </c>
      <c r="CX44" s="59">
        <f t="shared" si="14"/>
        <v>544.11324176376036</v>
      </c>
      <c r="CY44" s="59">
        <f ca="1">AVERAGE(OFFSET($CX$3,0,0,'Données projet'!$E$13+1,1))-AVERAGE(OFFSET($H$3,0,0,'Données projet'!$E$13+1,1))</f>
        <v>310.4018929413723</v>
      </c>
      <c r="CZ44" s="59">
        <f t="shared" si="42"/>
        <v>127.5231137583819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4.3398221588246084</v>
      </c>
      <c r="DH44" s="21">
        <f>EXP(-LN(2)/2)*DH43+(1-EXP(-LN(2)/2))/(LN(2)/2)*DB44*DE44*VLOOKUP('Données projet'!$B$13,Paramètres!$A$1:$I$89,3,0)*0.475*44/12</f>
        <v>0.19733373314870362</v>
      </c>
      <c r="DI44" s="22">
        <f t="shared" si="15"/>
        <v>4.5371558919733124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>
        <f>DO44*VLOOKUP('Données projet'!$B$14,Paramètres!$A$1:$I$89,3,0)*VLOOKUP('Données projet'!$B$14,Paramètres!$A$1:$I$89,5,0)</f>
        <v>148.25303999999994</v>
      </c>
      <c r="DQ44" s="13">
        <f t="shared" si="43"/>
        <v>38.181312421901637</v>
      </c>
      <c r="DR44" s="20">
        <f t="shared" si="16"/>
        <v>324.70649713481191</v>
      </c>
      <c r="DS44" s="59">
        <f t="shared" si="17"/>
        <v>618.03983046814528</v>
      </c>
      <c r="DT44" s="59">
        <f ca="1">AVERAGE(OFFSET($DS$3,0,0,'Données projet'!$E$14+1,1))-AVERAGE(OFFSET($H$3,0,0,'Données projet'!$E$14+1,1))</f>
        <v>234.09142087023463</v>
      </c>
      <c r="DU44" s="59">
        <f t="shared" si="44"/>
        <v>278.990685815294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1.9621248363809198</v>
      </c>
      <c r="EB44" s="21">
        <f>EXP(-LN(2)/25)*EB43+(1-EXP(-LN(2)/25))/(LN(2)/25)*Calculateur!DW44*Calculateur!DY44*VLOOKUP('Données projet'!$B$14,Paramètres!$A$1:$I$89,3,0)*0.475*44/12</f>
        <v>11.309307637446182</v>
      </c>
      <c r="EC44" s="21">
        <f>EXP(-LN(2)/2)*EC43+(1-EXP(-LN(2)/2))/(LN(2)/2)*DW44*DZ44*VLOOKUP('Données projet'!$B$14,Paramètres!$A$1:$I$89,3,0)*0.475*44/12</f>
        <v>0.4895304621722536</v>
      </c>
      <c r="ED44" s="22">
        <f t="shared" si="18"/>
        <v>13.760962935999355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11.5</v>
      </c>
      <c r="AI45" s="13">
        <f>IF('Données projet'!$A$62&gt;35,AI44+AH45-AQ44,IF(A45&lt;'Données projet'!$A$62,$AF$205^A45,IF(A45='Données projet'!$A$62,'Données projet'!$B$62,AI44+AH45-AQ44)))</f>
        <v>257.00000000000011</v>
      </c>
      <c r="AJ45" s="13">
        <f>AI45*VLOOKUP('Données projet'!$B$10,Paramètres!$A$1:$I$89,3,0)*VLOOKUP('Données projet'!$B$10,Paramètres!$A$1:$I$89,5,0)</f>
        <v>140.32200000000006</v>
      </c>
      <c r="AK45" s="13">
        <f t="shared" si="35"/>
        <v>36.370761307502896</v>
      </c>
      <c r="AL45" s="20">
        <f t="shared" si="4"/>
        <v>307.73989261056767</v>
      </c>
      <c r="AM45" s="59">
        <f t="shared" si="5"/>
        <v>601.07322594390098</v>
      </c>
      <c r="AN45" s="59">
        <f ca="1">AVERAGE(OFFSET($AM$3,0,0,'Données projet'!$E$10+1,1))-AVERAGE(OFFSET($H$3,0,0,'Données projet'!$E$10+1,1))</f>
        <v>210.04871822652808</v>
      </c>
      <c r="AO45" s="59">
        <f t="shared" si="36"/>
        <v>250.17540614049324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5.7566688428651371</v>
      </c>
      <c r="AV45" s="21">
        <f>EXP(-LN(2)/25)*AV44+(1-EXP(-LN(2)/25))/(LN(2)/25)*Calculateur!AQ45*Calculateur!AS45*VLOOKUP('Données projet'!$B$10,Paramètres!$A$1:$I$89,3,0)*0.475*44/12</f>
        <v>19.953998900013968</v>
      </c>
      <c r="AW45" s="21">
        <f>EXP(-LN(2)/2)*AW44+(1-EXP(-LN(2)/2))/(LN(2)/2)*AQ45*AT45*VLOOKUP('Données projet'!$B$10,Paramètres!$A$1:$I$89,3,0)*0.475*44/12</f>
        <v>0.33677951152111935</v>
      </c>
      <c r="AX45" s="21">
        <f t="shared" si="6"/>
        <v>26.047447254400222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18.899999999999999</v>
      </c>
      <c r="BD45" s="12">
        <f>IF('Données projet'!$A$88&gt;35,BD44+BC45-BL44,IF(A45&lt;'Données projet'!$A$88,$BA$205^A45,IF(A45='Données projet'!$A$88,'Données projet'!$B$88,BD44+BC45-BL44)))</f>
        <v>283.7999999999999</v>
      </c>
      <c r="BE45" s="13">
        <f>BD45*VLOOKUP('Données projet'!$B$11,Paramètres!$A$1:$I$89,3,0)*VLOOKUP('Données projet'!$B$11,Paramètres!$A$1:$I$89,5,0)</f>
        <v>169.71239999999995</v>
      </c>
      <c r="BF45" s="13">
        <f t="shared" si="37"/>
        <v>43.025604406382911</v>
      </c>
      <c r="BG45" s="20">
        <f t="shared" si="7"/>
        <v>370.51869100778345</v>
      </c>
      <c r="BH45" s="59">
        <f t="shared" si="8"/>
        <v>663.8520243411167</v>
      </c>
      <c r="BI45" s="59">
        <f ca="1">AVERAGE(OFFSET($BH$3,0,0,'Données projet'!$E$11+1,1))-AVERAGE(OFFSET($H$3,0,0,'Données projet'!$E$11+1,1))</f>
        <v>316.58509520829671</v>
      </c>
      <c r="BJ45" s="59">
        <f t="shared" si="38"/>
        <v>240.71332110643596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1.9984354210031408</v>
      </c>
      <c r="BQ45" s="21">
        <f>EXP(-LN(2)/25)*BQ44+(1-EXP(-LN(2)/25))/(LN(2)/25)*Calculateur!BL45*Calculateur!BN45*VLOOKUP('Données projet'!$B$11,Paramètres!$A$1:$I$89,3,0)*0.475*44/12</f>
        <v>10.94676182365952</v>
      </c>
      <c r="BR45" s="21">
        <f>EXP(-LN(2)/2)*BR44+(1-EXP(-LN(2)/2))/(LN(2)/2)*BL45*BO45*VLOOKUP('Données projet'!$B$11,Paramètres!$A$1:$I$89,3,0)*0.475*44/12</f>
        <v>0.34280223547095007</v>
      </c>
      <c r="BS45" s="22">
        <f t="shared" si="9"/>
        <v>13.28799948013361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9.1999999999999993</v>
      </c>
      <c r="BY45" s="12">
        <f>IF('Données projet'!$A$114&gt;35,BY44+BX45-CG44,IF(A45&lt;'Données projet'!$A$114,$BV$205^A45,IF(A45='Données projet'!$A$114,'Données projet'!$B$114,BY44+BX45-CG44)))</f>
        <v>211.39999999999992</v>
      </c>
      <c r="BZ45" s="13">
        <f>BY45*VLOOKUP('Données projet'!$B$12,Paramètres!$A$1:$I$89,3,0)*VLOOKUP('Données projet'!$B$12,Paramètres!$A$1:$I$89,5,0)</f>
        <v>168.18983999999995</v>
      </c>
      <c r="CA45" s="13">
        <f t="shared" si="39"/>
        <v>42.684355718695357</v>
      </c>
      <c r="CB45" s="20">
        <f t="shared" si="10"/>
        <v>367.27255754339438</v>
      </c>
      <c r="CC45" s="59">
        <f t="shared" si="11"/>
        <v>660.6058908767277</v>
      </c>
      <c r="CD45" s="59">
        <f ca="1">AVERAGE(OFFSET($CC$3,0,0,'Données projet'!$E$12+1,1))-AVERAGE(OFFSET($H$3,0,0,'Données projet'!$E$12+1,1))</f>
        <v>260.20517190557814</v>
      </c>
      <c r="CE45" s="59">
        <f t="shared" si="40"/>
        <v>307.22009971147133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2.572796938205105</v>
      </c>
      <c r="CL45" s="21">
        <f>EXP(-LN(2)/25)*CL44+(1-EXP(-LN(2)/25))/(LN(2)/25)*Calculateur!CG45*Calculateur!CI45*VLOOKUP('Données projet'!$B$12,Paramètres!$A$1:$I$89,3,0)*0.475*44/12</f>
        <v>14.712096007211263</v>
      </c>
      <c r="CM45" s="21">
        <f>EXP(-LN(2)/2)*CM44+(1-EXP(-LN(2)/2))/(LN(2)/2)*CG45*CJ45*VLOOKUP('Données projet'!$B$12,Paramètres!$A$1:$I$89,3,0)*0.475*44/12</f>
        <v>0.3756099101993326</v>
      </c>
      <c r="CN45" s="22">
        <f t="shared" si="12"/>
        <v>17.6605028556157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10.6</v>
      </c>
      <c r="CT45" s="12">
        <f>IF('Données projet'!$A$140&gt;35,CT44+CS45-DB44,IF(A45&lt;'Données projet'!$A$140,$CQ$205^A45,IF(A45='Données projet'!$A$140,'Données projet'!$B$140,CT44+CS45-DB44)))</f>
        <v>143.1999999999999</v>
      </c>
      <c r="CU45" s="17">
        <f>CT45*VLOOKUP('Données projet'!$B$13,Paramètres!$A$1:$I$89,3,0)*VLOOKUP('Données projet'!$B$13,Paramètres!$A$1:$I$89,5,0)</f>
        <v>122.86559999999993</v>
      </c>
      <c r="CV45" s="13">
        <f t="shared" si="41"/>
        <v>32.342432698195715</v>
      </c>
      <c r="CW45" s="20">
        <f t="shared" si="13"/>
        <v>270.32065694935739</v>
      </c>
      <c r="CX45" s="59">
        <f t="shared" si="14"/>
        <v>563.65399028269076</v>
      </c>
      <c r="CY45" s="59">
        <f ca="1">AVERAGE(OFFSET($CX$3,0,0,'Données projet'!$E$13+1,1))-AVERAGE(OFFSET($H$3,0,0,'Données projet'!$E$13+1,1))</f>
        <v>310.4018929413723</v>
      </c>
      <c r="CZ45" s="59">
        <f t="shared" si="42"/>
        <v>127.5231137583819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4.2211494936702207</v>
      </c>
      <c r="DH45" s="21">
        <f>EXP(-LN(2)/2)*DH44+(1-EXP(-LN(2)/2))/(LN(2)/2)*DB45*DE45*VLOOKUP('Données projet'!$B$13,Paramètres!$A$1:$I$89,3,0)*0.475*44/12</f>
        <v>0.13953602086630493</v>
      </c>
      <c r="DI45" s="22">
        <f t="shared" si="15"/>
        <v>4.3606855145365255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>
        <f>DO45*VLOOKUP('Données projet'!$B$14,Paramètres!$A$1:$I$89,3,0)*VLOOKUP('Données projet'!$B$14,Paramètres!$A$1:$I$89,5,0)</f>
        <v>154.99847999999994</v>
      </c>
      <c r="DQ45" s="13">
        <f t="shared" si="43"/>
        <v>39.712331964500009</v>
      </c>
      <c r="DR45" s="20">
        <f t="shared" si="16"/>
        <v>339.12133083817071</v>
      </c>
      <c r="DS45" s="59">
        <f t="shared" si="17"/>
        <v>632.45466417150396</v>
      </c>
      <c r="DT45" s="59">
        <f ca="1">AVERAGE(OFFSET($DS$3,0,0,'Données projet'!$E$14+1,1))-AVERAGE(OFFSET($H$3,0,0,'Données projet'!$E$14+1,1))</f>
        <v>234.09142087023463</v>
      </c>
      <c r="DU45" s="59">
        <f t="shared" si="44"/>
        <v>278.990685815294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1.9236487651174681</v>
      </c>
      <c r="EB45" s="21">
        <f>EXP(-LN(2)/25)*EB44+(1-EXP(-LN(2)/25))/(LN(2)/25)*Calculateur!DW45*Calculateur!DY45*VLOOKUP('Données projet'!$B$14,Paramètres!$A$1:$I$89,3,0)*0.475*44/12</f>
        <v>11.000054025369575</v>
      </c>
      <c r="EC45" s="21">
        <f>EXP(-LN(2)/2)*EC44+(1-EXP(-LN(2)/2))/(LN(2)/2)*DW45*DZ45*VLOOKUP('Données projet'!$B$14,Paramètres!$A$1:$I$89,3,0)*0.475*44/12</f>
        <v>0.34615030939938524</v>
      </c>
      <c r="ED45" s="22">
        <f t="shared" si="18"/>
        <v>13.269853099886429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11.5</v>
      </c>
      <c r="AI46" s="13">
        <f>IF('Données projet'!$A$62&gt;35,AI45+AH46-AQ45,IF(A46&lt;'Données projet'!$A$62,$AF$205^A46,IF(A46='Données projet'!$A$62,'Données projet'!$B$62,AI45+AH46-AQ45)))</f>
        <v>268.50000000000011</v>
      </c>
      <c r="AJ46" s="13">
        <f>AI46*VLOOKUP('Données projet'!$B$10,Paramètres!$A$1:$I$89,3,0)*VLOOKUP('Données projet'!$B$10,Paramètres!$A$1:$I$89,5,0)</f>
        <v>146.60100000000006</v>
      </c>
      <c r="AK46" s="13">
        <f t="shared" si="35"/>
        <v>37.805123282858517</v>
      </c>
      <c r="AL46" s="20">
        <f t="shared" si="4"/>
        <v>321.1739980509787</v>
      </c>
      <c r="AM46" s="59">
        <f t="shared" si="5"/>
        <v>614.50733138431201</v>
      </c>
      <c r="AN46" s="59">
        <f ca="1">AVERAGE(OFFSET($AM$3,0,0,'Données projet'!$E$10+1,1))-AVERAGE(OFFSET($H$3,0,0,'Données projet'!$E$10+1,1))</f>
        <v>210.04871822652808</v>
      </c>
      <c r="AO46" s="59">
        <f t="shared" si="36"/>
        <v>250.17540614049324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5.6437840780778412</v>
      </c>
      <c r="AV46" s="21">
        <f>EXP(-LN(2)/25)*AV45+(1-EXP(-LN(2)/25))/(LN(2)/25)*Calculateur!AQ46*Calculateur!AS46*VLOOKUP('Données projet'!$B$10,Paramètres!$A$1:$I$89,3,0)*0.475*44/12</f>
        <v>19.408355750757888</v>
      </c>
      <c r="AW46" s="21">
        <f>EXP(-LN(2)/2)*AW45+(1-EXP(-LN(2)/2))/(LN(2)/2)*AQ46*AT46*VLOOKUP('Données projet'!$B$10,Paramètres!$A$1:$I$89,3,0)*0.475*44/12</f>
        <v>0.23813907636127651</v>
      </c>
      <c r="AX46" s="21">
        <f t="shared" si="6"/>
        <v>25.290278905197003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18.899999999999999</v>
      </c>
      <c r="BD46" s="12">
        <f>IF('Données projet'!$A$88&gt;35,BD45+BC46-BL45,IF(A46&lt;'Données projet'!$A$88,$BA$205^A46,IF(A46='Données projet'!$A$88,'Données projet'!$B$88,BD45+BC46-BL45)))</f>
        <v>302.69999999999987</v>
      </c>
      <c r="BE46" s="13">
        <f>BD46*VLOOKUP('Données projet'!$B$11,Paramètres!$A$1:$I$89,3,0)*VLOOKUP('Données projet'!$B$11,Paramètres!$A$1:$I$89,5,0)</f>
        <v>181.01459999999994</v>
      </c>
      <c r="BF46" s="13">
        <f t="shared" si="37"/>
        <v>45.547842076970326</v>
      </c>
      <c r="BG46" s="20">
        <f t="shared" si="7"/>
        <v>394.59625328405656</v>
      </c>
      <c r="BH46" s="59">
        <f t="shared" si="8"/>
        <v>687.92958661738987</v>
      </c>
      <c r="BI46" s="59">
        <f ca="1">AVERAGE(OFFSET($BH$3,0,0,'Données projet'!$E$11+1,1))-AVERAGE(OFFSET($H$3,0,0,'Données projet'!$E$11+1,1))</f>
        <v>316.58509520829671</v>
      </c>
      <c r="BJ46" s="59">
        <f t="shared" si="38"/>
        <v>240.71332110643596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1.959247321322517</v>
      </c>
      <c r="BQ46" s="21">
        <f>EXP(-LN(2)/25)*BQ45+(1-EXP(-LN(2)/25))/(LN(2)/25)*Calculateur!BL46*Calculateur!BN46*VLOOKUP('Données projet'!$B$11,Paramètres!$A$1:$I$89,3,0)*0.475*44/12</f>
        <v>10.647422045926366</v>
      </c>
      <c r="BR46" s="21">
        <f>EXP(-LN(2)/2)*BR45+(1-EXP(-LN(2)/2))/(LN(2)/2)*BL46*BO46*VLOOKUP('Données projet'!$B$11,Paramètres!$A$1:$I$89,3,0)*0.475*44/12</f>
        <v>0.24239778530741646</v>
      </c>
      <c r="BS46" s="22">
        <f t="shared" si="9"/>
        <v>12.849067152556298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9.1999999999999993</v>
      </c>
      <c r="BY46" s="12">
        <f>IF('Données projet'!$A$114&gt;35,BY45+BX46-CG45,IF(A46&lt;'Données projet'!$A$114,$BV$205^A46,IF(A46='Données projet'!$A$114,'Données projet'!$B$114,BY45+BX46-CG45)))</f>
        <v>220.59999999999991</v>
      </c>
      <c r="BZ46" s="13">
        <f>BY46*VLOOKUP('Données projet'!$B$12,Paramètres!$A$1:$I$89,3,0)*VLOOKUP('Données projet'!$B$12,Paramètres!$A$1:$I$89,5,0)</f>
        <v>175.50935999999993</v>
      </c>
      <c r="CA46" s="13">
        <f t="shared" si="39"/>
        <v>44.321637208794016</v>
      </c>
      <c r="CB46" s="20">
        <f t="shared" si="10"/>
        <v>382.87232013864946</v>
      </c>
      <c r="CC46" s="59">
        <f t="shared" si="11"/>
        <v>676.20565347198271</v>
      </c>
      <c r="CD46" s="59">
        <f ca="1">AVERAGE(OFFSET($CC$3,0,0,'Données projet'!$E$12+1,1))-AVERAGE(OFFSET($H$3,0,0,'Données projet'!$E$12+1,1))</f>
        <v>260.20517190557814</v>
      </c>
      <c r="CE46" s="59">
        <f t="shared" si="40"/>
        <v>307.22009971147133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2.5223459594980846</v>
      </c>
      <c r="CL46" s="21">
        <f>EXP(-LN(2)/25)*CL45+(1-EXP(-LN(2)/25))/(LN(2)/25)*Calculateur!CG46*Calculateur!CI46*VLOOKUP('Données projet'!$B$12,Paramètres!$A$1:$I$89,3,0)*0.475*44/12</f>
        <v>14.309792968218567</v>
      </c>
      <c r="CM46" s="21">
        <f>EXP(-LN(2)/2)*CM45+(1-EXP(-LN(2)/2))/(LN(2)/2)*CG46*CJ46*VLOOKUP('Données projet'!$B$12,Paramètres!$A$1:$I$89,3,0)*0.475*44/12</f>
        <v>0.26559631458281824</v>
      </c>
      <c r="CN46" s="22">
        <f t="shared" si="12"/>
        <v>17.097735242299471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10.6</v>
      </c>
      <c r="CT46" s="12">
        <f>IF('Données projet'!$A$140&gt;35,CT45+CS46-DB45,IF(A46&lt;'Données projet'!$A$140,$CQ$205^A46,IF(A46='Données projet'!$A$140,'Données projet'!$B$140,CT45+CS46-DB45)))</f>
        <v>153.7999999999999</v>
      </c>
      <c r="CU46" s="17">
        <f>CT46*VLOOKUP('Données projet'!$B$13,Paramètres!$A$1:$I$89,3,0)*VLOOKUP('Données projet'!$B$13,Paramètres!$A$1:$I$89,5,0)</f>
        <v>131.96039999999991</v>
      </c>
      <c r="CV46" s="13">
        <f t="shared" si="41"/>
        <v>34.448954856861199</v>
      </c>
      <c r="CW46" s="20">
        <f t="shared" si="13"/>
        <v>289.82962637569977</v>
      </c>
      <c r="CX46" s="59">
        <f t="shared" si="14"/>
        <v>583.16295970903309</v>
      </c>
      <c r="CY46" s="59">
        <f ca="1">AVERAGE(OFFSET($CX$3,0,0,'Données projet'!$E$13+1,1))-AVERAGE(OFFSET($H$3,0,0,'Données projet'!$E$13+1,1))</f>
        <v>310.4018929413723</v>
      </c>
      <c r="CZ46" s="59">
        <f t="shared" si="42"/>
        <v>127.5231137583819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4.1057219387852042</v>
      </c>
      <c r="DH46" s="21">
        <f>EXP(-LN(2)/2)*DH45+(1-EXP(-LN(2)/2))/(LN(2)/2)*DB46*DE46*VLOOKUP('Données projet'!$B$13,Paramètres!$A$1:$I$89,3,0)*0.475*44/12</f>
        <v>9.8666866574351808E-2</v>
      </c>
      <c r="DI46" s="22">
        <f t="shared" si="15"/>
        <v>4.2043888053595557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>
        <f>DO46*VLOOKUP('Données projet'!$B$14,Paramètres!$A$1:$I$89,3,0)*VLOOKUP('Données projet'!$B$14,Paramètres!$A$1:$I$89,5,0)</f>
        <v>161.74391999999992</v>
      </c>
      <c r="DQ46" s="13">
        <f t="shared" si="43"/>
        <v>41.235612917424163</v>
      </c>
      <c r="DR46" s="20">
        <f t="shared" si="16"/>
        <v>353.52268649784691</v>
      </c>
      <c r="DS46" s="59">
        <f t="shared" si="17"/>
        <v>646.85601983118022</v>
      </c>
      <c r="DT46" s="59">
        <f ca="1">AVERAGE(OFFSET($DS$3,0,0,'Données projet'!$E$14+1,1))-AVERAGE(OFFSET($H$3,0,0,'Données projet'!$E$14+1,1))</f>
        <v>234.09142087023463</v>
      </c>
      <c r="DU46" s="59">
        <f t="shared" si="44"/>
        <v>278.990685815294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1.8859271861434066</v>
      </c>
      <c r="EB46" s="21">
        <f>EXP(-LN(2)/25)*EB45+(1-EXP(-LN(2)/25))/(LN(2)/25)*Calculateur!DW46*Calculateur!DY46*VLOOKUP('Données projet'!$B$14,Paramètres!$A$1:$I$89,3,0)*0.475*44/12</f>
        <v>10.699256969578144</v>
      </c>
      <c r="EC46" s="21">
        <f>EXP(-LN(2)/2)*EC45+(1-EXP(-LN(2)/2))/(LN(2)/2)*DW46*DZ46*VLOOKUP('Données projet'!$B$14,Paramètres!$A$1:$I$89,3,0)*0.475*44/12</f>
        <v>0.24476523108612683</v>
      </c>
      <c r="ED46" s="22">
        <f t="shared" si="18"/>
        <v>12.829949386807678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11.5</v>
      </c>
      <c r="AI47" s="13">
        <f>IF('Données projet'!$A$62&gt;35,AI46+AH47-AQ46,IF(A47&lt;'Données projet'!$A$62,$AF$205^A47,IF(A47='Données projet'!$A$62,'Données projet'!$B$62,AI46+AH47-AQ46)))</f>
        <v>280.00000000000011</v>
      </c>
      <c r="AJ47" s="13">
        <f>AI47*VLOOKUP('Données projet'!$B$10,Paramètres!$A$1:$I$89,3,0)*VLOOKUP('Données projet'!$B$10,Paramètres!$A$1:$I$89,5,0)</f>
        <v>152.88000000000005</v>
      </c>
      <c r="AK47" s="13">
        <f t="shared" si="35"/>
        <v>39.232349774697852</v>
      </c>
      <c r="AL47" s="20">
        <f t="shared" si="4"/>
        <v>334.59567585759885</v>
      </c>
      <c r="AM47" s="59">
        <f t="shared" si="5"/>
        <v>627.92900919093222</v>
      </c>
      <c r="AN47" s="59">
        <f ca="1">AVERAGE(OFFSET($AM$3,0,0,'Données projet'!$E$10+1,1))-AVERAGE(OFFSET($H$3,0,0,'Données projet'!$E$10+1,1))</f>
        <v>210.04871822652808</v>
      </c>
      <c r="AO47" s="59">
        <f t="shared" si="36"/>
        <v>250.17540614049324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5.533112914675117</v>
      </c>
      <c r="AV47" s="21">
        <f>EXP(-LN(2)/25)*AV46+(1-EXP(-LN(2)/25))/(LN(2)/25)*Calculateur!AQ47*Calculateur!AS47*VLOOKUP('Données projet'!$B$10,Paramètres!$A$1:$I$89,3,0)*0.475*44/12</f>
        <v>18.877633242112342</v>
      </c>
      <c r="AW47" s="21">
        <f>EXP(-LN(2)/2)*AW46+(1-EXP(-LN(2)/2))/(LN(2)/2)*AQ47*AT47*VLOOKUP('Données projet'!$B$10,Paramètres!$A$1:$I$89,3,0)*0.475*44/12</f>
        <v>0.1683897557605597</v>
      </c>
      <c r="AX47" s="21">
        <f t="shared" si="6"/>
        <v>24.579135912548022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18.899999999999999</v>
      </c>
      <c r="BD47" s="12">
        <f>IF('Données projet'!$A$88&gt;35,BD46+BC47-BL46,IF(A47&lt;'Données projet'!$A$88,$BA$205^A47,IF(A47='Données projet'!$A$88,'Données projet'!$B$88,BD46+BC47-BL46)))</f>
        <v>321.59999999999985</v>
      </c>
      <c r="BE47" s="13">
        <f>BD47*VLOOKUP('Données projet'!$B$11,Paramètres!$A$1:$I$89,3,0)*VLOOKUP('Données projet'!$B$11,Paramètres!$A$1:$I$89,5,0)</f>
        <v>192.31679999999994</v>
      </c>
      <c r="BF47" s="13">
        <f t="shared" si="37"/>
        <v>48.05180257326473</v>
      </c>
      <c r="BG47" s="20">
        <f t="shared" si="7"/>
        <v>418.64198281510261</v>
      </c>
      <c r="BH47" s="59">
        <f t="shared" si="8"/>
        <v>711.97531614843592</v>
      </c>
      <c r="BI47" s="59">
        <f ca="1">AVERAGE(OFFSET($BH$3,0,0,'Données projet'!$E$11+1,1))-AVERAGE(OFFSET($H$3,0,0,'Données projet'!$E$11+1,1))</f>
        <v>316.58509520829671</v>
      </c>
      <c r="BJ47" s="59">
        <f t="shared" si="38"/>
        <v>240.71332110643596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1.9208276763742498</v>
      </c>
      <c r="BQ47" s="21">
        <f>EXP(-LN(2)/25)*BQ46+(1-EXP(-LN(2)/25))/(LN(2)/25)*Calculateur!BL47*Calculateur!BN47*VLOOKUP('Données projet'!$B$11,Paramètres!$A$1:$I$89,3,0)*0.475*44/12</f>
        <v>10.356267730156919</v>
      </c>
      <c r="BR47" s="21">
        <f>EXP(-LN(2)/2)*BR46+(1-EXP(-LN(2)/2))/(LN(2)/2)*BL47*BO47*VLOOKUP('Données projet'!$B$11,Paramètres!$A$1:$I$89,3,0)*0.475*44/12</f>
        <v>0.17140111773547506</v>
      </c>
      <c r="BS47" s="22">
        <f t="shared" si="9"/>
        <v>12.448496524266645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9.1999999999999993</v>
      </c>
      <c r="BY47" s="12">
        <f>IF('Données projet'!$A$114&gt;35,BY46+BX47-CG46,IF(A47&lt;'Données projet'!$A$114,$BV$205^A47,IF(A47='Données projet'!$A$114,'Données projet'!$B$114,BY46+BX47-CG46)))</f>
        <v>229.7999999999999</v>
      </c>
      <c r="BZ47" s="13">
        <f>BY47*VLOOKUP('Données projet'!$B$12,Paramètres!$A$1:$I$89,3,0)*VLOOKUP('Données projet'!$B$12,Paramètres!$A$1:$I$89,5,0)</f>
        <v>182.82887999999994</v>
      </c>
      <c r="CA47" s="13">
        <f t="shared" si="39"/>
        <v>45.950987516613559</v>
      </c>
      <c r="CB47" s="20">
        <f t="shared" si="10"/>
        <v>398.45826925810184</v>
      </c>
      <c r="CC47" s="59">
        <f t="shared" si="11"/>
        <v>691.79160259143509</v>
      </c>
      <c r="CD47" s="59">
        <f ca="1">AVERAGE(OFFSET($CC$3,0,0,'Données projet'!$E$12+1,1))-AVERAGE(OFFSET($H$3,0,0,'Données projet'!$E$12+1,1))</f>
        <v>260.20517190557814</v>
      </c>
      <c r="CE47" s="59">
        <f t="shared" si="40"/>
        <v>307.22009971147133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2.4728842937114504</v>
      </c>
      <c r="CL47" s="21">
        <f>EXP(-LN(2)/25)*CL46+(1-EXP(-LN(2)/25))/(LN(2)/25)*Calculateur!CG47*Calculateur!CI47*VLOOKUP('Données projet'!$B$12,Paramètres!$A$1:$I$89,3,0)*0.475*44/12</f>
        <v>13.918490926983322</v>
      </c>
      <c r="CM47" s="21">
        <f>EXP(-LN(2)/2)*CM46+(1-EXP(-LN(2)/2))/(LN(2)/2)*CG47*CJ47*VLOOKUP('Données projet'!$B$12,Paramètres!$A$1:$I$89,3,0)*0.475*44/12</f>
        <v>0.1878049550996663</v>
      </c>
      <c r="CN47" s="22">
        <f t="shared" si="12"/>
        <v>16.579180175794438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10.6</v>
      </c>
      <c r="CT47" s="12">
        <f>IF('Données projet'!$A$140&gt;35,CT46+CS47-DB46,IF(A47&lt;'Données projet'!$A$140,$CQ$205^A47,IF(A47='Données projet'!$A$140,'Données projet'!$B$140,CT46+CS47-DB46)))</f>
        <v>164.39999999999989</v>
      </c>
      <c r="CU47" s="17">
        <f>CT47*VLOOKUP('Données projet'!$B$13,Paramètres!$A$1:$I$89,3,0)*VLOOKUP('Données projet'!$B$13,Paramètres!$A$1:$I$89,5,0)</f>
        <v>141.05519999999993</v>
      </c>
      <c r="CV47" s="13">
        <f t="shared" si="41"/>
        <v>36.53863125528558</v>
      </c>
      <c r="CW47" s="20">
        <f t="shared" si="13"/>
        <v>309.3092561029556</v>
      </c>
      <c r="CX47" s="59">
        <f t="shared" si="14"/>
        <v>602.64258943628897</v>
      </c>
      <c r="CY47" s="59">
        <f ca="1">AVERAGE(OFFSET($CX$3,0,0,'Données projet'!$E$13+1,1))-AVERAGE(OFFSET($H$3,0,0,'Données projet'!$E$13+1,1))</f>
        <v>310.4018929413723</v>
      </c>
      <c r="CZ47" s="59">
        <f t="shared" si="42"/>
        <v>127.5231137583819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3.9934507564585897</v>
      </c>
      <c r="DH47" s="21">
        <f>EXP(-LN(2)/2)*DH46+(1-EXP(-LN(2)/2))/(LN(2)/2)*DB47*DE47*VLOOKUP('Données projet'!$B$13,Paramètres!$A$1:$I$89,3,0)*0.475*44/12</f>
        <v>6.9768010433152464E-2</v>
      </c>
      <c r="DI47" s="22">
        <f t="shared" si="15"/>
        <v>4.0632187668917421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>
        <f>DO47*VLOOKUP('Données projet'!$B$14,Paramètres!$A$1:$I$89,3,0)*VLOOKUP('Données projet'!$B$14,Paramètres!$A$1:$I$89,5,0)</f>
        <v>168.48935999999992</v>
      </c>
      <c r="DQ47" s="13">
        <f t="shared" si="43"/>
        <v>42.75151491995225</v>
      </c>
      <c r="DR47" s="20">
        <f t="shared" si="16"/>
        <v>367.91119048558335</v>
      </c>
      <c r="DS47" s="59">
        <f t="shared" si="17"/>
        <v>661.2445238189166</v>
      </c>
      <c r="DT47" s="59">
        <f ca="1">AVERAGE(OFFSET($DS$3,0,0,'Données projet'!$E$14+1,1))-AVERAGE(OFFSET($H$3,0,0,'Données projet'!$E$14+1,1))</f>
        <v>234.09142087023463</v>
      </c>
      <c r="DU47" s="59">
        <f t="shared" si="44"/>
        <v>278.990685815294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1.8489453043251352</v>
      </c>
      <c r="EB47" s="21">
        <f>EXP(-LN(2)/25)*EB46+(1-EXP(-LN(2)/25))/(LN(2)/25)*Calculateur!DW47*Calculateur!DY47*VLOOKUP('Données projet'!$B$14,Paramètres!$A$1:$I$89,3,0)*0.475*44/12</f>
        <v>10.406685225095559</v>
      </c>
      <c r="EC47" s="21">
        <f>EXP(-LN(2)/2)*EC46+(1-EXP(-LN(2)/2))/(LN(2)/2)*DW47*DZ47*VLOOKUP('Données projet'!$B$14,Paramètres!$A$1:$I$89,3,0)*0.475*44/12</f>
        <v>0.17307515469969265</v>
      </c>
      <c r="ED47" s="22">
        <f t="shared" si="18"/>
        <v>12.428705684120386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11.5</v>
      </c>
      <c r="AI48" s="13">
        <f>IF('Données projet'!$A$62&gt;35,AI47+AH48-AQ47,IF(A48&lt;'Données projet'!$A$62,$AF$205^A48,IF(A48='Données projet'!$A$62,'Données projet'!$B$62,AI47+AH48-AQ47)))</f>
        <v>291.50000000000011</v>
      </c>
      <c r="AJ48" s="13">
        <f>AI48*VLOOKUP('Données projet'!$B$10,Paramètres!$A$1:$I$89,3,0)*VLOOKUP('Données projet'!$B$10,Paramètres!$A$1:$I$89,5,0)</f>
        <v>159.15900000000008</v>
      </c>
      <c r="AK48" s="13">
        <f t="shared" si="35"/>
        <v>40.65276736661405</v>
      </c>
      <c r="AL48" s="20">
        <f t="shared" si="4"/>
        <v>348.00549483018625</v>
      </c>
      <c r="AM48" s="59">
        <f t="shared" si="5"/>
        <v>641.33882816351957</v>
      </c>
      <c r="AN48" s="59">
        <f ca="1">AVERAGE(OFFSET($AM$3,0,0,'Données projet'!$E$10+1,1))-AVERAGE(OFFSET($H$3,0,0,'Données projet'!$E$10+1,1))</f>
        <v>210.04871822652808</v>
      </c>
      <c r="AO48" s="59">
        <f t="shared" si="36"/>
        <v>250.17540614049324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5.4246119452839761</v>
      </c>
      <c r="AV48" s="21">
        <f>EXP(-LN(2)/25)*AV47+(1-EXP(-LN(2)/25))/(LN(2)/25)*Calculateur!AQ48*Calculateur!AS48*VLOOKUP('Données projet'!$B$10,Paramètres!$A$1:$I$89,3,0)*0.475*44/12</f>
        <v>18.361423368375192</v>
      </c>
      <c r="AW48" s="21">
        <f>EXP(-LN(2)/2)*AW47+(1-EXP(-LN(2)/2))/(LN(2)/2)*AQ48*AT48*VLOOKUP('Données projet'!$B$10,Paramètres!$A$1:$I$89,3,0)*0.475*44/12</f>
        <v>0.11906953818063827</v>
      </c>
      <c r="AX48" s="21">
        <f t="shared" si="6"/>
        <v>23.905104851839809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18.899999999999999</v>
      </c>
      <c r="BD48" s="12">
        <f>IF('Données projet'!$A$88&gt;35,BD47+BC48-BL47,IF(A48&lt;'Données projet'!$A$88,$BA$205^A48,IF(A48='Données projet'!$A$88,'Données projet'!$B$88,BD47+BC48-BL47)))</f>
        <v>340.49999999999983</v>
      </c>
      <c r="BE48" s="13">
        <f>BD48*VLOOKUP('Données projet'!$B$11,Paramètres!$A$1:$I$89,3,0)*VLOOKUP('Données projet'!$B$11,Paramètres!$A$1:$I$89,5,0)</f>
        <v>203.61899999999991</v>
      </c>
      <c r="BF48" s="13">
        <f t="shared" si="37"/>
        <v>50.538682373323198</v>
      </c>
      <c r="BG48" s="20">
        <f t="shared" si="7"/>
        <v>442.65796346687102</v>
      </c>
      <c r="BH48" s="59">
        <f t="shared" si="8"/>
        <v>735.99129680020428</v>
      </c>
      <c r="BI48" s="59">
        <f ca="1">AVERAGE(OFFSET($BH$3,0,0,'Données projet'!$E$11+1,1))-AVERAGE(OFFSET($H$3,0,0,'Données projet'!$E$11+1,1))</f>
        <v>316.58509520829671</v>
      </c>
      <c r="BJ48" s="59">
        <f t="shared" si="38"/>
        <v>240.71332110643596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1.8831614172297486</v>
      </c>
      <c r="BQ48" s="21">
        <f>EXP(-LN(2)/25)*BQ47+(1-EXP(-LN(2)/25))/(LN(2)/25)*Calculateur!BL48*Calculateur!BN48*VLOOKUP('Données projet'!$B$11,Paramètres!$A$1:$I$89,3,0)*0.475*44/12</f>
        <v>10.073075044463328</v>
      </c>
      <c r="BR48" s="21">
        <f>EXP(-LN(2)/2)*BR47+(1-EXP(-LN(2)/2))/(LN(2)/2)*BL48*BO48*VLOOKUP('Données projet'!$B$11,Paramètres!$A$1:$I$89,3,0)*0.475*44/12</f>
        <v>0.12119889265370824</v>
      </c>
      <c r="BS48" s="22">
        <f t="shared" si="9"/>
        <v>12.077435354346786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9.1999999999999993</v>
      </c>
      <c r="BY48" s="12">
        <f>IF('Données projet'!$A$114&gt;35,BY47+BX48-CG47,IF(A48&lt;'Données projet'!$A$114,$BV$205^A48,IF(A48='Données projet'!$A$114,'Données projet'!$B$114,BY47+BX48-CG47)))</f>
        <v>238.99999999999989</v>
      </c>
      <c r="BZ48" s="13">
        <f>BY48*VLOOKUP('Données projet'!$B$12,Paramètres!$A$1:$I$89,3,0)*VLOOKUP('Données projet'!$B$12,Paramètres!$A$1:$I$89,5,0)</f>
        <v>190.14839999999992</v>
      </c>
      <c r="CA48" s="13">
        <f t="shared" si="39"/>
        <v>47.572760493232991</v>
      </c>
      <c r="CB48" s="20">
        <f t="shared" si="10"/>
        <v>414.03102119238065</v>
      </c>
      <c r="CC48" s="59">
        <f t="shared" si="11"/>
        <v>707.36435452571391</v>
      </c>
      <c r="CD48" s="59">
        <f ca="1">AVERAGE(OFFSET($CC$3,0,0,'Données projet'!$E$12+1,1))-AVERAGE(OFFSET($H$3,0,0,'Données projet'!$E$12+1,1))</f>
        <v>260.20517190557814</v>
      </c>
      <c r="CE48" s="59">
        <f t="shared" si="40"/>
        <v>307.22009971147133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2.4243925410222547</v>
      </c>
      <c r="CL48" s="21">
        <f>EXP(-LN(2)/25)*CL47+(1-EXP(-LN(2)/25))/(LN(2)/25)*Calculateur!CG48*Calculateur!CI48*VLOOKUP('Données projet'!$B$12,Paramètres!$A$1:$I$89,3,0)*0.475*44/12</f>
        <v>13.537889060643337</v>
      </c>
      <c r="CM48" s="21">
        <f>EXP(-LN(2)/2)*CM47+(1-EXP(-LN(2)/2))/(LN(2)/2)*CG48*CJ48*VLOOKUP('Données projet'!$B$12,Paramètres!$A$1:$I$89,3,0)*0.475*44/12</f>
        <v>0.13279815729140912</v>
      </c>
      <c r="CN48" s="22">
        <f t="shared" si="12"/>
        <v>16.095079758956999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10.6</v>
      </c>
      <c r="CT48" s="12">
        <f>IF('Données projet'!$A$140&gt;35,CT47+CS48-DB47,IF(A48&lt;'Données projet'!$A$140,$CQ$205^A48,IF(A48='Données projet'!$A$140,'Données projet'!$B$140,CT47+CS48-DB47)))</f>
        <v>174.99999999999989</v>
      </c>
      <c r="CU48" s="17">
        <f>CT48*VLOOKUP('Données projet'!$B$13,Paramètres!$A$1:$I$89,3,0)*VLOOKUP('Données projet'!$B$13,Paramètres!$A$1:$I$89,5,0)</f>
        <v>150.14999999999992</v>
      </c>
      <c r="CV48" s="13">
        <f t="shared" si="41"/>
        <v>38.612671675922336</v>
      </c>
      <c r="CW48" s="20">
        <f t="shared" si="13"/>
        <v>328.76165316889791</v>
      </c>
      <c r="CX48" s="59">
        <f t="shared" si="14"/>
        <v>622.09498650223122</v>
      </c>
      <c r="CY48" s="59">
        <f ca="1">AVERAGE(OFFSET($CX$3,0,0,'Données projet'!$E$13+1,1))-AVERAGE(OFFSET($H$3,0,0,'Données projet'!$E$13+1,1))</f>
        <v>310.4018929413723</v>
      </c>
      <c r="CZ48" s="59">
        <f t="shared" si="42"/>
        <v>127.5231137583819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3.8842496355167815</v>
      </c>
      <c r="DH48" s="21">
        <f>EXP(-LN(2)/2)*DH47+(1-EXP(-LN(2)/2))/(LN(2)/2)*DB48*DE48*VLOOKUP('Données projet'!$B$13,Paramètres!$A$1:$I$89,3,0)*0.475*44/12</f>
        <v>4.9333433287175904E-2</v>
      </c>
      <c r="DI48" s="22">
        <f t="shared" si="15"/>
        <v>3.9335830688039573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>
        <f>DO48*VLOOKUP('Données projet'!$B$14,Paramètres!$A$1:$I$89,3,0)*VLOOKUP('Données projet'!$B$14,Paramètres!$A$1:$I$89,5,0)</f>
        <v>175.23479999999992</v>
      </c>
      <c r="DQ48" s="13">
        <f t="shared" si="43"/>
        <v>44.260367185241478</v>
      </c>
      <c r="DR48" s="20">
        <f t="shared" si="16"/>
        <v>382.28741618096211</v>
      </c>
      <c r="DS48" s="59">
        <f t="shared" si="17"/>
        <v>675.62074951429543</v>
      </c>
      <c r="DT48" s="59">
        <f ca="1">AVERAGE(OFFSET($DS$3,0,0,'Données projet'!$E$14+1,1))-AVERAGE(OFFSET($H$3,0,0,'Données projet'!$E$14+1,1))</f>
        <v>234.09142087023463</v>
      </c>
      <c r="DU48" s="59">
        <f t="shared" si="44"/>
        <v>278.990685815294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1.8126886146525993</v>
      </c>
      <c r="EB48" s="21">
        <f>EXP(-LN(2)/25)*EB47+(1-EXP(-LN(2)/25))/(LN(2)/25)*Calculateur!DW48*Calculateur!DY48*VLOOKUP('Données projet'!$B$14,Paramètres!$A$1:$I$89,3,0)*0.475*44/12</f>
        <v>10.12211387035153</v>
      </c>
      <c r="EC48" s="21">
        <f>EXP(-LN(2)/2)*EC47+(1-EXP(-LN(2)/2))/(LN(2)/2)*DW48*DZ48*VLOOKUP('Données projet'!$B$14,Paramètres!$A$1:$I$89,3,0)*0.475*44/12</f>
        <v>0.12238261554306344</v>
      </c>
      <c r="ED48" s="22">
        <f t="shared" si="18"/>
        <v>12.057185100547192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11.5</v>
      </c>
      <c r="AI49" s="13">
        <f>IF('Données projet'!$A$62&gt;35,AI48+AH49-AQ48,IF(A49&lt;'Données projet'!$A$62,$AF$205^A49,IF(A49='Données projet'!$A$62,'Données projet'!$B$62,AI48+AH49-AQ48)))</f>
        <v>303.00000000000011</v>
      </c>
      <c r="AJ49" s="13">
        <f>AI49*VLOOKUP('Données projet'!$B$10,Paramètres!$A$1:$I$89,3,0)*VLOOKUP('Données projet'!$B$10,Paramètres!$A$1:$I$89,5,0)</f>
        <v>165.43800000000007</v>
      </c>
      <c r="AK49" s="13">
        <f t="shared" si="35"/>
        <v>42.066675415215805</v>
      </c>
      <c r="AL49" s="20">
        <f t="shared" si="4"/>
        <v>361.40397634816759</v>
      </c>
      <c r="AM49" s="59">
        <f t="shared" si="5"/>
        <v>654.73730968150085</v>
      </c>
      <c r="AN49" s="59">
        <f ca="1">AVERAGE(OFFSET($AM$3,0,0,'Données projet'!$E$10+1,1))-AVERAGE(OFFSET($H$3,0,0,'Données projet'!$E$10+1,1))</f>
        <v>210.04871822652808</v>
      </c>
      <c r="AO49" s="59">
        <f t="shared" si="36"/>
        <v>250.17540614049324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5.3182386137235387</v>
      </c>
      <c r="AV49" s="21">
        <f>EXP(-LN(2)/25)*AV48+(1-EXP(-LN(2)/25))/(LN(2)/25)*Calculateur!AQ49*Calculateur!AS49*VLOOKUP('Données projet'!$B$10,Paramètres!$A$1:$I$89,3,0)*0.475*44/12</f>
        <v>17.859329280781683</v>
      </c>
      <c r="AW49" s="21">
        <f>EXP(-LN(2)/2)*AW48+(1-EXP(-LN(2)/2))/(LN(2)/2)*AQ49*AT49*VLOOKUP('Données projet'!$B$10,Paramètres!$A$1:$I$89,3,0)*0.475*44/12</f>
        <v>8.4194877880279864E-2</v>
      </c>
      <c r="AX49" s="21">
        <f t="shared" si="6"/>
        <v>23.261762772385502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18.899999999999999</v>
      </c>
      <c r="BD49" s="12">
        <f>IF('Données projet'!$A$88&gt;35,BD48+BC49-BL48,IF(A49&lt;'Données projet'!$A$88,$BA$205^A49,IF(A49='Données projet'!$A$88,'Données projet'!$B$88,BD48+BC49-BL48)))</f>
        <v>359.39999999999981</v>
      </c>
      <c r="BE49" s="13">
        <f>BD49*VLOOKUP('Données projet'!$B$11,Paramètres!$A$1:$I$89,3,0)*VLOOKUP('Données projet'!$B$11,Paramètres!$A$1:$I$89,5,0)</f>
        <v>214.92119999999991</v>
      </c>
      <c r="BF49" s="13">
        <f t="shared" si="37"/>
        <v>53.009537628527006</v>
      </c>
      <c r="BG49" s="20">
        <f t="shared" si="7"/>
        <v>466.64603470301768</v>
      </c>
      <c r="BH49" s="59">
        <f t="shared" si="8"/>
        <v>759.97936803635093</v>
      </c>
      <c r="BI49" s="59">
        <f ca="1">AVERAGE(OFFSET($BH$3,0,0,'Données projet'!$E$11+1,1))-AVERAGE(OFFSET($H$3,0,0,'Données projet'!$E$11+1,1))</f>
        <v>316.58509520829671</v>
      </c>
      <c r="BJ49" s="59">
        <f t="shared" si="38"/>
        <v>240.71332110643596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1.8462337704529215</v>
      </c>
      <c r="BQ49" s="21">
        <f>EXP(-LN(2)/25)*BQ48+(1-EXP(-LN(2)/25))/(LN(2)/25)*Calculateur!BL49*Calculateur!BN49*VLOOKUP('Données projet'!$B$11,Paramètres!$A$1:$I$89,3,0)*0.475*44/12</f>
        <v>9.7976262776524852</v>
      </c>
      <c r="BR49" s="21">
        <f>EXP(-LN(2)/2)*BR48+(1-EXP(-LN(2)/2))/(LN(2)/2)*BL49*BO49*VLOOKUP('Données projet'!$B$11,Paramètres!$A$1:$I$89,3,0)*0.475*44/12</f>
        <v>8.5700558867737545E-2</v>
      </c>
      <c r="BS49" s="22">
        <f t="shared" si="9"/>
        <v>11.729560606973143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9.1999999999999993</v>
      </c>
      <c r="BY49" s="12">
        <f>IF('Données projet'!$A$114&gt;35,BY48+BX49-CG48,IF(A49&lt;'Données projet'!$A$114,$BV$205^A49,IF(A49='Données projet'!$A$114,'Données projet'!$B$114,BY48+BX49-CG48)))</f>
        <v>248.19999999999987</v>
      </c>
      <c r="BZ49" s="13">
        <f>BY49*VLOOKUP('Données projet'!$B$12,Paramètres!$A$1:$I$89,3,0)*VLOOKUP('Données projet'!$B$12,Paramètres!$A$1:$I$89,5,0)</f>
        <v>197.46791999999991</v>
      </c>
      <c r="CA49" s="13">
        <f t="shared" si="39"/>
        <v>49.187281204902298</v>
      </c>
      <c r="CB49" s="20">
        <f t="shared" si="10"/>
        <v>429.591142098538</v>
      </c>
      <c r="CC49" s="59">
        <f t="shared" si="11"/>
        <v>722.92447543187131</v>
      </c>
      <c r="CD49" s="59">
        <f ca="1">AVERAGE(OFFSET($CC$3,0,0,'Données projet'!$E$12+1,1))-AVERAGE(OFFSET($H$3,0,0,'Données projet'!$E$12+1,1))</f>
        <v>260.20517190557814</v>
      </c>
      <c r="CE49" s="59">
        <f t="shared" si="40"/>
        <v>307.22009971147133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2.3768516820262455</v>
      </c>
      <c r="CL49" s="21">
        <f>EXP(-LN(2)/25)*CL48+(1-EXP(-LN(2)/25))/(LN(2)/25)*Calculateur!CG49*Calculateur!CI49*VLOOKUP('Données projet'!$B$12,Paramètres!$A$1:$I$89,3,0)*0.475*44/12</f>
        <v>13.167694772353402</v>
      </c>
      <c r="CM49" s="21">
        <f>EXP(-LN(2)/2)*CM48+(1-EXP(-LN(2)/2))/(LN(2)/2)*CG49*CJ49*VLOOKUP('Données projet'!$B$12,Paramètres!$A$1:$I$89,3,0)*0.475*44/12</f>
        <v>9.3902477549833149E-2</v>
      </c>
      <c r="CN49" s="22">
        <f t="shared" si="12"/>
        <v>15.63844893192948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10.6</v>
      </c>
      <c r="CT49" s="12">
        <f>IF('Données projet'!$A$140&gt;35,CT48+CS49-DB48,IF(A49&lt;'Données projet'!$A$140,$CQ$205^A49,IF(A49='Données projet'!$A$140,'Données projet'!$B$140,CT48+CS49-DB48)))</f>
        <v>185.59999999999988</v>
      </c>
      <c r="CU49" s="17">
        <f>CT49*VLOOKUP('Données projet'!$B$13,Paramètres!$A$1:$I$89,3,0)*VLOOKUP('Données projet'!$B$13,Paramètres!$A$1:$I$89,5,0)</f>
        <v>159.24479999999991</v>
      </c>
      <c r="CV49" s="13">
        <f t="shared" si="41"/>
        <v>40.672131063901716</v>
      </c>
      <c r="CW49" s="20">
        <f t="shared" si="13"/>
        <v>348.18865493629534</v>
      </c>
      <c r="CX49" s="59">
        <f t="shared" si="14"/>
        <v>641.52198826962865</v>
      </c>
      <c r="CY49" s="59">
        <f ca="1">AVERAGE(OFFSET($CX$3,0,0,'Données projet'!$E$13+1,1))-AVERAGE(OFFSET($H$3,0,0,'Données projet'!$E$13+1,1))</f>
        <v>310.4018929413723</v>
      </c>
      <c r="CZ49" s="59">
        <f t="shared" si="42"/>
        <v>127.5231137583819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3.7780346249697643</v>
      </c>
      <c r="DH49" s="21">
        <f>EXP(-LN(2)/2)*DH48+(1-EXP(-LN(2)/2))/(LN(2)/2)*DB49*DE49*VLOOKUP('Données projet'!$B$13,Paramètres!$A$1:$I$89,3,0)*0.475*44/12</f>
        <v>3.4884005216576232E-2</v>
      </c>
      <c r="DI49" s="22">
        <f t="shared" si="15"/>
        <v>3.8129186301863407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>
        <f>DO49*VLOOKUP('Données projet'!$B$14,Paramètres!$A$1:$I$89,3,0)*VLOOKUP('Données projet'!$B$14,Paramètres!$A$1:$I$89,5,0)</f>
        <v>181.98023999999992</v>
      </c>
      <c r="DQ49" s="13">
        <f t="shared" si="43"/>
        <v>45.762472145848697</v>
      </c>
      <c r="DR49" s="20">
        <f t="shared" si="16"/>
        <v>396.65189032068633</v>
      </c>
      <c r="DS49" s="59">
        <f t="shared" si="17"/>
        <v>689.98522365401959</v>
      </c>
      <c r="DT49" s="59">
        <f ca="1">AVERAGE(OFFSET($DS$3,0,0,'Données projet'!$E$14+1,1))-AVERAGE(OFFSET($H$3,0,0,'Données projet'!$E$14+1,1))</f>
        <v>234.09142087023463</v>
      </c>
      <c r="DU49" s="59">
        <f t="shared" si="44"/>
        <v>278.990685815294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1.7771428965501448</v>
      </c>
      <c r="EB49" s="21">
        <f>EXP(-LN(2)/25)*EB48+(1-EXP(-LN(2)/25))/(LN(2)/25)*Calculateur!DW49*Calculateur!DY49*VLOOKUP('Données projet'!$B$14,Paramètres!$A$1:$I$89,3,0)*0.475*44/12</f>
        <v>9.8453241342679334</v>
      </c>
      <c r="EC49" s="21">
        <f>EXP(-LN(2)/2)*EC48+(1-EXP(-LN(2)/2))/(LN(2)/2)*DW49*DZ49*VLOOKUP('Données projet'!$B$14,Paramètres!$A$1:$I$89,3,0)*0.475*44/12</f>
        <v>8.6537577349846337E-2</v>
      </c>
      <c r="ED49" s="22">
        <f t="shared" si="18"/>
        <v>11.709004608167925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11.5</v>
      </c>
      <c r="AI50" s="13">
        <f>IF('Données projet'!$A$62&gt;35,AI49+AH50-AQ49,IF(A50&lt;'Données projet'!$A$62,$AF$205^A50,IF(A50='Données projet'!$A$62,'Données projet'!$B$62,AI49+AH50-AQ49)))</f>
        <v>314.50000000000011</v>
      </c>
      <c r="AJ50" s="13">
        <f>AI50*VLOOKUP('Données projet'!$B$10,Paramètres!$A$1:$I$89,3,0)*VLOOKUP('Données projet'!$B$10,Paramètres!$A$1:$I$89,5,0)</f>
        <v>171.71700000000004</v>
      </c>
      <c r="AK50" s="13">
        <f t="shared" si="35"/>
        <v>43.474349266591211</v>
      </c>
      <c r="AL50" s="20">
        <f t="shared" si="4"/>
        <v>374.79159997264645</v>
      </c>
      <c r="AM50" s="59">
        <f t="shared" si="5"/>
        <v>668.12493330597977</v>
      </c>
      <c r="AN50" s="59">
        <f ca="1">AVERAGE(OFFSET($AM$3,0,0,'Données projet'!$E$10+1,1))-AVERAGE(OFFSET($H$3,0,0,'Données projet'!$E$10+1,1))</f>
        <v>210.04871822652808</v>
      </c>
      <c r="AO50" s="59">
        <f t="shared" si="36"/>
        <v>250.17540614049324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5.2139511983136755</v>
      </c>
      <c r="AV50" s="21">
        <f>EXP(-LN(2)/25)*AV49+(1-EXP(-LN(2)/25))/(LN(2)/25)*Calculateur!AQ50*Calculateur!AS50*VLOOKUP('Données projet'!$B$10,Paramètres!$A$1:$I$89,3,0)*0.475*44/12</f>
        <v>17.370964982417398</v>
      </c>
      <c r="AW50" s="21">
        <f>EXP(-LN(2)/2)*AW49+(1-EXP(-LN(2)/2))/(LN(2)/2)*AQ50*AT50*VLOOKUP('Données projet'!$B$10,Paramètres!$A$1:$I$89,3,0)*0.475*44/12</f>
        <v>5.9534769090319149E-2</v>
      </c>
      <c r="AX50" s="21">
        <f t="shared" si="6"/>
        <v>22.644450949821394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18.899999999999999</v>
      </c>
      <c r="BD50" s="12">
        <f>IF('Données projet'!$A$88&gt;35,BD49+BC50-BL49,IF(A50&lt;'Données projet'!$A$88,$BA$205^A50,IF(A50='Données projet'!$A$88,'Données projet'!$B$88,BD49+BC50-BL49)))</f>
        <v>378.29999999999978</v>
      </c>
      <c r="BE50" s="13">
        <f>BD50*VLOOKUP('Données projet'!$B$11,Paramètres!$A$1:$I$89,3,0)*VLOOKUP('Données projet'!$B$11,Paramètres!$A$1:$I$89,5,0)</f>
        <v>226.22339999999988</v>
      </c>
      <c r="BF50" s="13">
        <f t="shared" si="37"/>
        <v>55.465307135389509</v>
      </c>
      <c r="BG50" s="20">
        <f t="shared" si="7"/>
        <v>490.60783159413654</v>
      </c>
      <c r="BH50" s="59">
        <f t="shared" si="8"/>
        <v>783.9411649274698</v>
      </c>
      <c r="BI50" s="59">
        <f ca="1">AVERAGE(OFFSET($BH$3,0,0,'Données projet'!$E$11+1,1))-AVERAGE(OFFSET($H$3,0,0,'Données projet'!$E$11+1,1))</f>
        <v>316.58509520829671</v>
      </c>
      <c r="BJ50" s="59">
        <f t="shared" si="38"/>
        <v>240.71332110643596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1.8100302523057474</v>
      </c>
      <c r="BQ50" s="21">
        <f>EXP(-LN(2)/25)*BQ49+(1-EXP(-LN(2)/25))/(LN(2)/25)*Calculateur!BL50*Calculateur!BN50*VLOOKUP('Données projet'!$B$11,Paramètres!$A$1:$I$89,3,0)*0.475*44/12</f>
        <v>9.5297096718553043</v>
      </c>
      <c r="BR50" s="21">
        <f>EXP(-LN(2)/2)*BR49+(1-EXP(-LN(2)/2))/(LN(2)/2)*BL50*BO50*VLOOKUP('Données projet'!$B$11,Paramètres!$A$1:$I$89,3,0)*0.475*44/12</f>
        <v>6.0599446326854128E-2</v>
      </c>
      <c r="BS50" s="22">
        <f t="shared" si="9"/>
        <v>11.400339370487906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9.1999999999999993</v>
      </c>
      <c r="BY50" s="12">
        <f>IF('Données projet'!$A$114&gt;35,BY49+BX50-CG49,IF(A50&lt;'Données projet'!$A$114,$BV$205^A50,IF(A50='Données projet'!$A$114,'Données projet'!$B$114,BY49+BX50-CG49)))</f>
        <v>257.39999999999986</v>
      </c>
      <c r="BZ50" s="13">
        <f>BY50*VLOOKUP('Données projet'!$B$12,Paramètres!$A$1:$I$89,3,0)*VLOOKUP('Données projet'!$B$12,Paramètres!$A$1:$I$89,5,0)</f>
        <v>204.78743999999992</v>
      </c>
      <c r="CA50" s="13">
        <f t="shared" si="39"/>
        <v>50.794849254094281</v>
      </c>
      <c r="CB50" s="20">
        <f t="shared" si="10"/>
        <v>445.1391537842141</v>
      </c>
      <c r="CC50" s="59">
        <f t="shared" si="11"/>
        <v>738.47248711754742</v>
      </c>
      <c r="CD50" s="59">
        <f ca="1">AVERAGE(OFFSET($CC$3,0,0,'Données projet'!$E$12+1,1))-AVERAGE(OFFSET($H$3,0,0,'Données projet'!$E$12+1,1))</f>
        <v>260.20517190557814</v>
      </c>
      <c r="CE50" s="59">
        <f t="shared" si="40"/>
        <v>307.22009971147133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2.3302430702780872</v>
      </c>
      <c r="CL50" s="21">
        <f>EXP(-LN(2)/25)*CL49+(1-EXP(-LN(2)/25))/(LN(2)/25)*Calculateur!CG50*Calculateur!CI50*VLOOKUP('Données projet'!$B$12,Paramètres!$A$1:$I$89,3,0)*0.475*44/12</f>
        <v>12.807623466344426</v>
      </c>
      <c r="CM50" s="21">
        <f>EXP(-LN(2)/2)*CM49+(1-EXP(-LN(2)/2))/(LN(2)/2)*CG50*CJ50*VLOOKUP('Données projet'!$B$12,Paramètres!$A$1:$I$89,3,0)*0.475*44/12</f>
        <v>6.639907864570456E-2</v>
      </c>
      <c r="CN50" s="22">
        <f t="shared" si="12"/>
        <v>15.204265615268216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10.6</v>
      </c>
      <c r="CT50" s="12">
        <f>IF('Données projet'!$A$140&gt;35,CT49+CS50-DB49,IF(A50&lt;'Données projet'!$A$140,$CQ$205^A50,IF(A50='Données projet'!$A$140,'Données projet'!$B$140,CT49+CS50-DB49)))</f>
        <v>196.19999999999987</v>
      </c>
      <c r="CU50" s="17">
        <f>CT50*VLOOKUP('Données projet'!$B$13,Paramètres!$A$1:$I$89,3,0)*VLOOKUP('Données projet'!$B$13,Paramètres!$A$1:$I$89,5,0)</f>
        <v>168.3395999999999</v>
      </c>
      <c r="CV50" s="13">
        <f t="shared" si="41"/>
        <v>42.717937057957599</v>
      </c>
      <c r="CW50" s="20">
        <f t="shared" si="13"/>
        <v>367.59187704260927</v>
      </c>
      <c r="CX50" s="59">
        <f t="shared" si="14"/>
        <v>660.92521037594258</v>
      </c>
      <c r="CY50" s="59">
        <f ca="1">AVERAGE(OFFSET($CX$3,0,0,'Données projet'!$E$13+1,1))-AVERAGE(OFFSET($H$3,0,0,'Données projet'!$E$13+1,1))</f>
        <v>310.4018929413723</v>
      </c>
      <c r="CZ50" s="59">
        <f t="shared" si="42"/>
        <v>127.5231137583819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3.6747240694717598</v>
      </c>
      <c r="DH50" s="21">
        <f>EXP(-LN(2)/2)*DH49+(1-EXP(-LN(2)/2))/(LN(2)/2)*DB50*DE50*VLOOKUP('Données projet'!$B$13,Paramètres!$A$1:$I$89,3,0)*0.475*44/12</f>
        <v>2.4666716643587952E-2</v>
      </c>
      <c r="DI50" s="22">
        <f t="shared" si="15"/>
        <v>3.6993907861153477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>
        <f>DO50*VLOOKUP('Données projet'!$B$14,Paramètres!$A$1:$I$89,3,0)*VLOOKUP('Données projet'!$B$14,Paramètres!$A$1:$I$89,5,0)</f>
        <v>188.7256799999999</v>
      </c>
      <c r="DQ50" s="13">
        <f t="shared" si="43"/>
        <v>47.258108543543521</v>
      </c>
      <c r="DR50" s="20">
        <f t="shared" si="16"/>
        <v>411.00509838000477</v>
      </c>
      <c r="DS50" s="59">
        <f t="shared" si="17"/>
        <v>704.33843171333808</v>
      </c>
      <c r="DT50" s="59">
        <f ca="1">AVERAGE(OFFSET($DS$3,0,0,'Données projet'!$E$14+1,1))-AVERAGE(OFFSET($H$3,0,0,'Données projet'!$E$14+1,1))</f>
        <v>234.09142087023463</v>
      </c>
      <c r="DU50" s="59">
        <f t="shared" si="44"/>
        <v>278.990685815294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1.7422942082989321</v>
      </c>
      <c r="EB50" s="21">
        <f>EXP(-LN(2)/25)*EB49+(1-EXP(-LN(2)/25))/(LN(2)/25)*Calculateur!DW50*Calculateur!DY50*VLOOKUP('Données projet'!$B$14,Paramètres!$A$1:$I$89,3,0)*0.475*44/12</f>
        <v>9.5761032280732827</v>
      </c>
      <c r="EC50" s="21">
        <f>EXP(-LN(2)/2)*EC49+(1-EXP(-LN(2)/2))/(LN(2)/2)*DW50*DZ50*VLOOKUP('Données projet'!$B$14,Paramètres!$A$1:$I$89,3,0)*0.475*44/12</f>
        <v>6.1191307771531728E-2</v>
      </c>
      <c r="ED50" s="22">
        <f t="shared" si="18"/>
        <v>11.379588744143748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11.5</v>
      </c>
      <c r="AI51" s="13">
        <f>IF('Données projet'!$A$62&gt;35,AI50+AH51-AQ50,IF(A51&lt;'Données projet'!$A$62,$AF$205^A51,IF(A51='Données projet'!$A$62,'Données projet'!$B$62,AI50+AH51-AQ50)))</f>
        <v>326.00000000000011</v>
      </c>
      <c r="AJ51" s="13">
        <f>AI51*VLOOKUP('Données projet'!$B$10,Paramètres!$A$1:$I$89,3,0)*VLOOKUP('Données projet'!$B$10,Paramètres!$A$1:$I$89,5,0)</f>
        <v>177.99600000000007</v>
      </c>
      <c r="AK51" s="13">
        <f t="shared" si="35"/>
        <v>44.876042989096391</v>
      </c>
      <c r="AL51" s="20">
        <f t="shared" si="4"/>
        <v>388.1688082060096</v>
      </c>
      <c r="AM51" s="59">
        <f t="shared" si="5"/>
        <v>681.50214153934292</v>
      </c>
      <c r="AN51" s="59">
        <f ca="1">AVERAGE(OFFSET($AM$3,0,0,'Données projet'!$E$10+1,1))-AVERAGE(OFFSET($H$3,0,0,'Données projet'!$E$10+1,1))</f>
        <v>210.04871822652808</v>
      </c>
      <c r="AO51" s="59">
        <f t="shared" si="36"/>
        <v>250.17540614049324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5.1117087955109568</v>
      </c>
      <c r="AV51" s="21">
        <f>EXP(-LN(2)/25)*AV50+(1-EXP(-LN(2)/25))/(LN(2)/25)*Calculateur!AQ51*Calculateur!AS51*VLOOKUP('Données projet'!$B$10,Paramètres!$A$1:$I$89,3,0)*0.475*44/12</f>
        <v>16.895955031473846</v>
      </c>
      <c r="AW51" s="21">
        <f>EXP(-LN(2)/2)*AW50+(1-EXP(-LN(2)/2))/(LN(2)/2)*AQ51*AT51*VLOOKUP('Données projet'!$B$10,Paramètres!$A$1:$I$89,3,0)*0.475*44/12</f>
        <v>4.2097438940139939E-2</v>
      </c>
      <c r="AX51" s="21">
        <f t="shared" si="6"/>
        <v>22.049761265924943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18.899999999999999</v>
      </c>
      <c r="BD51" s="12">
        <f>IF('Données projet'!$A$88&gt;35,BD50+BC51-BL50,IF(A51&lt;'Données projet'!$A$88,$BA$205^A51,IF(A51='Données projet'!$A$88,'Données projet'!$B$88,BD50+BC51-BL50)))</f>
        <v>397.19999999999976</v>
      </c>
      <c r="BE51" s="13">
        <f>BD51*VLOOKUP('Données projet'!$B$11,Paramètres!$A$1:$I$89,3,0)*VLOOKUP('Données projet'!$B$11,Paramètres!$A$1:$I$89,5,0)</f>
        <v>237.52559999999988</v>
      </c>
      <c r="BF51" s="13">
        <f t="shared" si="37"/>
        <v>57.906830586193067</v>
      </c>
      <c r="BG51" s="20">
        <f t="shared" si="7"/>
        <v>514.54481660428598</v>
      </c>
      <c r="BH51" s="59">
        <f t="shared" si="8"/>
        <v>807.87814993761936</v>
      </c>
      <c r="BI51" s="59">
        <f ca="1">AVERAGE(OFFSET($BH$3,0,0,'Données projet'!$E$11+1,1))-AVERAGE(OFFSET($H$3,0,0,'Données projet'!$E$11+1,1))</f>
        <v>316.58509520829671</v>
      </c>
      <c r="BJ51" s="59">
        <f t="shared" si="38"/>
        <v>240.71332110643596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1.7745366630674737</v>
      </c>
      <c r="BQ51" s="21">
        <f>EXP(-LN(2)/25)*BQ50+(1-EXP(-LN(2)/25))/(LN(2)/25)*Calculateur!BL51*Calculateur!BN51*VLOOKUP('Données projet'!$B$11,Paramètres!$A$1:$I$89,3,0)*0.475*44/12</f>
        <v>9.2691192597327703</v>
      </c>
      <c r="BR51" s="21">
        <f>EXP(-LN(2)/2)*BR50+(1-EXP(-LN(2)/2))/(LN(2)/2)*BL51*BO51*VLOOKUP('Données projet'!$B$11,Paramètres!$A$1:$I$89,3,0)*0.475*44/12</f>
        <v>4.2850279433868779E-2</v>
      </c>
      <c r="BS51" s="22">
        <f t="shared" si="9"/>
        <v>11.086506202234114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9.1999999999999993</v>
      </c>
      <c r="BY51" s="12">
        <f>IF('Données projet'!$A$114&gt;35,BY50+BX51-CG50,IF(A51&lt;'Données projet'!$A$114,$BV$205^A51,IF(A51='Données projet'!$A$114,'Données projet'!$B$114,BY50+BX51-CG50)))</f>
        <v>266.59999999999985</v>
      </c>
      <c r="BZ51" s="13">
        <f>BY51*VLOOKUP('Données projet'!$B$12,Paramètres!$A$1:$I$89,3,0)*VLOOKUP('Données projet'!$B$12,Paramètres!$A$1:$I$89,5,0)</f>
        <v>212.10695999999987</v>
      </c>
      <c r="CA51" s="13">
        <f t="shared" si="39"/>
        <v>52.395741612408194</v>
      </c>
      <c r="CB51" s="20">
        <f t="shared" si="10"/>
        <v>460.67553864161073</v>
      </c>
      <c r="CC51" s="59">
        <f t="shared" si="11"/>
        <v>754.00887197494399</v>
      </c>
      <c r="CD51" s="59">
        <f ca="1">AVERAGE(OFFSET($CC$3,0,0,'Données projet'!$E$12+1,1))-AVERAGE(OFFSET($H$3,0,0,'Données projet'!$E$12+1,1))</f>
        <v>260.20517190557814</v>
      </c>
      <c r="CE51" s="59">
        <f t="shared" si="40"/>
        <v>307.22009971147133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2.2845484249778645</v>
      </c>
      <c r="CL51" s="21">
        <f>EXP(-LN(2)/25)*CL50+(1-EXP(-LN(2)/25))/(LN(2)/25)*Calculateur!CG51*Calculateur!CI51*VLOOKUP('Données projet'!$B$12,Paramètres!$A$1:$I$89,3,0)*0.475*44/12</f>
        <v>12.457398329133591</v>
      </c>
      <c r="CM51" s="21">
        <f>EXP(-LN(2)/2)*CM50+(1-EXP(-LN(2)/2))/(LN(2)/2)*CG51*CJ51*VLOOKUP('Données projet'!$B$12,Paramètres!$A$1:$I$89,3,0)*0.475*44/12</f>
        <v>4.6951238774916575E-2</v>
      </c>
      <c r="CN51" s="22">
        <f t="shared" si="12"/>
        <v>14.788897992886373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10.6</v>
      </c>
      <c r="CT51" s="12">
        <f>IF('Données projet'!$A$140&gt;35,CT50+CS51-DB50,IF(A51&lt;'Données projet'!$A$140,$CQ$205^A51,IF(A51='Données projet'!$A$140,'Données projet'!$B$140,CT50+CS51-DB50)))</f>
        <v>206.79999999999987</v>
      </c>
      <c r="CU51" s="17">
        <f>CT51*VLOOKUP('Données projet'!$B$13,Paramètres!$A$1:$I$89,3,0)*VLOOKUP('Données projet'!$B$13,Paramètres!$A$1:$I$89,5,0)</f>
        <v>177.4343999999999</v>
      </c>
      <c r="CV51" s="13">
        <f t="shared" si="41"/>
        <v>44.750911401641211</v>
      </c>
      <c r="CW51" s="20">
        <f t="shared" si="13"/>
        <v>386.97275069119155</v>
      </c>
      <c r="CX51" s="59">
        <f t="shared" si="14"/>
        <v>680.30608402452481</v>
      </c>
      <c r="CY51" s="59">
        <f ca="1">AVERAGE(OFFSET($CX$3,0,0,'Données projet'!$E$13+1,1))-AVERAGE(OFFSET($H$3,0,0,'Données projet'!$E$13+1,1))</f>
        <v>310.4018929413723</v>
      </c>
      <c r="CZ51" s="59">
        <f t="shared" si="42"/>
        <v>127.5231137583819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3.5742385465467144</v>
      </c>
      <c r="DH51" s="21">
        <f>EXP(-LN(2)/2)*DH50+(1-EXP(-LN(2)/2))/(LN(2)/2)*DB51*DE51*VLOOKUP('Données projet'!$B$13,Paramètres!$A$1:$I$89,3,0)*0.475*44/12</f>
        <v>1.7442002608288116E-2</v>
      </c>
      <c r="DI51" s="22">
        <f t="shared" si="15"/>
        <v>3.5916805491550026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>
        <f>DO51*VLOOKUP('Données projet'!$B$14,Paramètres!$A$1:$I$89,3,0)*VLOOKUP('Données projet'!$B$14,Paramètres!$A$1:$I$89,5,0)</f>
        <v>195.47111999999987</v>
      </c>
      <c r="DQ51" s="13">
        <f t="shared" si="43"/>
        <v>48.747534064963503</v>
      </c>
      <c r="DR51" s="20">
        <f t="shared" si="16"/>
        <v>425.34748916314453</v>
      </c>
      <c r="DS51" s="59">
        <f t="shared" si="17"/>
        <v>718.68082249647784</v>
      </c>
      <c r="DT51" s="59">
        <f ca="1">AVERAGE(OFFSET($DS$3,0,0,'Données projet'!$E$14+1,1))-AVERAGE(OFFSET($H$3,0,0,'Données projet'!$E$14+1,1))</f>
        <v>234.09142087023463</v>
      </c>
      <c r="DU51" s="59">
        <f t="shared" si="44"/>
        <v>278.990685815294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1.7081288815687248</v>
      </c>
      <c r="EB51" s="21">
        <f>EXP(-LN(2)/25)*EB50+(1-EXP(-LN(2)/25))/(LN(2)/25)*Calculateur!DW51*Calculateur!DY51*VLOOKUP('Données projet'!$B$14,Paramètres!$A$1:$I$89,3,0)*0.475*44/12</f>
        <v>9.3142441817162371</v>
      </c>
      <c r="EC51" s="21">
        <f>EXP(-LN(2)/2)*EC50+(1-EXP(-LN(2)/2))/(LN(2)/2)*DW51*DZ51*VLOOKUP('Données projet'!$B$14,Paramètres!$A$1:$I$89,3,0)*0.475*44/12</f>
        <v>4.3268788674923175E-2</v>
      </c>
      <c r="ED51" s="22">
        <f t="shared" si="18"/>
        <v>11.065641851959885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11.5</v>
      </c>
      <c r="AI52" s="13">
        <f>IF('Données projet'!$A$62&gt;35,AI51+AH52-AQ51,IF(A52&lt;'Données projet'!$A$62,$AF$205^A52,IF(A52='Données projet'!$A$62,'Données projet'!$B$62,AI51+AH52-AQ51)))</f>
        <v>337.50000000000011</v>
      </c>
      <c r="AJ52" s="13">
        <f>AI52*VLOOKUP('Données projet'!$B$10,Paramètres!$A$1:$I$89,3,0)*VLOOKUP('Données projet'!$B$10,Paramètres!$A$1:$I$89,5,0)</f>
        <v>184.27500000000003</v>
      </c>
      <c r="AK52" s="13">
        <f t="shared" si="35"/>
        <v>46.27199170970021</v>
      </c>
      <c r="AL52" s="20">
        <f t="shared" si="4"/>
        <v>401.53601056106123</v>
      </c>
      <c r="AM52" s="59">
        <f t="shared" si="5"/>
        <v>694.86934389439455</v>
      </c>
      <c r="AN52" s="59">
        <f ca="1">AVERAGE(OFFSET($AM$3,0,0,'Données projet'!$E$10+1,1))-AVERAGE(OFFSET($H$3,0,0,'Données projet'!$E$10+1,1))</f>
        <v>210.04871822652808</v>
      </c>
      <c r="AO52" s="59">
        <f t="shared" si="36"/>
        <v>250.17540614049324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5.0114713038654912</v>
      </c>
      <c r="AV52" s="21">
        <f>EXP(-LN(2)/25)*AV51+(1-EXP(-LN(2)/25))/(LN(2)/25)*Calculateur!AQ52*Calculateur!AS52*VLOOKUP('Données projet'!$B$10,Paramètres!$A$1:$I$89,3,0)*0.475*44/12</f>
        <v>16.433934252618535</v>
      </c>
      <c r="AW52" s="21">
        <f>EXP(-LN(2)/2)*AW51+(1-EXP(-LN(2)/2))/(LN(2)/2)*AQ52*AT52*VLOOKUP('Données projet'!$B$10,Paramètres!$A$1:$I$89,3,0)*0.475*44/12</f>
        <v>2.9767384545159578E-2</v>
      </c>
      <c r="AX52" s="21">
        <f t="shared" si="6"/>
        <v>21.475172941029186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18.899999999999999</v>
      </c>
      <c r="BD52" s="12">
        <f>IF('Données projet'!$A$88&gt;35,BD51+BC52-BL51,IF(A52&lt;'Données projet'!$A$88,$BA$205^A52,IF(A52='Données projet'!$A$88,'Données projet'!$B$88,BD51+BC52-BL51)))</f>
        <v>416.09999999999974</v>
      </c>
      <c r="BE52" s="13">
        <f>BD52*VLOOKUP('Données projet'!$B$11,Paramètres!$A$1:$I$89,3,0)*VLOOKUP('Données projet'!$B$11,Paramètres!$A$1:$I$89,5,0)</f>
        <v>248.82779999999985</v>
      </c>
      <c r="BF52" s="13">
        <f t="shared" si="37"/>
        <v>60.334863247522001</v>
      </c>
      <c r="BG52" s="20">
        <f t="shared" si="7"/>
        <v>538.45830515610044</v>
      </c>
      <c r="BH52" s="59">
        <f t="shared" si="8"/>
        <v>831.79163848943381</v>
      </c>
      <c r="BI52" s="59">
        <f ca="1">AVERAGE(OFFSET($BH$3,0,0,'Données projet'!$E$11+1,1))-AVERAGE(OFFSET($H$3,0,0,'Données projet'!$E$11+1,1))</f>
        <v>316.58509520829671</v>
      </c>
      <c r="BJ52" s="59">
        <f t="shared" si="38"/>
        <v>240.71332110643596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1.7397390814652107</v>
      </c>
      <c r="BQ52" s="21">
        <f>EXP(-LN(2)/25)*BQ51+(1-EXP(-LN(2)/25))/(LN(2)/25)*Calculateur!BL52*Calculateur!BN52*VLOOKUP('Données projet'!$B$11,Paramètres!$A$1:$I$89,3,0)*0.475*44/12</f>
        <v>9.0156547061335814</v>
      </c>
      <c r="BR52" s="21">
        <f>EXP(-LN(2)/2)*BR51+(1-EXP(-LN(2)/2))/(LN(2)/2)*BL52*BO52*VLOOKUP('Données projet'!$B$11,Paramètres!$A$1:$I$89,3,0)*0.475*44/12</f>
        <v>3.0299723163427071E-2</v>
      </c>
      <c r="BS52" s="22">
        <f t="shared" si="9"/>
        <v>10.785693510762218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9.1999999999999993</v>
      </c>
      <c r="BY52" s="12">
        <f>IF('Données projet'!$A$114&gt;35,BY51+BX52-CG51,IF(A52&lt;'Données projet'!$A$114,$BV$205^A52,IF(A52='Données projet'!$A$114,'Données projet'!$B$114,BY51+BX52-CG51)))</f>
        <v>275.79999999999984</v>
      </c>
      <c r="BZ52" s="13">
        <f>BY52*VLOOKUP('Données projet'!$B$12,Paramètres!$A$1:$I$89,3,0)*VLOOKUP('Données projet'!$B$12,Paramètres!$A$1:$I$89,5,0)</f>
        <v>219.42647999999991</v>
      </c>
      <c r="CA52" s="13">
        <f t="shared" si="39"/>
        <v>53.990215051449674</v>
      </c>
      <c r="CB52" s="20">
        <f t="shared" si="10"/>
        <v>476.20074388127472</v>
      </c>
      <c r="CC52" s="59">
        <f t="shared" si="11"/>
        <v>769.53407721460803</v>
      </c>
      <c r="CD52" s="59">
        <f ca="1">AVERAGE(OFFSET($CC$3,0,0,'Données projet'!$E$12+1,1))-AVERAGE(OFFSET($H$3,0,0,'Données projet'!$E$12+1,1))</f>
        <v>260.20517190557814</v>
      </c>
      <c r="CE52" s="59">
        <f t="shared" si="40"/>
        <v>307.22009971147133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2.2397498238009974</v>
      </c>
      <c r="CL52" s="21">
        <f>EXP(-LN(2)/25)*CL51+(1-EXP(-LN(2)/25))/(LN(2)/25)*Calculateur!CG52*Calculateur!CI52*VLOOKUP('Données projet'!$B$12,Paramètres!$A$1:$I$89,3,0)*0.475*44/12</f>
        <v>12.116750116717327</v>
      </c>
      <c r="CM52" s="21">
        <f>EXP(-LN(2)/2)*CM51+(1-EXP(-LN(2)/2))/(LN(2)/2)*CG52*CJ52*VLOOKUP('Données projet'!$B$12,Paramètres!$A$1:$I$89,3,0)*0.475*44/12</f>
        <v>3.319953932285228E-2</v>
      </c>
      <c r="CN52" s="22">
        <f t="shared" si="12"/>
        <v>14.389699479841177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10.6</v>
      </c>
      <c r="CT52" s="12">
        <f>IF('Données projet'!$A$140&gt;35,CT51+CS52-DB51,IF(A52&lt;'Données projet'!$A$140,$CQ$205^A52,IF(A52='Données projet'!$A$140,'Données projet'!$B$140,CT51+CS52-DB51)))</f>
        <v>217.39999999999986</v>
      </c>
      <c r="CU52" s="17">
        <f>CT52*VLOOKUP('Données projet'!$B$13,Paramètres!$A$1:$I$89,3,0)*VLOOKUP('Données projet'!$B$13,Paramètres!$A$1:$I$89,5,0)</f>
        <v>186.52919999999992</v>
      </c>
      <c r="CV52" s="13">
        <f t="shared" si="41"/>
        <v>46.771786839640335</v>
      </c>
      <c r="CW52" s="20">
        <f t="shared" si="13"/>
        <v>406.33255207904011</v>
      </c>
      <c r="CX52" s="59">
        <f t="shared" si="14"/>
        <v>699.66588541237343</v>
      </c>
      <c r="CY52" s="59">
        <f ca="1">AVERAGE(OFFSET($CX$3,0,0,'Données projet'!$E$13+1,1))-AVERAGE(OFFSET($H$3,0,0,'Données projet'!$E$13+1,1))</f>
        <v>310.4018929413723</v>
      </c>
      <c r="CZ52" s="59">
        <f t="shared" si="42"/>
        <v>127.5231137583819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3.4765008055303581</v>
      </c>
      <c r="DH52" s="21">
        <f>EXP(-LN(2)/2)*DH51+(1-EXP(-LN(2)/2))/(LN(2)/2)*DB52*DE52*VLOOKUP('Données projet'!$B$13,Paramètres!$A$1:$I$89,3,0)*0.475*44/12</f>
        <v>1.2333358321793976E-2</v>
      </c>
      <c r="DI52" s="22">
        <f t="shared" si="15"/>
        <v>3.4888341638521521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>
        <f>DO52*VLOOKUP('Données projet'!$B$14,Paramètres!$A$1:$I$89,3,0)*VLOOKUP('Données projet'!$B$14,Paramètres!$A$1:$I$89,5,0)</f>
        <v>202.21655999999987</v>
      </c>
      <c r="DQ52" s="13">
        <f t="shared" si="43"/>
        <v>50.230987603236251</v>
      </c>
      <c r="DR52" s="20">
        <f t="shared" si="16"/>
        <v>439.67947874230293</v>
      </c>
      <c r="DS52" s="59">
        <f t="shared" si="17"/>
        <v>733.01281207563625</v>
      </c>
      <c r="DT52" s="59">
        <f ca="1">AVERAGE(OFFSET($DS$3,0,0,'Données projet'!$E$14+1,1))-AVERAGE(OFFSET($H$3,0,0,'Données projet'!$E$14+1,1))</f>
        <v>234.09142087023463</v>
      </c>
      <c r="DU52" s="59">
        <f t="shared" si="44"/>
        <v>278.990685815294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1.674633516056905</v>
      </c>
      <c r="EB52" s="21">
        <f>EXP(-LN(2)/25)*EB51+(1-EXP(-LN(2)/25))/(LN(2)/25)*Calculateur!DW52*Calculateur!DY52*VLOOKUP('Données projet'!$B$14,Paramètres!$A$1:$I$89,3,0)*0.475*44/12</f>
        <v>9.0595456847523934</v>
      </c>
      <c r="EC52" s="21">
        <f>EXP(-LN(2)/2)*EC51+(1-EXP(-LN(2)/2))/(LN(2)/2)*DW52*DZ52*VLOOKUP('Données projet'!$B$14,Paramètres!$A$1:$I$89,3,0)*0.475*44/12</f>
        <v>3.0595653885765871E-2</v>
      </c>
      <c r="ED52" s="22">
        <f t="shared" si="18"/>
        <v>10.764774854695064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349</v>
      </c>
      <c r="AG53" s="12">
        <f>VLOOKUP(A53,'Données projet'!$A$61:$I$81,9,0)</f>
        <v>11.5</v>
      </c>
      <c r="AH53" s="12">
        <f t="array" ref="AH53">INDEX(AG:AG,MIN(IF(ISNUMBER(AG53:AG249),ROW(AG53:AG249),"")))</f>
        <v>11.5</v>
      </c>
      <c r="AI53" s="13">
        <f>IF('Données projet'!$A$62&gt;35,AI52+AH53-AQ52,IF(A53&lt;'Données projet'!$A$62,$AF$205^A53,IF(A53='Données projet'!$A$62,'Données projet'!$B$62,AI52+AH53-AQ52)))</f>
        <v>349.00000000000011</v>
      </c>
      <c r="AJ53" s="13">
        <f>AI53*VLOOKUP('Données projet'!$B$10,Paramètres!$A$1:$I$89,3,0)*VLOOKUP('Données projet'!$B$10,Paramètres!$A$1:$I$89,5,0)</f>
        <v>190.55400000000006</v>
      </c>
      <c r="AK53" s="13">
        <f t="shared" si="35"/>
        <v>47.662413622948378</v>
      </c>
      <c r="AL53" s="20">
        <f t="shared" si="4"/>
        <v>414.89358705996847</v>
      </c>
      <c r="AM53" s="59">
        <f t="shared" si="5"/>
        <v>708.22692039330173</v>
      </c>
      <c r="AN53" s="59">
        <f ca="1">AVERAGE(OFFSET($AM$3,0,0,'Données projet'!$E$10+1,1))-AVERAGE(OFFSET($H$3,0,0,'Données projet'!$E$10+1,1))</f>
        <v>210.04871822652808</v>
      </c>
      <c r="AO53" s="59">
        <f t="shared" si="36"/>
        <v>250.17540614049324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4.9131994082923605</v>
      </c>
      <c r="AV53" s="21">
        <f>EXP(-LN(2)/25)*AV52+(1-EXP(-LN(2)/25))/(LN(2)/25)*Calculateur!AQ53*Calculateur!AS53*VLOOKUP('Données projet'!$B$10,Paramètres!$A$1:$I$89,3,0)*0.475*44/12</f>
        <v>15.984547456257639</v>
      </c>
      <c r="AW53" s="21">
        <f>EXP(-LN(2)/2)*AW52+(1-EXP(-LN(2)/2))/(LN(2)/2)*AQ53*AT53*VLOOKUP('Données projet'!$B$10,Paramètres!$A$1:$I$89,3,0)*0.475*44/12</f>
        <v>2.1048719470069973E-2</v>
      </c>
      <c r="AX53" s="21">
        <f t="shared" si="6"/>
        <v>20.918795584020071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435</v>
      </c>
      <c r="BB53" s="12">
        <f>VLOOKUP(A53,'Données projet'!$A$87:$I$107,9,0)</f>
        <v>18.899999999999999</v>
      </c>
      <c r="BC53" s="12">
        <f t="array" ref="BC53">INDEX(BB:BB,MIN(IF(ISNUMBER(BB53:BB249),ROW(BB53:BB249),"")))</f>
        <v>18.899999999999999</v>
      </c>
      <c r="BD53" s="12">
        <f>IF('Données projet'!$A$88&gt;35,BD52+BC53-BL52,IF(A53&lt;'Données projet'!$A$88,$BA$205^A53,IF(A53='Données projet'!$A$88,'Données projet'!$B$88,BD52+BC53-BL52)))</f>
        <v>434.99999999999972</v>
      </c>
      <c r="BE53" s="13">
        <f>BD53*VLOOKUP('Données projet'!$B$11,Paramètres!$A$1:$I$89,3,0)*VLOOKUP('Données projet'!$B$11,Paramètres!$A$1:$I$89,5,0)</f>
        <v>260.12999999999988</v>
      </c>
      <c r="BF53" s="13">
        <f t="shared" si="37"/>
        <v>62.750087896510983</v>
      </c>
      <c r="BG53" s="20">
        <f t="shared" si="7"/>
        <v>562.34948641975632</v>
      </c>
      <c r="BH53" s="59">
        <f t="shared" si="8"/>
        <v>855.68281975308969</v>
      </c>
      <c r="BI53" s="59">
        <f ca="1">AVERAGE(OFFSET($BH$3,0,0,'Données projet'!$E$11+1,1))-AVERAGE(OFFSET($H$3,0,0,'Données projet'!$E$11+1,1))</f>
        <v>316.58509520829671</v>
      </c>
      <c r="BJ53" s="59">
        <f t="shared" si="38"/>
        <v>240.71332110643596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1.7056238592137392</v>
      </c>
      <c r="BQ53" s="21">
        <f>EXP(-LN(2)/25)*BQ52+(1-EXP(-LN(2)/25))/(LN(2)/25)*Calculateur!BL53*Calculateur!BN53*VLOOKUP('Données projet'!$B$11,Paramètres!$A$1:$I$89,3,0)*0.475*44/12</f>
        <v>8.7691211540816827</v>
      </c>
      <c r="BR53" s="21">
        <f>EXP(-LN(2)/2)*BR52+(1-EXP(-LN(2)/2))/(LN(2)/2)*BL53*BO53*VLOOKUP('Données projet'!$B$11,Paramètres!$A$1:$I$89,3,0)*0.475*44/12</f>
        <v>2.1425139716934393E-2</v>
      </c>
      <c r="BS53" s="22">
        <f t="shared" si="9"/>
        <v>10.496170153012356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285</v>
      </c>
      <c r="BW53" s="12">
        <f>VLOOKUP(A53,'Données projet'!$A$113:$I$133,9,0)</f>
        <v>9.1999999999999993</v>
      </c>
      <c r="BX53" s="12">
        <f t="array" ref="BX53">INDEX(BW:BW,MIN(IF(ISNUMBER(BW53:BW249),ROW(BW53:BW249),"")))</f>
        <v>9.1999999999999993</v>
      </c>
      <c r="BY53" s="12">
        <f>IF('Données projet'!$A$114&gt;35,BY52+BX53-CG52,IF(A53&lt;'Données projet'!$A$114,$BV$205^A53,IF(A53='Données projet'!$A$114,'Données projet'!$B$114,BY52+BX53-CG52)))</f>
        <v>284.99999999999983</v>
      </c>
      <c r="BZ53" s="13">
        <f>BY53*VLOOKUP('Données projet'!$B$12,Paramètres!$A$1:$I$89,3,0)*VLOOKUP('Données projet'!$B$12,Paramètres!$A$1:$I$89,5,0)</f>
        <v>226.74599999999987</v>
      </c>
      <c r="CA53" s="13">
        <f t="shared" si="39"/>
        <v>55.578508240245917</v>
      </c>
      <c r="CB53" s="20">
        <f t="shared" si="10"/>
        <v>491.71518518509475</v>
      </c>
      <c r="CC53" s="59">
        <f t="shared" si="11"/>
        <v>785.04851851842807</v>
      </c>
      <c r="CD53" s="59">
        <f ca="1">AVERAGE(OFFSET($CC$3,0,0,'Données projet'!$E$12+1,1))-AVERAGE(OFFSET($H$3,0,0,'Données projet'!$E$12+1,1))</f>
        <v>260.20517190557814</v>
      </c>
      <c r="CE53" s="59">
        <f t="shared" si="40"/>
        <v>307.22009971147133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43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2.1958296958687598</v>
      </c>
      <c r="CL53" s="21">
        <f>EXP(-LN(2)/25)*CL52+(1-EXP(-LN(2)/25))/(LN(2)/25)*Calculateur!CG53*Calculateur!CI53*VLOOKUP('Données projet'!$B$12,Paramètres!$A$1:$I$89,3,0)*0.475*44/12</f>
        <v>11.785416947583496</v>
      </c>
      <c r="CM53" s="21">
        <f>EXP(-LN(2)/2)*CM52+(1-EXP(-LN(2)/2))/(LN(2)/2)*CG53*CJ53*VLOOKUP('Données projet'!$B$12,Paramètres!$A$1:$I$89,3,0)*0.475*44/12</f>
        <v>2.3475619387458287E-2</v>
      </c>
      <c r="CN53" s="22">
        <f t="shared" si="12"/>
        <v>14.004722262839714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228</v>
      </c>
      <c r="CR53" s="12">
        <f>VLOOKUP(A53,'Données projet'!$A$139:$I$159,9,0)</f>
        <v>10.6</v>
      </c>
      <c r="CS53" s="12">
        <f t="array" ref="CS53">INDEX(CR:CR,MIN(IF(ISNUMBER(CR53:CR249),ROW(CR53:CR249),"")))</f>
        <v>10.6</v>
      </c>
      <c r="CT53" s="12">
        <f>IF('Données projet'!$A$140&gt;35,CT52+CS53-DB52,IF(A53&lt;'Données projet'!$A$140,$CQ$205^A53,IF(A53='Données projet'!$A$140,'Données projet'!$B$140,CT52+CS53-DB52)))</f>
        <v>227.99999999999986</v>
      </c>
      <c r="CU53" s="17">
        <f>CT53*VLOOKUP('Données projet'!$B$13,Paramètres!$A$1:$I$89,3,0)*VLOOKUP('Données projet'!$B$13,Paramètres!$A$1:$I$89,5,0)</f>
        <v>195.62399999999991</v>
      </c>
      <c r="CV53" s="13">
        <f t="shared" si="41"/>
        <v>48.781220625276006</v>
      </c>
      <c r="CW53" s="20">
        <f t="shared" si="13"/>
        <v>425.67242592235556</v>
      </c>
      <c r="CX53" s="59">
        <f t="shared" si="14"/>
        <v>719.00575925568887</v>
      </c>
      <c r="CY53" s="59">
        <f ca="1">AVERAGE(OFFSET($CX$3,0,0,'Données projet'!$E$13+1,1))-AVERAGE(OFFSET($H$3,0,0,'Données projet'!$E$13+1,1))</f>
        <v>310.4018929413723</v>
      </c>
      <c r="CZ53" s="59">
        <f t="shared" si="42"/>
        <v>127.5231137583819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64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3.3814357081818986</v>
      </c>
      <c r="DH53" s="21">
        <f>EXP(-LN(2)/2)*DH52+(1-EXP(-LN(2)/2))/(LN(2)/2)*DB53*DE53*VLOOKUP('Données projet'!$B$13,Paramètres!$A$1:$I$89,3,0)*0.475*44/12</f>
        <v>8.721001304144058E-3</v>
      </c>
      <c r="DI53" s="22">
        <f t="shared" si="15"/>
        <v>3.3901567094860425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>
        <f>DO53*VLOOKUP('Données projet'!$B$14,Paramètres!$A$1:$I$89,3,0)*VLOOKUP('Données projet'!$B$14,Paramètres!$A$1:$I$89,5,0)</f>
        <v>208.96199999999985</v>
      </c>
      <c r="DQ53" s="13">
        <f t="shared" si="43"/>
        <v>51.708691209356381</v>
      </c>
      <c r="DR53" s="20">
        <f t="shared" si="16"/>
        <v>454.00145385629543</v>
      </c>
      <c r="DS53" s="59">
        <f t="shared" si="17"/>
        <v>747.33478718962874</v>
      </c>
      <c r="DT53" s="59">
        <f ca="1">AVERAGE(OFFSET($DS$3,0,0,'Données projet'!$E$14+1,1))-AVERAGE(OFFSET($H$3,0,0,'Données projet'!$E$14+1,1))</f>
        <v>234.09142087023463</v>
      </c>
      <c r="DU53" s="59">
        <f t="shared" si="44"/>
        <v>278.990685815294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1.6417949742326166</v>
      </c>
      <c r="EB53" s="21">
        <f>EXP(-LN(2)/25)*EB52+(1-EXP(-LN(2)/25))/(LN(2)/25)*Calculateur!DW53*Calculateur!DY53*VLOOKUP('Données projet'!$B$14,Paramètres!$A$1:$I$89,3,0)*0.475*44/12</f>
        <v>8.8118119315820369</v>
      </c>
      <c r="EC53" s="21">
        <f>EXP(-LN(2)/2)*EC52+(1-EXP(-LN(2)/2))/(LN(2)/2)*DW53*DZ53*VLOOKUP('Données projet'!$B$14,Paramètres!$A$1:$I$89,3,0)*0.475*44/12</f>
        <v>2.1634394337461591E-2</v>
      </c>
      <c r="ED53" s="22">
        <f t="shared" si="18"/>
        <v>10.475241300152115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293.80000000000013</v>
      </c>
      <c r="AJ54" s="13">
        <f>AI54*VLOOKUP('Données projet'!$B$10,Paramètres!$A$1:$I$89,3,0)*VLOOKUP('Données projet'!$B$10,Paramètres!$A$1:$I$89,5,0)</f>
        <v>160.41480000000007</v>
      </c>
      <c r="AK54" s="13">
        <f t="shared" si="35"/>
        <v>40.936060601587023</v>
      </c>
      <c r="AL54" s="20">
        <f t="shared" si="4"/>
        <v>350.68608221443083</v>
      </c>
      <c r="AM54" s="59">
        <f t="shared" si="5"/>
        <v>644.01941554776408</v>
      </c>
      <c r="AN54" s="59">
        <f ca="1">AVERAGE(OFFSET($AM$3,0,0,'Données projet'!$E$10+1,1))-AVERAGE(OFFSET($H$3,0,0,'Données projet'!$E$10+1,1))</f>
        <v>210.04871822652808</v>
      </c>
      <c r="AO54" s="59">
        <f t="shared" si="36"/>
        <v>250.17540614049324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4.8168545646514813</v>
      </c>
      <c r="AV54" s="21">
        <f>EXP(-LN(2)/25)*AV53+(1-EXP(-LN(2)/25))/(LN(2)/25)*Calculateur!AQ54*Calculateur!AS54*VLOOKUP('Données projet'!$B$10,Paramètres!$A$1:$I$89,3,0)*0.475*44/12</f>
        <v>15.547449165475456</v>
      </c>
      <c r="AW54" s="21">
        <f>EXP(-LN(2)/2)*AW53+(1-EXP(-LN(2)/2))/(LN(2)/2)*AQ54*AT54*VLOOKUP('Données projet'!$B$10,Paramètres!$A$1:$I$89,3,0)*0.475*44/12</f>
        <v>1.4883692272579793E-2</v>
      </c>
      <c r="AX54" s="21">
        <f t="shared" si="6"/>
        <v>20.379187422399518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</v>
      </c>
      <c r="BD54" s="12">
        <f>IF('Données projet'!$A$88&gt;35,BD53+BC54-BL53,IF(A54&lt;'Données projet'!$A$88,$BA$205^A54,IF(A54='Données projet'!$A$88,'Données projet'!$B$88,BD53+BC54-BL53)))</f>
        <v>345.99999999999972</v>
      </c>
      <c r="BE54" s="13">
        <f>BD54*VLOOKUP('Données projet'!$B$11,Paramètres!$A$1:$I$89,3,0)*VLOOKUP('Données projet'!$B$11,Paramètres!$A$1:$I$89,5,0)</f>
        <v>206.90799999999984</v>
      </c>
      <c r="BF54" s="13">
        <f t="shared" si="37"/>
        <v>51.25932369987143</v>
      </c>
      <c r="BG54" s="20">
        <f t="shared" si="7"/>
        <v>449.6414221106092</v>
      </c>
      <c r="BH54" s="59">
        <f t="shared" si="8"/>
        <v>742.97475544394251</v>
      </c>
      <c r="BI54" s="59">
        <f ca="1">AVERAGE(OFFSET($BH$3,0,0,'Données projet'!$E$11+1,1))-AVERAGE(OFFSET($H$3,0,0,'Données projet'!$E$11+1,1))</f>
        <v>316.58509520829671</v>
      </c>
      <c r="BJ54" s="59">
        <f t="shared" si="38"/>
        <v>240.71332110643596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1.672177615662388</v>
      </c>
      <c r="BQ54" s="21">
        <f>EXP(-LN(2)/25)*BQ53+(1-EXP(-LN(2)/25))/(LN(2)/25)*Calculateur!BL54*Calculateur!BN54*VLOOKUP('Données projet'!$B$11,Paramètres!$A$1:$I$89,3,0)*0.475*44/12</f>
        <v>8.5293290749752799</v>
      </c>
      <c r="BR54" s="21">
        <f>EXP(-LN(2)/2)*BR53+(1-EXP(-LN(2)/2))/(LN(2)/2)*BL54*BO54*VLOOKUP('Données projet'!$B$11,Paramètres!$A$1:$I$89,3,0)*0.475*44/12</f>
        <v>1.5149861581713537E-2</v>
      </c>
      <c r="BS54" s="22">
        <f t="shared" si="9"/>
        <v>10.216656552219382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6.8</v>
      </c>
      <c r="BY54" s="12">
        <f>IF('Données projet'!$A$114&gt;35,BY53+BX54-CG53,IF(A54&lt;'Données projet'!$A$114,$BV$205^A54,IF(A54='Données projet'!$A$114,'Données projet'!$B$114,BY53+BX54-CG53)))</f>
        <v>248.79999999999984</v>
      </c>
      <c r="BZ54" s="13">
        <f>BY54*VLOOKUP('Données projet'!$B$12,Paramètres!$A$1:$I$89,3,0)*VLOOKUP('Données projet'!$B$12,Paramètres!$A$1:$I$89,5,0)</f>
        <v>197.94527999999988</v>
      </c>
      <c r="CA54" s="13">
        <f t="shared" si="39"/>
        <v>49.29233142017484</v>
      </c>
      <c r="CB54" s="20">
        <f t="shared" si="10"/>
        <v>430.6055065568043</v>
      </c>
      <c r="CC54" s="59">
        <f t="shared" si="11"/>
        <v>723.93883989013761</v>
      </c>
      <c r="CD54" s="59">
        <f ca="1">AVERAGE(OFFSET($CC$3,0,0,'Données projet'!$E$12+1,1))-AVERAGE(OFFSET($H$3,0,0,'Données projet'!$E$12+1,1))</f>
        <v>260.20517190557814</v>
      </c>
      <c r="CE54" s="59">
        <f t="shared" si="40"/>
        <v>307.22009971147133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2.1527708148566407</v>
      </c>
      <c r="CL54" s="21">
        <f>EXP(-LN(2)/25)*CL53+(1-EXP(-LN(2)/25))/(LN(2)/25)*Calculateur!CG54*Calculateur!CI54*VLOOKUP('Données projet'!$B$12,Paramètres!$A$1:$I$89,3,0)*0.475*44/12</f>
        <v>11.463144101383683</v>
      </c>
      <c r="CM54" s="21">
        <f>EXP(-LN(2)/2)*CM53+(1-EXP(-LN(2)/2))/(LN(2)/2)*CG54*CJ54*VLOOKUP('Données projet'!$B$12,Paramètres!$A$1:$I$89,3,0)*0.475*44/12</f>
        <v>1.659976966142614E-2</v>
      </c>
      <c r="CN54" s="22">
        <f t="shared" si="12"/>
        <v>13.63251468590175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10.8</v>
      </c>
      <c r="CT54" s="12">
        <f>IF('Données projet'!$A$140&gt;35,CT53+CS54-DB53,IF(A54&lt;'Données projet'!$A$140,$CQ$205^A54,IF(A54='Données projet'!$A$140,'Données projet'!$B$140,CT53+CS54-DB53)))</f>
        <v>174.79999999999987</v>
      </c>
      <c r="CU54" s="17">
        <f>CT54*VLOOKUP('Données projet'!$B$13,Paramètres!$A$1:$I$89,3,0)*VLOOKUP('Données projet'!$B$13,Paramètres!$A$1:$I$89,5,0)</f>
        <v>149.97839999999991</v>
      </c>
      <c r="CV54" s="13">
        <f t="shared" si="41"/>
        <v>38.573676902204156</v>
      </c>
      <c r="CW54" s="20">
        <f t="shared" si="13"/>
        <v>328.39486727133874</v>
      </c>
      <c r="CX54" s="59">
        <f t="shared" si="14"/>
        <v>621.72820060467211</v>
      </c>
      <c r="CY54" s="59">
        <f ca="1">AVERAGE(OFFSET($CX$3,0,0,'Données projet'!$E$13+1,1))-AVERAGE(OFFSET($H$3,0,0,'Données projet'!$E$13+1,1))</f>
        <v>310.4018929413723</v>
      </c>
      <c r="CZ54" s="59">
        <f t="shared" si="42"/>
        <v>127.5231137583819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3.288970170919689</v>
      </c>
      <c r="DH54" s="21">
        <f>EXP(-LN(2)/2)*DH53+(1-EXP(-LN(2)/2))/(LN(2)/2)*DB54*DE54*VLOOKUP('Données projet'!$B$13,Paramètres!$A$1:$I$89,3,0)*0.475*44/12</f>
        <v>6.166679160896988E-3</v>
      </c>
      <c r="DI54" s="22">
        <f t="shared" si="15"/>
        <v>3.2951368500805862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>
        <f>DO54*VLOOKUP('Données projet'!$B$14,Paramètres!$A$1:$I$89,3,0)*VLOOKUP('Données projet'!$B$14,Paramètres!$A$1:$I$89,5,0)</f>
        <v>182.4201599999999</v>
      </c>
      <c r="DQ54" s="13">
        <f t="shared" si="43"/>
        <v>45.860207931046851</v>
      </c>
      <c r="DR54" s="20">
        <f t="shared" si="16"/>
        <v>397.58830747990646</v>
      </c>
      <c r="DS54" s="59">
        <f t="shared" si="17"/>
        <v>690.92164081323972</v>
      </c>
      <c r="DT54" s="59">
        <f ca="1">AVERAGE(OFFSET($DS$3,0,0,'Données projet'!$E$14+1,1))-AVERAGE(OFFSET($H$3,0,0,'Données projet'!$E$14+1,1))</f>
        <v>234.09142087023463</v>
      </c>
      <c r="DU54" s="59">
        <f t="shared" si="44"/>
        <v>278.990685815294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1.6096003761839697</v>
      </c>
      <c r="EB54" s="21">
        <f>EXP(-LN(2)/25)*EB53+(1-EXP(-LN(2)/25))/(LN(2)/25)*Calculateur!DW54*Calculateur!DY54*VLOOKUP('Données projet'!$B$14,Paramètres!$A$1:$I$89,3,0)*0.475*44/12</f>
        <v>8.5708524709198759</v>
      </c>
      <c r="EC54" s="21">
        <f>EXP(-LN(2)/2)*EC53+(1-EXP(-LN(2)/2))/(LN(2)/2)*DW54*DZ54*VLOOKUP('Données projet'!$B$14,Paramètres!$A$1:$I$89,3,0)*0.475*44/12</f>
        <v>1.5297826942882937E-2</v>
      </c>
      <c r="ED54" s="22">
        <f t="shared" si="18"/>
        <v>10.195750674046728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303.60000000000014</v>
      </c>
      <c r="AJ55" s="13">
        <f>AI55*VLOOKUP('Données projet'!$B$10,Paramètres!$A$1:$I$89,3,0)*VLOOKUP('Données projet'!$B$10,Paramètres!$A$1:$I$89,5,0)</f>
        <v>165.76560000000009</v>
      </c>
      <c r="AK55" s="13">
        <f t="shared" si="35"/>
        <v>42.140271125684301</v>
      </c>
      <c r="AL55" s="20">
        <f t="shared" si="4"/>
        <v>362.10272554390031</v>
      </c>
      <c r="AM55" s="59">
        <f t="shared" si="5"/>
        <v>655.43605887723356</v>
      </c>
      <c r="AN55" s="59">
        <f ca="1">AVERAGE(OFFSET($AM$3,0,0,'Données projet'!$E$10+1,1))-AVERAGE(OFFSET($H$3,0,0,'Données projet'!$E$10+1,1))</f>
        <v>210.04871822652808</v>
      </c>
      <c r="AO55" s="59">
        <f t="shared" si="36"/>
        <v>250.17540614049324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4.722398984629848</v>
      </c>
      <c r="AV55" s="21">
        <f>EXP(-LN(2)/25)*AV54+(1-EXP(-LN(2)/25))/(LN(2)/25)*Calculateur!AQ55*Calculateur!AS55*VLOOKUP('Données projet'!$B$10,Paramètres!$A$1:$I$89,3,0)*0.475*44/12</f>
        <v>15.122303350440712</v>
      </c>
      <c r="AW55" s="21">
        <f>EXP(-LN(2)/2)*AW54+(1-EXP(-LN(2)/2))/(LN(2)/2)*AQ55*AT55*VLOOKUP('Données projet'!$B$10,Paramètres!$A$1:$I$89,3,0)*0.475*44/12</f>
        <v>1.0524359735034988E-2</v>
      </c>
      <c r="AX55" s="21">
        <f t="shared" si="6"/>
        <v>19.855226694805594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</v>
      </c>
      <c r="BD55" s="12">
        <f>IF('Données projet'!$A$88&gt;35,BD54+BC55-BL54,IF(A55&lt;'Données projet'!$A$88,$BA$205^A55,IF(A55='Données projet'!$A$88,'Données projet'!$B$88,BD54+BC55-BL54)))</f>
        <v>363.99999999999972</v>
      </c>
      <c r="BE55" s="13">
        <f>BD55*VLOOKUP('Données projet'!$B$11,Paramètres!$A$1:$I$89,3,0)*VLOOKUP('Données projet'!$B$11,Paramètres!$A$1:$I$89,5,0)</f>
        <v>217.67199999999985</v>
      </c>
      <c r="BF55" s="13">
        <f t="shared" si="37"/>
        <v>53.60859357546002</v>
      </c>
      <c r="BG55" s="20">
        <f t="shared" si="7"/>
        <v>472.48036714392589</v>
      </c>
      <c r="BH55" s="59">
        <f t="shared" si="8"/>
        <v>765.8137004772592</v>
      </c>
      <c r="BI55" s="59">
        <f ca="1">AVERAGE(OFFSET($BH$3,0,0,'Données projet'!$E$11+1,1))-AVERAGE(OFFSET($H$3,0,0,'Données projet'!$E$11+1,1))</f>
        <v>316.58509520829671</v>
      </c>
      <c r="BJ55" s="59">
        <f t="shared" si="38"/>
        <v>240.71332110643596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1.6393872325468846</v>
      </c>
      <c r="BQ55" s="21">
        <f>EXP(-LN(2)/25)*BQ54+(1-EXP(-LN(2)/25))/(LN(2)/25)*Calculateur!BL55*Calculateur!BN55*VLOOKUP('Données projet'!$B$11,Paramètres!$A$1:$I$89,3,0)*0.475*44/12</f>
        <v>8.2960941228821596</v>
      </c>
      <c r="BR55" s="21">
        <f>EXP(-LN(2)/2)*BR54+(1-EXP(-LN(2)/2))/(LN(2)/2)*BL55*BO55*VLOOKUP('Données projet'!$B$11,Paramètres!$A$1:$I$89,3,0)*0.475*44/12</f>
        <v>1.0712569858467198E-2</v>
      </c>
      <c r="BS55" s="22">
        <f t="shared" si="9"/>
        <v>9.9461939252875116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6.8</v>
      </c>
      <c r="BY55" s="12">
        <f>IF('Données projet'!$A$114&gt;35,BY54+BX55-CG54,IF(A55&lt;'Données projet'!$A$114,$BV$205^A55,IF(A55='Données projet'!$A$114,'Données projet'!$B$114,BY54+BX55-CG54)))</f>
        <v>255.59999999999985</v>
      </c>
      <c r="BZ55" s="13">
        <f>BY55*VLOOKUP('Données projet'!$B$12,Paramètres!$A$1:$I$89,3,0)*VLOOKUP('Données projet'!$B$12,Paramètres!$A$1:$I$89,5,0)</f>
        <v>203.35535999999991</v>
      </c>
      <c r="CA55" s="13">
        <f t="shared" si="39"/>
        <v>50.480858741452501</v>
      </c>
      <c r="CB55" s="20">
        <f t="shared" si="10"/>
        <v>442.09808097469619</v>
      </c>
      <c r="CC55" s="59">
        <f t="shared" si="11"/>
        <v>735.4314143080295</v>
      </c>
      <c r="CD55" s="59">
        <f ca="1">AVERAGE(OFFSET($CC$3,0,0,'Données projet'!$E$12+1,1))-AVERAGE(OFFSET($H$3,0,0,'Données projet'!$E$12+1,1))</f>
        <v>260.20517190557814</v>
      </c>
      <c r="CE55" s="59">
        <f t="shared" si="40"/>
        <v>307.22009971147133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2.1105562922378449</v>
      </c>
      <c r="CL55" s="21">
        <f>EXP(-LN(2)/25)*CL54+(1-EXP(-LN(2)/25))/(LN(2)/25)*Calculateur!CG55*Calculateur!CI55*VLOOKUP('Données projet'!$B$12,Paramètres!$A$1:$I$89,3,0)*0.475*44/12</f>
        <v>11.149683823110797</v>
      </c>
      <c r="CM55" s="21">
        <f>EXP(-LN(2)/2)*CM54+(1-EXP(-LN(2)/2))/(LN(2)/2)*CG55*CJ55*VLOOKUP('Données projet'!$B$12,Paramètres!$A$1:$I$89,3,0)*0.475*44/12</f>
        <v>1.1737809693729144E-2</v>
      </c>
      <c r="CN55" s="22">
        <f t="shared" si="12"/>
        <v>13.271977925042371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10.8</v>
      </c>
      <c r="CT55" s="12">
        <f>IF('Données projet'!$A$140&gt;35,CT54+CS55-DB54,IF(A55&lt;'Données projet'!$A$140,$CQ$205^A55,IF(A55='Données projet'!$A$140,'Données projet'!$B$140,CT54+CS55-DB54)))</f>
        <v>185.59999999999988</v>
      </c>
      <c r="CU55" s="17">
        <f>CT55*VLOOKUP('Données projet'!$B$13,Paramètres!$A$1:$I$89,3,0)*VLOOKUP('Données projet'!$B$13,Paramètres!$A$1:$I$89,5,0)</f>
        <v>159.24479999999991</v>
      </c>
      <c r="CV55" s="13">
        <f t="shared" si="41"/>
        <v>40.672131063901716</v>
      </c>
      <c r="CW55" s="20">
        <f t="shared" si="13"/>
        <v>348.18865493629534</v>
      </c>
      <c r="CX55" s="59">
        <f t="shared" si="14"/>
        <v>641.52198826962865</v>
      </c>
      <c r="CY55" s="59">
        <f ca="1">AVERAGE(OFFSET($CX$3,0,0,'Données projet'!$E$13+1,1))-AVERAGE(OFFSET($H$3,0,0,'Données projet'!$E$13+1,1))</f>
        <v>310.4018929413723</v>
      </c>
      <c r="CZ55" s="59">
        <f t="shared" si="42"/>
        <v>127.5231137583819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3.1990331086364661</v>
      </c>
      <c r="DH55" s="21">
        <f>EXP(-LN(2)/2)*DH54+(1-EXP(-LN(2)/2))/(LN(2)/2)*DB55*DE55*VLOOKUP('Données projet'!$B$13,Paramètres!$A$1:$I$89,3,0)*0.475*44/12</f>
        <v>4.360500652072029E-3</v>
      </c>
      <c r="DI55" s="22">
        <f t="shared" si="15"/>
        <v>3.203393609288538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>
        <f>DO55*VLOOKUP('Données projet'!$B$14,Paramètres!$A$1:$I$89,3,0)*VLOOKUP('Données projet'!$B$14,Paramètres!$A$1:$I$89,5,0)</f>
        <v>187.4059199999999</v>
      </c>
      <c r="DQ55" s="13">
        <f t="shared" si="43"/>
        <v>46.965980543441781</v>
      </c>
      <c r="DR55" s="20">
        <f t="shared" si="16"/>
        <v>408.19772677982763</v>
      </c>
      <c r="DS55" s="59">
        <f t="shared" si="17"/>
        <v>701.53106011316095</v>
      </c>
      <c r="DT55" s="59">
        <f ca="1">AVERAGE(OFFSET($DS$3,0,0,'Données projet'!$E$14+1,1))-AVERAGE(OFFSET($H$3,0,0,'Données projet'!$E$14+1,1))</f>
        <v>234.09142087023463</v>
      </c>
      <c r="DU55" s="59">
        <f t="shared" si="44"/>
        <v>278.990685815294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1.5780370945662909</v>
      </c>
      <c r="EB55" s="21">
        <f>EXP(-LN(2)/25)*EB54+(1-EXP(-LN(2)/25))/(LN(2)/25)*Calculateur!DW55*Calculateur!DY55*VLOOKUP('Données projet'!$B$14,Paramètres!$A$1:$I$89,3,0)*0.475*44/12</f>
        <v>8.33648205938103</v>
      </c>
      <c r="EC55" s="21">
        <f>EXP(-LN(2)/2)*EC54+(1-EXP(-LN(2)/2))/(LN(2)/2)*DW55*DZ55*VLOOKUP('Données projet'!$B$14,Paramètres!$A$1:$I$89,3,0)*0.475*44/12</f>
        <v>1.0817197168730797E-2</v>
      </c>
      <c r="ED55" s="22">
        <f t="shared" si="18"/>
        <v>9.9253363511160515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313.40000000000015</v>
      </c>
      <c r="AJ56" s="13">
        <f>AI56*VLOOKUP('Données projet'!$B$10,Paramètres!$A$1:$I$89,3,0)*VLOOKUP('Données projet'!$B$10,Paramètres!$A$1:$I$89,5,0)</f>
        <v>171.11640000000011</v>
      </c>
      <c r="AK56" s="13">
        <f t="shared" si="35"/>
        <v>43.339964715636555</v>
      </c>
      <c r="AL56" s="20">
        <f t="shared" si="4"/>
        <v>373.51150187973388</v>
      </c>
      <c r="AM56" s="59">
        <f t="shared" si="5"/>
        <v>666.8448352130672</v>
      </c>
      <c r="AN56" s="59">
        <f ca="1">AVERAGE(OFFSET($AM$3,0,0,'Données projet'!$E$10+1,1))-AVERAGE(OFFSET($H$3,0,0,'Données projet'!$E$10+1,1))</f>
        <v>210.04871822652808</v>
      </c>
      <c r="AO56" s="59">
        <f t="shared" si="36"/>
        <v>250.17540614049324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4.6297956209202233</v>
      </c>
      <c r="AV56" s="21">
        <f>EXP(-LN(2)/25)*AV55+(1-EXP(-LN(2)/25))/(LN(2)/25)*Calculateur!AQ56*Calculateur!AS56*VLOOKUP('Données projet'!$B$10,Paramètres!$A$1:$I$89,3,0)*0.475*44/12</f>
        <v>14.70878317007554</v>
      </c>
      <c r="AW56" s="21">
        <f>EXP(-LN(2)/2)*AW55+(1-EXP(-LN(2)/2))/(LN(2)/2)*AQ56*AT56*VLOOKUP('Données projet'!$B$10,Paramètres!$A$1:$I$89,3,0)*0.475*44/12</f>
        <v>7.4418461362898971E-3</v>
      </c>
      <c r="AX56" s="21">
        <f t="shared" si="6"/>
        <v>19.34602063713205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</v>
      </c>
      <c r="BD56" s="12">
        <f>IF('Données projet'!$A$88&gt;35,BD55+BC56-BL55,IF(A56&lt;'Données projet'!$A$88,$BA$205^A56,IF(A56='Données projet'!$A$88,'Données projet'!$B$88,BD55+BC56-BL55)))</f>
        <v>381.99999999999972</v>
      </c>
      <c r="BE56" s="13">
        <f>BD56*VLOOKUP('Données projet'!$B$11,Paramètres!$A$1:$I$89,3,0)*VLOOKUP('Données projet'!$B$11,Paramètres!$A$1:$I$89,5,0)</f>
        <v>228.43599999999986</v>
      </c>
      <c r="BF56" s="13">
        <f t="shared" si="37"/>
        <v>55.944373989427987</v>
      </c>
      <c r="BG56" s="20">
        <f t="shared" si="7"/>
        <v>495.29581803158686</v>
      </c>
      <c r="BH56" s="59">
        <f t="shared" si="8"/>
        <v>788.62915136492018</v>
      </c>
      <c r="BI56" s="59">
        <f ca="1">AVERAGE(OFFSET($BH$3,0,0,'Données projet'!$E$11+1,1))-AVERAGE(OFFSET($H$3,0,0,'Données projet'!$E$11+1,1))</f>
        <v>316.58509520829671</v>
      </c>
      <c r="BJ56" s="59">
        <f t="shared" si="38"/>
        <v>240.71332110643596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1.6072398488441173</v>
      </c>
      <c r="BQ56" s="21">
        <f>EXP(-LN(2)/25)*BQ55+(1-EXP(-LN(2)/25))/(LN(2)/25)*Calculateur!BL56*Calculateur!BN56*VLOOKUP('Données projet'!$B$11,Paramètres!$A$1:$I$89,3,0)*0.475*44/12</f>
        <v>8.0692369928193184</v>
      </c>
      <c r="BR56" s="21">
        <f>EXP(-LN(2)/2)*BR55+(1-EXP(-LN(2)/2))/(LN(2)/2)*BL56*BO56*VLOOKUP('Données projet'!$B$11,Paramètres!$A$1:$I$89,3,0)*0.475*44/12</f>
        <v>7.5749307908567704E-3</v>
      </c>
      <c r="BS56" s="22">
        <f t="shared" si="9"/>
        <v>9.6840517724542909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6.8</v>
      </c>
      <c r="BY56" s="12">
        <f>IF('Données projet'!$A$114&gt;35,BY55+BX56-CG55,IF(A56&lt;'Données projet'!$A$114,$BV$205^A56,IF(A56='Données projet'!$A$114,'Données projet'!$B$114,BY55+BX56-CG55)))</f>
        <v>262.39999999999986</v>
      </c>
      <c r="BZ56" s="13">
        <f>BY56*VLOOKUP('Données projet'!$B$12,Paramètres!$A$1:$I$89,3,0)*VLOOKUP('Données projet'!$B$12,Paramètres!$A$1:$I$89,5,0)</f>
        <v>208.7654399999999</v>
      </c>
      <c r="CA56" s="13">
        <f t="shared" si="39"/>
        <v>51.665710768737398</v>
      </c>
      <c r="CB56" s="20">
        <f t="shared" si="10"/>
        <v>453.58425425555083</v>
      </c>
      <c r="CC56" s="59">
        <f t="shared" si="11"/>
        <v>746.91758758888409</v>
      </c>
      <c r="CD56" s="59">
        <f ca="1">AVERAGE(OFFSET($CC$3,0,0,'Données projet'!$E$12+1,1))-AVERAGE(OFFSET($H$3,0,0,'Données projet'!$E$12+1,1))</f>
        <v>260.20517190557814</v>
      </c>
      <c r="CE56" s="59">
        <f t="shared" si="40"/>
        <v>307.22009971147133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2.0691695706592874</v>
      </c>
      <c r="CL56" s="21">
        <f>EXP(-LN(2)/25)*CL55+(1-EXP(-LN(2)/25))/(LN(2)/25)*Calculateur!CG56*Calculateur!CI56*VLOOKUP('Données projet'!$B$12,Paramètres!$A$1:$I$89,3,0)*0.475*44/12</f>
        <v>10.844795132631443</v>
      </c>
      <c r="CM56" s="21">
        <f>EXP(-LN(2)/2)*CM55+(1-EXP(-LN(2)/2))/(LN(2)/2)*CG56*CJ56*VLOOKUP('Données projet'!$B$12,Paramètres!$A$1:$I$89,3,0)*0.475*44/12</f>
        <v>8.2998848307130699E-3</v>
      </c>
      <c r="CN56" s="22">
        <f t="shared" si="12"/>
        <v>12.922264588121443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10.8</v>
      </c>
      <c r="CT56" s="12">
        <f>IF('Données projet'!$A$140&gt;35,CT55+CS56-DB55,IF(A56&lt;'Données projet'!$A$140,$CQ$205^A56,IF(A56='Données projet'!$A$140,'Données projet'!$B$140,CT55+CS56-DB55)))</f>
        <v>196.39999999999989</v>
      </c>
      <c r="CU56" s="17">
        <f>CT56*VLOOKUP('Données projet'!$B$13,Paramètres!$A$1:$I$89,3,0)*VLOOKUP('Données projet'!$B$13,Paramètres!$A$1:$I$89,5,0)</f>
        <v>168.51119999999995</v>
      </c>
      <c r="CV56" s="13">
        <f t="shared" si="41"/>
        <v>42.756411401172556</v>
      </c>
      <c r="CW56" s="20">
        <f t="shared" si="13"/>
        <v>367.95775652370872</v>
      </c>
      <c r="CX56" s="59">
        <f t="shared" si="14"/>
        <v>661.29108985704204</v>
      </c>
      <c r="CY56" s="59">
        <f ca="1">AVERAGE(OFFSET($CX$3,0,0,'Données projet'!$E$13+1,1))-AVERAGE(OFFSET($H$3,0,0,'Données projet'!$E$13+1,1))</f>
        <v>310.4018929413723</v>
      </c>
      <c r="CZ56" s="59">
        <f t="shared" si="42"/>
        <v>127.5231137583819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3.1115553800509623</v>
      </c>
      <c r="DH56" s="21">
        <f>EXP(-LN(2)/2)*DH55+(1-EXP(-LN(2)/2))/(LN(2)/2)*DB56*DE56*VLOOKUP('Données projet'!$B$13,Paramètres!$A$1:$I$89,3,0)*0.475*44/12</f>
        <v>3.083339580448494E-3</v>
      </c>
      <c r="DI56" s="22">
        <f t="shared" si="15"/>
        <v>3.1146387196314107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>
        <f>DO56*VLOOKUP('Données projet'!$B$14,Paramètres!$A$1:$I$89,3,0)*VLOOKUP('Données projet'!$B$14,Paramètres!$A$1:$I$89,5,0)</f>
        <v>192.39167999999989</v>
      </c>
      <c r="DQ56" s="13">
        <f t="shared" si="43"/>
        <v>48.068333764993156</v>
      </c>
      <c r="DR56" s="20">
        <f t="shared" si="16"/>
        <v>418.80119064069623</v>
      </c>
      <c r="DS56" s="59">
        <f t="shared" si="17"/>
        <v>712.13452397402955</v>
      </c>
      <c r="DT56" s="59">
        <f ca="1">AVERAGE(OFFSET($DS$3,0,0,'Données projet'!$E$14+1,1))-AVERAGE(OFFSET($H$3,0,0,'Données projet'!$E$14+1,1))</f>
        <v>234.09142087023463</v>
      </c>
      <c r="DU56" s="59">
        <f t="shared" si="44"/>
        <v>278.990685815294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1.547092749649434</v>
      </c>
      <c r="EB56" s="21">
        <f>EXP(-LN(2)/25)*EB55+(1-EXP(-LN(2)/25))/(LN(2)/25)*Calculateur!DW56*Calculateur!DY56*VLOOKUP('Données projet'!$B$14,Paramètres!$A$1:$I$89,3,0)*0.475*44/12</f>
        <v>8.1085205190707175</v>
      </c>
      <c r="EC56" s="21">
        <f>EXP(-LN(2)/2)*EC55+(1-EXP(-LN(2)/2))/(LN(2)/2)*DW56*DZ56*VLOOKUP('Données projet'!$B$14,Paramètres!$A$1:$I$89,3,0)*0.475*44/12</f>
        <v>7.6489134714414694E-3</v>
      </c>
      <c r="ED56" s="22">
        <f t="shared" si="18"/>
        <v>9.6632621821915929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323.20000000000016</v>
      </c>
      <c r="AJ57" s="13">
        <f>AI57*VLOOKUP('Données projet'!$B$10,Paramètres!$A$1:$I$89,3,0)*VLOOKUP('Données projet'!$B$10,Paramètres!$A$1:$I$89,5,0)</f>
        <v>176.46720000000008</v>
      </c>
      <c r="AK57" s="13">
        <f t="shared" si="35"/>
        <v>44.535298821989436</v>
      </c>
      <c r="AL57" s="20">
        <f t="shared" si="4"/>
        <v>384.91268544829836</v>
      </c>
      <c r="AM57" s="59">
        <f t="shared" si="5"/>
        <v>678.24601878163162</v>
      </c>
      <c r="AN57" s="59">
        <f ca="1">AVERAGE(OFFSET($AM$3,0,0,'Données projet'!$E$10+1,1))-AVERAGE(OFFSET($H$3,0,0,'Données projet'!$E$10+1,1))</f>
        <v>210.04871822652808</v>
      </c>
      <c r="AO57" s="59">
        <f t="shared" si="36"/>
        <v>250.17540614049324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4.53900815269047</v>
      </c>
      <c r="AV57" s="21">
        <f>EXP(-LN(2)/25)*AV56+(1-EXP(-LN(2)/25))/(LN(2)/25)*Calculateur!AQ57*Calculateur!AS57*VLOOKUP('Données projet'!$B$10,Paramètres!$A$1:$I$89,3,0)*0.475*44/12</f>
        <v>14.306570720788535</v>
      </c>
      <c r="AW57" s="21">
        <f>EXP(-LN(2)/2)*AW56+(1-EXP(-LN(2)/2))/(LN(2)/2)*AQ57*AT57*VLOOKUP('Données projet'!$B$10,Paramètres!$A$1:$I$89,3,0)*0.475*44/12</f>
        <v>5.262179867517495E-3</v>
      </c>
      <c r="AX57" s="21">
        <f t="shared" si="6"/>
        <v>18.850841053346524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</v>
      </c>
      <c r="BD57" s="12">
        <f>IF('Données projet'!$A$88&gt;35,BD56+BC57-BL56,IF(A57&lt;'Données projet'!$A$88,$BA$205^A57,IF(A57='Données projet'!$A$88,'Données projet'!$B$88,BD56+BC57-BL56)))</f>
        <v>399.99999999999972</v>
      </c>
      <c r="BE57" s="13">
        <f>BD57*VLOOKUP('Données projet'!$B$11,Paramètres!$A$1:$I$89,3,0)*VLOOKUP('Données projet'!$B$11,Paramètres!$A$1:$I$89,5,0)</f>
        <v>239.19999999999985</v>
      </c>
      <c r="BF57" s="13">
        <f t="shared" si="37"/>
        <v>58.267373151570702</v>
      </c>
      <c r="BG57" s="20">
        <f t="shared" si="7"/>
        <v>518.08900823898523</v>
      </c>
      <c r="BH57" s="59">
        <f t="shared" si="8"/>
        <v>811.4223415723186</v>
      </c>
      <c r="BI57" s="59">
        <f ca="1">AVERAGE(OFFSET($BH$3,0,0,'Données projet'!$E$11+1,1))-AVERAGE(OFFSET($H$3,0,0,'Données projet'!$E$11+1,1))</f>
        <v>316.58509520829671</v>
      </c>
      <c r="BJ57" s="59">
        <f t="shared" si="38"/>
        <v>240.71332110643596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1.5757228557277934</v>
      </c>
      <c r="BQ57" s="21">
        <f>EXP(-LN(2)/25)*BQ56+(1-EXP(-LN(2)/25))/(LN(2)/25)*Calculateur!BL57*Calculateur!BN57*VLOOKUP('Données projet'!$B$11,Paramètres!$A$1:$I$89,3,0)*0.475*44/12</f>
        <v>7.8485832829079429</v>
      </c>
      <c r="BR57" s="21">
        <f>EXP(-LN(2)/2)*BR56+(1-EXP(-LN(2)/2))/(LN(2)/2)*BL57*BO57*VLOOKUP('Données projet'!$B$11,Paramètres!$A$1:$I$89,3,0)*0.475*44/12</f>
        <v>5.3562849292336E-3</v>
      </c>
      <c r="BS57" s="22">
        <f t="shared" si="9"/>
        <v>9.4296624235649684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6.8</v>
      </c>
      <c r="BY57" s="12">
        <f>IF('Données projet'!$A$114&gt;35,BY56+BX57-CG56,IF(A57&lt;'Données projet'!$A$114,$BV$205^A57,IF(A57='Données projet'!$A$114,'Données projet'!$B$114,BY56+BX57-CG56)))</f>
        <v>269.19999999999987</v>
      </c>
      <c r="BZ57" s="13">
        <f>BY57*VLOOKUP('Données projet'!$B$12,Paramètres!$A$1:$I$89,3,0)*VLOOKUP('Données projet'!$B$12,Paramètres!$A$1:$I$89,5,0)</f>
        <v>214.17551999999992</v>
      </c>
      <c r="CA57" s="13">
        <f t="shared" si="39"/>
        <v>52.846993696165399</v>
      </c>
      <c r="CB57" s="20">
        <f t="shared" si="10"/>
        <v>465.06421135415462</v>
      </c>
      <c r="CC57" s="59">
        <f t="shared" si="11"/>
        <v>758.39754468748788</v>
      </c>
      <c r="CD57" s="59">
        <f ca="1">AVERAGE(OFFSET($CC$3,0,0,'Données projet'!$E$12+1,1))-AVERAGE(OFFSET($H$3,0,0,'Données projet'!$E$12+1,1))</f>
        <v>260.20517190557814</v>
      </c>
      <c r="CE57" s="59">
        <f t="shared" si="40"/>
        <v>307.22009971147133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2.0285944174474779</v>
      </c>
      <c r="CL57" s="21">
        <f>EXP(-LN(2)/25)*CL56+(1-EXP(-LN(2)/25))/(LN(2)/25)*Calculateur!CG57*Calculateur!CI57*VLOOKUP('Données projet'!$B$12,Paramètres!$A$1:$I$89,3,0)*0.475*44/12</f>
        <v>10.548243639426646</v>
      </c>
      <c r="CM57" s="21">
        <f>EXP(-LN(2)/2)*CM56+(1-EXP(-LN(2)/2))/(LN(2)/2)*CG57*CJ57*VLOOKUP('Données projet'!$B$12,Paramètres!$A$1:$I$89,3,0)*0.475*44/12</f>
        <v>5.8689048468645718E-3</v>
      </c>
      <c r="CN57" s="22">
        <f t="shared" si="12"/>
        <v>12.582706961720989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10.8</v>
      </c>
      <c r="CT57" s="12">
        <f>IF('Données projet'!$A$140&gt;35,CT56+CS57-DB56,IF(A57&lt;'Données projet'!$A$140,$CQ$205^A57,IF(A57='Données projet'!$A$140,'Données projet'!$B$140,CT56+CS57-DB56)))</f>
        <v>207.1999999999999</v>
      </c>
      <c r="CU57" s="17">
        <f>CT57*VLOOKUP('Données projet'!$B$13,Paramètres!$A$1:$I$89,3,0)*VLOOKUP('Données projet'!$B$13,Paramètres!$A$1:$I$89,5,0)</f>
        <v>177.77759999999992</v>
      </c>
      <c r="CV57" s="13">
        <f t="shared" si="41"/>
        <v>44.827386173754917</v>
      </c>
      <c r="CW57" s="20">
        <f t="shared" si="13"/>
        <v>387.70368425262296</v>
      </c>
      <c r="CX57" s="59">
        <f t="shared" si="14"/>
        <v>681.03701758595628</v>
      </c>
      <c r="CY57" s="59">
        <f ca="1">AVERAGE(OFFSET($CX$3,0,0,'Données projet'!$E$13+1,1))-AVERAGE(OFFSET($H$3,0,0,'Données projet'!$E$13+1,1))</f>
        <v>310.4018929413723</v>
      </c>
      <c r="CZ57" s="59">
        <f t="shared" si="42"/>
        <v>127.5231137583819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3.0264697345538827</v>
      </c>
      <c r="DH57" s="21">
        <f>EXP(-LN(2)/2)*DH56+(1-EXP(-LN(2)/2))/(LN(2)/2)*DB57*DE57*VLOOKUP('Données projet'!$B$13,Paramètres!$A$1:$I$89,3,0)*0.475*44/12</f>
        <v>2.1802503260360145E-3</v>
      </c>
      <c r="DI57" s="22">
        <f t="shared" si="15"/>
        <v>3.0286499848799187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>
        <f>DO57*VLOOKUP('Données projet'!$B$14,Paramètres!$A$1:$I$89,3,0)*VLOOKUP('Données projet'!$B$14,Paramètres!$A$1:$I$89,5,0)</f>
        <v>197.37743999999989</v>
      </c>
      <c r="DQ57" s="13">
        <f t="shared" si="43"/>
        <v>49.167366395757924</v>
      </c>
      <c r="DR57" s="20">
        <f t="shared" si="16"/>
        <v>429.39887113927813</v>
      </c>
      <c r="DS57" s="59">
        <f t="shared" si="17"/>
        <v>722.73220447261144</v>
      </c>
      <c r="DT57" s="59">
        <f ca="1">AVERAGE(OFFSET($DS$3,0,0,'Données projet'!$E$14+1,1))-AVERAGE(OFFSET($H$3,0,0,'Données projet'!$E$14+1,1))</f>
        <v>234.09142087023463</v>
      </c>
      <c r="DU57" s="59">
        <f t="shared" si="44"/>
        <v>278.990685815294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1.5167552044622099</v>
      </c>
      <c r="EB57" s="21">
        <f>EXP(-LN(2)/25)*EB56+(1-EXP(-LN(2)/25))/(LN(2)/25)*Calculateur!DW57*Calculateur!DY57*VLOOKUP('Données projet'!$B$14,Paramètres!$A$1:$I$89,3,0)*0.475*44/12</f>
        <v>7.8867925990681673</v>
      </c>
      <c r="EC57" s="21">
        <f>EXP(-LN(2)/2)*EC56+(1-EXP(-LN(2)/2))/(LN(2)/2)*DW57*DZ57*VLOOKUP('Données projet'!$B$14,Paramètres!$A$1:$I$89,3,0)*0.475*44/12</f>
        <v>5.4085985843653995E-3</v>
      </c>
      <c r="ED57" s="22">
        <f t="shared" si="18"/>
        <v>9.4089564021147432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333.00000000000017</v>
      </c>
      <c r="AJ58" s="13">
        <f>AI58*VLOOKUP('Données projet'!$B$10,Paramètres!$A$1:$I$89,3,0)*VLOOKUP('Données projet'!$B$10,Paramètres!$A$1:$I$89,5,0)</f>
        <v>181.8180000000001</v>
      </c>
      <c r="AK58" s="13">
        <f t="shared" si="35"/>
        <v>45.726420804334332</v>
      </c>
      <c r="AL58" s="20">
        <f t="shared" si="4"/>
        <v>396.30653290088247</v>
      </c>
      <c r="AM58" s="59">
        <f t="shared" si="5"/>
        <v>689.63986623421579</v>
      </c>
      <c r="AN58" s="59">
        <f ca="1">AVERAGE(OFFSET($AM$3,0,0,'Données projet'!$E$10+1,1))-AVERAGE(OFFSET($H$3,0,0,'Données projet'!$E$10+1,1))</f>
        <v>210.04871822652808</v>
      </c>
      <c r="AO58" s="59">
        <f t="shared" si="36"/>
        <v>250.17540614049324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4.4500009713378139</v>
      </c>
      <c r="AV58" s="21">
        <f>EXP(-LN(2)/25)*AV57+(1-EXP(-LN(2)/25))/(LN(2)/25)*Calculateur!AQ58*Calculateur!AS58*VLOOKUP('Données projet'!$B$10,Paramètres!$A$1:$I$89,3,0)*0.475*44/12</f>
        <v>13.915356792078716</v>
      </c>
      <c r="AW58" s="21">
        <f>EXP(-LN(2)/2)*AW57+(1-EXP(-LN(2)/2))/(LN(2)/2)*AQ58*AT58*VLOOKUP('Données projet'!$B$10,Paramètres!$A$1:$I$89,3,0)*0.475*44/12</f>
        <v>3.7209230681449494E-3</v>
      </c>
      <c r="AX58" s="21">
        <f t="shared" si="6"/>
        <v>18.369078686484674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18</v>
      </c>
      <c r="BD58" s="12">
        <f>IF('Données projet'!$A$88&gt;35,BD57+BC58-BL57,IF(A58&lt;'Données projet'!$A$88,$BA$205^A58,IF(A58='Données projet'!$A$88,'Données projet'!$B$88,BD57+BC58-BL57)))</f>
        <v>417.99999999999972</v>
      </c>
      <c r="BE58" s="13">
        <f>BD58*VLOOKUP('Données projet'!$B$11,Paramètres!$A$1:$I$89,3,0)*VLOOKUP('Données projet'!$B$11,Paramètres!$A$1:$I$89,5,0)</f>
        <v>249.96399999999986</v>
      </c>
      <c r="BF58" s="13">
        <f t="shared" si="37"/>
        <v>60.578231929558321</v>
      </c>
      <c r="BG58" s="20">
        <f t="shared" si="7"/>
        <v>540.86105394398044</v>
      </c>
      <c r="BH58" s="59">
        <f t="shared" si="8"/>
        <v>834.19438727731381</v>
      </c>
      <c r="BI58" s="59">
        <f ca="1">AVERAGE(OFFSET($BH$3,0,0,'Données projet'!$E$11+1,1))-AVERAGE(OFFSET($H$3,0,0,'Données projet'!$E$11+1,1))</f>
        <v>316.58509520829671</v>
      </c>
      <c r="BJ58" s="59">
        <f t="shared" si="38"/>
        <v>240.71332110643596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1.544823891623013</v>
      </c>
      <c r="BQ58" s="21">
        <f>EXP(-LN(2)/25)*BQ57+(1-EXP(-LN(2)/25))/(LN(2)/25)*Calculateur!BL58*Calculateur!BN58*VLOOKUP('Données projet'!$B$11,Paramètres!$A$1:$I$89,3,0)*0.475*44/12</f>
        <v>7.633963360297769</v>
      </c>
      <c r="BR58" s="21">
        <f>EXP(-LN(2)/2)*BR57+(1-EXP(-LN(2)/2))/(LN(2)/2)*BL58*BO58*VLOOKUP('Données projet'!$B$11,Paramètres!$A$1:$I$89,3,0)*0.475*44/12</f>
        <v>3.7874653954283856E-3</v>
      </c>
      <c r="BS58" s="22">
        <f t="shared" si="9"/>
        <v>9.1825747173162107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6.8</v>
      </c>
      <c r="BY58" s="12">
        <f>IF('Données projet'!$A$114&gt;35,BY57+BX58-CG57,IF(A58&lt;'Données projet'!$A$114,$BV$205^A58,IF(A58='Données projet'!$A$114,'Données projet'!$B$114,BY57+BX58-CG57)))</f>
        <v>275.99999999999989</v>
      </c>
      <c r="BZ58" s="13">
        <f>BY58*VLOOKUP('Données projet'!$B$12,Paramètres!$A$1:$I$89,3,0)*VLOOKUP('Données projet'!$B$12,Paramètres!$A$1:$I$89,5,0)</f>
        <v>219.58559999999991</v>
      </c>
      <c r="CA58" s="13">
        <f t="shared" si="39"/>
        <v>54.024808047218549</v>
      </c>
      <c r="CB58" s="20">
        <f t="shared" si="10"/>
        <v>476.53812734890556</v>
      </c>
      <c r="CC58" s="59">
        <f t="shared" si="11"/>
        <v>769.87146068223888</v>
      </c>
      <c r="CD58" s="59">
        <f ca="1">AVERAGE(OFFSET($CC$3,0,0,'Données projet'!$E$12+1,1))-AVERAGE(OFFSET($H$3,0,0,'Données projet'!$E$12+1,1))</f>
        <v>260.20517190557814</v>
      </c>
      <c r="CE58" s="59">
        <f t="shared" si="40"/>
        <v>307.22009971147133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1.9888149182417523</v>
      </c>
      <c r="CL58" s="21">
        <f>EXP(-LN(2)/25)*CL57+(1-EXP(-LN(2)/25))/(LN(2)/25)*Calculateur!CG58*Calculateur!CI58*VLOOKUP('Données projet'!$B$12,Paramètres!$A$1:$I$89,3,0)*0.475*44/12</f>
        <v>10.2598013623985</v>
      </c>
      <c r="CM58" s="21">
        <f>EXP(-LN(2)/2)*CM57+(1-EXP(-LN(2)/2))/(LN(2)/2)*CG58*CJ58*VLOOKUP('Données projet'!$B$12,Paramètres!$A$1:$I$89,3,0)*0.475*44/12</f>
        <v>4.149942415356535E-3</v>
      </c>
      <c r="CN58" s="22">
        <f t="shared" si="12"/>
        <v>12.252766223055609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10.8</v>
      </c>
      <c r="CT58" s="12">
        <f>IF('Données projet'!$A$140&gt;35,CT57+CS58-DB57,IF(A58&lt;'Données projet'!$A$140,$CQ$205^A58,IF(A58='Données projet'!$A$140,'Données projet'!$B$140,CT57+CS58-DB57)))</f>
        <v>217.99999999999991</v>
      </c>
      <c r="CU58" s="17">
        <f>CT58*VLOOKUP('Données projet'!$B$13,Paramètres!$A$1:$I$89,3,0)*VLOOKUP('Données projet'!$B$13,Paramètres!$A$1:$I$89,5,0)</f>
        <v>187.04399999999995</v>
      </c>
      <c r="CV58" s="13">
        <f t="shared" si="41"/>
        <v>46.885828015531139</v>
      </c>
      <c r="CW58" s="20">
        <f t="shared" si="13"/>
        <v>407.42778379371663</v>
      </c>
      <c r="CX58" s="59">
        <f t="shared" si="14"/>
        <v>700.76111712704994</v>
      </c>
      <c r="CY58" s="59">
        <f ca="1">AVERAGE(OFFSET($CX$3,0,0,'Données projet'!$E$13+1,1))-AVERAGE(OFFSET($H$3,0,0,'Données projet'!$E$13+1,1))</f>
        <v>310.4018929413723</v>
      </c>
      <c r="CZ58" s="59">
        <f t="shared" si="42"/>
        <v>127.5231137583819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2.9437107605073805</v>
      </c>
      <c r="DH58" s="21">
        <f>EXP(-LN(2)/2)*DH57+(1-EXP(-LN(2)/2))/(LN(2)/2)*DB58*DE58*VLOOKUP('Données projet'!$B$13,Paramètres!$A$1:$I$89,3,0)*0.475*44/12</f>
        <v>1.541669790224247E-3</v>
      </c>
      <c r="DI58" s="22">
        <f t="shared" si="15"/>
        <v>2.9452524302976046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>
        <f>DO58*VLOOKUP('Données projet'!$B$14,Paramètres!$A$1:$I$89,3,0)*VLOOKUP('Données projet'!$B$14,Paramètres!$A$1:$I$89,5,0)</f>
        <v>202.36319999999992</v>
      </c>
      <c r="DQ58" s="13">
        <f t="shared" si="43"/>
        <v>50.263171959975132</v>
      </c>
      <c r="DR58" s="20">
        <f t="shared" si="16"/>
        <v>439.9909311636232</v>
      </c>
      <c r="DS58" s="59">
        <f t="shared" si="17"/>
        <v>733.32426449695652</v>
      </c>
      <c r="DT58" s="59">
        <f ca="1">AVERAGE(OFFSET($DS$3,0,0,'Données projet'!$E$14+1,1))-AVERAGE(OFFSET($H$3,0,0,'Données projet'!$E$14+1,1))</f>
        <v>234.09142087023463</v>
      </c>
      <c r="DU58" s="59">
        <f t="shared" si="44"/>
        <v>278.990685815294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1.4870125600320319</v>
      </c>
      <c r="EB58" s="21">
        <f>EXP(-LN(2)/25)*EB57+(1-EXP(-LN(2)/25))/(LN(2)/25)*Calculateur!DW58*Calculateur!DY58*VLOOKUP('Données projet'!$B$14,Paramètres!$A$1:$I$89,3,0)*0.475*44/12</f>
        <v>7.6711278406982508</v>
      </c>
      <c r="EC58" s="21">
        <f>EXP(-LN(2)/2)*EC57+(1-EXP(-LN(2)/2))/(LN(2)/2)*DW58*DZ58*VLOOKUP('Données projet'!$B$14,Paramètres!$A$1:$I$89,3,0)*0.475*44/12</f>
        <v>3.8244567357207356E-3</v>
      </c>
      <c r="ED58" s="22">
        <f t="shared" si="18"/>
        <v>9.1619648574660033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342.80000000000018</v>
      </c>
      <c r="AJ59" s="13">
        <f>AI59*VLOOKUP('Données projet'!$B$10,Paramètres!$A$1:$I$89,3,0)*VLOOKUP('Données projet'!$B$10,Paramètres!$A$1:$I$89,5,0)</f>
        <v>187.16880000000012</v>
      </c>
      <c r="AK59" s="13">
        <f t="shared" si="35"/>
        <v>46.913468855747631</v>
      </c>
      <c r="AL59" s="20">
        <f t="shared" si="4"/>
        <v>407.6932849237607</v>
      </c>
      <c r="AM59" s="59">
        <f t="shared" si="5"/>
        <v>701.02661825709401</v>
      </c>
      <c r="AN59" s="59">
        <f ca="1">AVERAGE(OFFSET($AM$3,0,0,'Données projet'!$E$10+1,1))-AVERAGE(OFFSET($H$3,0,0,'Données projet'!$E$10+1,1))</f>
        <v>210.04871822652808</v>
      </c>
      <c r="AO59" s="59">
        <f t="shared" si="36"/>
        <v>250.17540614049324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4.3627391665224637</v>
      </c>
      <c r="AV59" s="21">
        <f>EXP(-LN(2)/25)*AV58+(1-EXP(-LN(2)/25))/(LN(2)/25)*Calculateur!AQ59*Calculateur!AS59*VLOOKUP('Données projet'!$B$10,Paramètres!$A$1:$I$89,3,0)*0.475*44/12</f>
        <v>13.534840628822515</v>
      </c>
      <c r="AW59" s="21">
        <f>EXP(-LN(2)/2)*AW58+(1-EXP(-LN(2)/2))/(LN(2)/2)*AQ59*AT59*VLOOKUP('Données projet'!$B$10,Paramètres!$A$1:$I$89,3,0)*0.475*44/12</f>
        <v>2.6310899337587479E-3</v>
      </c>
      <c r="AX59" s="21">
        <f t="shared" si="6"/>
        <v>17.900210885278735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</v>
      </c>
      <c r="BD59" s="12">
        <f>IF('Données projet'!$A$88&gt;35,BD58+BC59-BL58,IF(A59&lt;'Données projet'!$A$88,$BA$205^A59,IF(A59='Données projet'!$A$88,'Données projet'!$B$88,BD58+BC59-BL58)))</f>
        <v>435.99999999999972</v>
      </c>
      <c r="BE59" s="13">
        <f>BD59*VLOOKUP('Données projet'!$B$11,Paramètres!$A$1:$I$89,3,0)*VLOOKUP('Données projet'!$B$11,Paramètres!$A$1:$I$89,5,0)</f>
        <v>260.72799999999984</v>
      </c>
      <c r="BF59" s="13">
        <f t="shared" si="37"/>
        <v>62.87753287516481</v>
      </c>
      <c r="BG59" s="20">
        <f t="shared" si="7"/>
        <v>563.61296975757841</v>
      </c>
      <c r="BH59" s="59">
        <f t="shared" si="8"/>
        <v>856.94630309091167</v>
      </c>
      <c r="BI59" s="59">
        <f ca="1">AVERAGE(OFFSET($BH$3,0,0,'Données projet'!$E$11+1,1))-AVERAGE(OFFSET($H$3,0,0,'Données projet'!$E$11+1,1))</f>
        <v>316.58509520829671</v>
      </c>
      <c r="BJ59" s="59">
        <f t="shared" si="38"/>
        <v>240.71332110643596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1.5145308373578201</v>
      </c>
      <c r="BQ59" s="21">
        <f>EXP(-LN(2)/25)*BQ58+(1-EXP(-LN(2)/25))/(LN(2)/25)*Calculateur!BL59*Calculateur!BN59*VLOOKUP('Données projet'!$B$11,Paramètres!$A$1:$I$89,3,0)*0.475*44/12</f>
        <v>7.4252122307577411</v>
      </c>
      <c r="BR59" s="21">
        <f>EXP(-LN(2)/2)*BR58+(1-EXP(-LN(2)/2))/(LN(2)/2)*BL59*BO59*VLOOKUP('Données projet'!$B$11,Paramètres!$A$1:$I$89,3,0)*0.475*44/12</f>
        <v>2.6781424646168004E-3</v>
      </c>
      <c r="BS59" s="22">
        <f t="shared" si="9"/>
        <v>8.9424212105801786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6.8</v>
      </c>
      <c r="BY59" s="12">
        <f>IF('Données projet'!$A$114&gt;35,BY58+BX59-CG58,IF(A59&lt;'Données projet'!$A$114,$BV$205^A59,IF(A59='Données projet'!$A$114,'Données projet'!$B$114,BY58+BX59-CG58)))</f>
        <v>282.7999999999999</v>
      </c>
      <c r="BZ59" s="13">
        <f>BY59*VLOOKUP('Données projet'!$B$12,Paramètres!$A$1:$I$89,3,0)*VLOOKUP('Données projet'!$B$12,Paramètres!$A$1:$I$89,5,0)</f>
        <v>224.99567999999994</v>
      </c>
      <c r="CA59" s="13">
        <f t="shared" si="39"/>
        <v>55.199249109676629</v>
      </c>
      <c r="CB59" s="20">
        <f t="shared" si="10"/>
        <v>488.00616819935334</v>
      </c>
      <c r="CC59" s="59">
        <f t="shared" si="11"/>
        <v>781.33950153268665</v>
      </c>
      <c r="CD59" s="59">
        <f ca="1">AVERAGE(OFFSET($CC$3,0,0,'Données projet'!$E$12+1,1))-AVERAGE(OFFSET($H$3,0,0,'Données projet'!$E$12+1,1))</f>
        <v>260.20517190557814</v>
      </c>
      <c r="CE59" s="59">
        <f t="shared" si="40"/>
        <v>307.22009971147133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1.9498154707523523</v>
      </c>
      <c r="CL59" s="21">
        <f>EXP(-LN(2)/25)*CL58+(1-EXP(-LN(2)/25))/(LN(2)/25)*Calculateur!CG59*Calculateur!CI59*VLOOKUP('Données projet'!$B$12,Paramètres!$A$1:$I$89,3,0)*0.475*44/12</f>
        <v>9.9792465546042077</v>
      </c>
      <c r="CM59" s="21">
        <f>EXP(-LN(2)/2)*CM58+(1-EXP(-LN(2)/2))/(LN(2)/2)*CG59*CJ59*VLOOKUP('Données projet'!$B$12,Paramètres!$A$1:$I$89,3,0)*0.475*44/12</f>
        <v>2.9344524234322859E-3</v>
      </c>
      <c r="CN59" s="22">
        <f t="shared" si="12"/>
        <v>11.931996477779991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10.8</v>
      </c>
      <c r="CT59" s="12">
        <f>IF('Données projet'!$A$140&gt;35,CT58+CS59-DB58,IF(A59&lt;'Données projet'!$A$140,$CQ$205^A59,IF(A59='Données projet'!$A$140,'Données projet'!$B$140,CT58+CS59-DB58)))</f>
        <v>228.79999999999993</v>
      </c>
      <c r="CU59" s="17">
        <f>CT59*VLOOKUP('Données projet'!$B$13,Paramètres!$A$1:$I$89,3,0)*VLOOKUP('Données projet'!$B$13,Paramètres!$A$1:$I$89,5,0)</f>
        <v>196.31039999999996</v>
      </c>
      <c r="CV59" s="13">
        <f t="shared" si="41"/>
        <v>48.932428681108973</v>
      </c>
      <c r="CW59" s="20">
        <f t="shared" si="13"/>
        <v>427.13125995293143</v>
      </c>
      <c r="CX59" s="59">
        <f t="shared" si="14"/>
        <v>720.46459328626474</v>
      </c>
      <c r="CY59" s="59">
        <f ca="1">AVERAGE(OFFSET($CX$3,0,0,'Données projet'!$E$13+1,1))-AVERAGE(OFFSET($H$3,0,0,'Données projet'!$E$13+1,1))</f>
        <v>310.4018929413723</v>
      </c>
      <c r="CZ59" s="59">
        <f t="shared" si="42"/>
        <v>127.5231137583819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2.8632148349582853</v>
      </c>
      <c r="DH59" s="21">
        <f>EXP(-LN(2)/2)*DH58+(1-EXP(-LN(2)/2))/(LN(2)/2)*DB59*DE59*VLOOKUP('Données projet'!$B$13,Paramètres!$A$1:$I$89,3,0)*0.475*44/12</f>
        <v>1.0901251630180072E-3</v>
      </c>
      <c r="DI59" s="22">
        <f t="shared" si="15"/>
        <v>2.8643049601213035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>
        <f>DO59*VLOOKUP('Données projet'!$B$14,Paramètres!$A$1:$I$89,3,0)*VLOOKUP('Données projet'!$B$14,Paramètres!$A$1:$I$89,5,0)</f>
        <v>207.34895999999992</v>
      </c>
      <c r="DQ59" s="13">
        <f t="shared" si="43"/>
        <v>51.355839110732845</v>
      </c>
      <c r="DR59" s="20">
        <f t="shared" si="16"/>
        <v>450.57752511785958</v>
      </c>
      <c r="DS59" s="59">
        <f t="shared" si="17"/>
        <v>743.91085845119289</v>
      </c>
      <c r="DT59" s="59">
        <f ca="1">AVERAGE(OFFSET($DS$3,0,0,'Données projet'!$E$14+1,1))-AVERAGE(OFFSET($H$3,0,0,'Données projet'!$E$14+1,1))</f>
        <v>234.09142087023463</v>
      </c>
      <c r="DU59" s="59">
        <f t="shared" si="44"/>
        <v>278.990685815294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1.4578531507179078</v>
      </c>
      <c r="EB59" s="21">
        <f>EXP(-LN(2)/25)*EB58+(1-EXP(-LN(2)/25))/(LN(2)/25)*Calculateur!DW59*Calculateur!DY59*VLOOKUP('Données projet'!$B$14,Paramètres!$A$1:$I$89,3,0)*0.475*44/12</f>
        <v>7.4613604464872765</v>
      </c>
      <c r="EC59" s="21">
        <f>EXP(-LN(2)/2)*EC58+(1-EXP(-LN(2)/2))/(LN(2)/2)*DW59*DZ59*VLOOKUP('Données projet'!$B$14,Paramètres!$A$1:$I$89,3,0)*0.475*44/12</f>
        <v>2.7042992921827002E-3</v>
      </c>
      <c r="ED59" s="22">
        <f t="shared" si="18"/>
        <v>8.9219178964973676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352.60000000000019</v>
      </c>
      <c r="AJ60" s="13">
        <f>AI60*VLOOKUP('Données projet'!$B$10,Paramètres!$A$1:$I$89,3,0)*VLOOKUP('Données projet'!$B$10,Paramètres!$A$1:$I$89,5,0)</f>
        <v>192.51960000000011</v>
      </c>
      <c r="AK60" s="13">
        <f t="shared" si="35"/>
        <v>48.096572818546932</v>
      </c>
      <c r="AL60" s="20">
        <f t="shared" si="4"/>
        <v>419.0731676589694</v>
      </c>
      <c r="AM60" s="59">
        <f t="shared" si="5"/>
        <v>712.40650099230265</v>
      </c>
      <c r="AN60" s="59">
        <f ca="1">AVERAGE(OFFSET($AM$3,0,0,'Données projet'!$E$10+1,1))-AVERAGE(OFFSET($H$3,0,0,'Données projet'!$E$10+1,1))</f>
        <v>210.04871822652808</v>
      </c>
      <c r="AO60" s="59">
        <f t="shared" si="36"/>
        <v>250.17540614049324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4.2771885124750968</v>
      </c>
      <c r="AV60" s="21">
        <f>EXP(-LN(2)/25)*AV59+(1-EXP(-LN(2)/25))/(LN(2)/25)*Calculateur!AQ60*Calculateur!AS60*VLOOKUP('Données projet'!$B$10,Paramètres!$A$1:$I$89,3,0)*0.475*44/12</f>
        <v>13.164729700061029</v>
      </c>
      <c r="AW60" s="21">
        <f>EXP(-LN(2)/2)*AW59+(1-EXP(-LN(2)/2))/(LN(2)/2)*AQ60*AT60*VLOOKUP('Données projet'!$B$10,Paramètres!$A$1:$I$89,3,0)*0.475*44/12</f>
        <v>1.8604615340724749E-3</v>
      </c>
      <c r="AX60" s="21">
        <f t="shared" si="6"/>
        <v>17.443778674070199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</v>
      </c>
      <c r="BD60" s="12">
        <f>IF('Données projet'!$A$88&gt;35,BD59+BC60-BL59,IF(A60&lt;'Données projet'!$A$88,$BA$205^A60,IF(A60='Données projet'!$A$88,'Données projet'!$B$88,BD59+BC60-BL59)))</f>
        <v>453.99999999999972</v>
      </c>
      <c r="BE60" s="13">
        <f>BD60*VLOOKUP('Données projet'!$B$11,Paramètres!$A$1:$I$89,3,0)*VLOOKUP('Données projet'!$B$11,Paramètres!$A$1:$I$89,5,0)</f>
        <v>271.49199999999985</v>
      </c>
      <c r="BF60" s="13">
        <f t="shared" si="37"/>
        <v>65.165807717935309</v>
      </c>
      <c r="BG60" s="20">
        <f t="shared" si="7"/>
        <v>586.3456817754037</v>
      </c>
      <c r="BH60" s="59">
        <f t="shared" si="8"/>
        <v>879.67901510873708</v>
      </c>
      <c r="BI60" s="59">
        <f ca="1">AVERAGE(OFFSET($BH$3,0,0,'Données projet'!$E$11+1,1))-AVERAGE(OFFSET($H$3,0,0,'Données projet'!$E$11+1,1))</f>
        <v>316.58509520829671</v>
      </c>
      <c r="BJ60" s="59">
        <f t="shared" si="38"/>
        <v>240.71332110643596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1.4848318114098291</v>
      </c>
      <c r="BQ60" s="21">
        <f>EXP(-LN(2)/25)*BQ59+(1-EXP(-LN(2)/25))/(LN(2)/25)*Calculateur!BL60*Calculateur!BN60*VLOOKUP('Données projet'!$B$11,Paramètres!$A$1:$I$89,3,0)*0.475*44/12</f>
        <v>7.2221694118327298</v>
      </c>
      <c r="BR60" s="21">
        <f>EXP(-LN(2)/2)*BR59+(1-EXP(-LN(2)/2))/(LN(2)/2)*BL60*BO60*VLOOKUP('Données projet'!$B$11,Paramètres!$A$1:$I$89,3,0)*0.475*44/12</f>
        <v>1.893732697714193E-3</v>
      </c>
      <c r="BS60" s="22">
        <f t="shared" si="9"/>
        <v>8.7088949559402735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6.8</v>
      </c>
      <c r="BY60" s="12">
        <f>IF('Données projet'!$A$114&gt;35,BY59+BX60-CG59,IF(A60&lt;'Données projet'!$A$114,$BV$205^A60,IF(A60='Données projet'!$A$114,'Données projet'!$B$114,BY59+BX60-CG59)))</f>
        <v>289.59999999999991</v>
      </c>
      <c r="BZ60" s="13">
        <f>BY60*VLOOKUP('Données projet'!$B$12,Paramètres!$A$1:$I$89,3,0)*VLOOKUP('Données projet'!$B$12,Paramètres!$A$1:$I$89,5,0)</f>
        <v>230.40575999999996</v>
      </c>
      <c r="CA60" s="13">
        <f t="shared" si="39"/>
        <v>56.370407327556237</v>
      </c>
      <c r="CB60" s="20">
        <f t="shared" si="10"/>
        <v>499.46849142882706</v>
      </c>
      <c r="CC60" s="59">
        <f t="shared" si="11"/>
        <v>792.80182476216032</v>
      </c>
      <c r="CD60" s="59">
        <f ca="1">AVERAGE(OFFSET($CC$3,0,0,'Données projet'!$E$12+1,1))-AVERAGE(OFFSET($H$3,0,0,'Données projet'!$E$12+1,1))</f>
        <v>260.20517190557814</v>
      </c>
      <c r="CE60" s="59">
        <f t="shared" si="40"/>
        <v>307.22009971147133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1.9115807786409051</v>
      </c>
      <c r="CL60" s="21">
        <f>EXP(-LN(2)/25)*CL59+(1-EXP(-LN(2)/25))/(LN(2)/25)*Calculateur!CG60*Calculateur!CI60*VLOOKUP('Données projet'!$B$12,Paramètres!$A$1:$I$89,3,0)*0.475*44/12</f>
        <v>9.7063635327827864</v>
      </c>
      <c r="CM60" s="21">
        <f>EXP(-LN(2)/2)*CM59+(1-EXP(-LN(2)/2))/(LN(2)/2)*CG60*CJ60*VLOOKUP('Données projet'!$B$12,Paramètres!$A$1:$I$89,3,0)*0.475*44/12</f>
        <v>2.0749712076782675E-3</v>
      </c>
      <c r="CN60" s="22">
        <f t="shared" si="12"/>
        <v>11.62001928263137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10.8</v>
      </c>
      <c r="CT60" s="12">
        <f>IF('Données projet'!$A$140&gt;35,CT59+CS60-DB59,IF(A60&lt;'Données projet'!$A$140,$CQ$205^A60,IF(A60='Données projet'!$A$140,'Données projet'!$B$140,CT59+CS60-DB59)))</f>
        <v>239.59999999999994</v>
      </c>
      <c r="CU60" s="17">
        <f>CT60*VLOOKUP('Données projet'!$B$13,Paramètres!$A$1:$I$89,3,0)*VLOOKUP('Données projet'!$B$13,Paramètres!$A$1:$I$89,5,0)</f>
        <v>205.57679999999996</v>
      </c>
      <c r="CV60" s="13">
        <f t="shared" si="41"/>
        <v>50.967810929232002</v>
      </c>
      <c r="CW60" s="20">
        <f t="shared" si="13"/>
        <v>446.81519736841233</v>
      </c>
      <c r="CX60" s="59">
        <f t="shared" si="14"/>
        <v>740.14853070174559</v>
      </c>
      <c r="CY60" s="59">
        <f ca="1">AVERAGE(OFFSET($CX$3,0,0,'Données projet'!$E$13+1,1))-AVERAGE(OFFSET($H$3,0,0,'Données projet'!$E$13+1,1))</f>
        <v>310.4018929413723</v>
      </c>
      <c r="CZ60" s="59">
        <f t="shared" si="42"/>
        <v>127.5231137583819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2.7849200747264269</v>
      </c>
      <c r="DH60" s="21">
        <f>EXP(-LN(2)/2)*DH59+(1-EXP(-LN(2)/2))/(LN(2)/2)*DB60*DE60*VLOOKUP('Données projet'!$B$13,Paramètres!$A$1:$I$89,3,0)*0.475*44/12</f>
        <v>7.708348951121235E-4</v>
      </c>
      <c r="DI60" s="22">
        <f t="shared" si="15"/>
        <v>2.7856909096215392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>
        <f>DO60*VLOOKUP('Données projet'!$B$14,Paramètres!$A$1:$I$89,3,0)*VLOOKUP('Données projet'!$B$14,Paramètres!$A$1:$I$89,5,0)</f>
        <v>212.33471999999992</v>
      </c>
      <c r="DQ60" s="13">
        <f t="shared" si="43"/>
        <v>52.445451994617102</v>
      </c>
      <c r="DR60" s="20">
        <f t="shared" si="16"/>
        <v>461.15879955729133</v>
      </c>
      <c r="DS60" s="59">
        <f t="shared" si="17"/>
        <v>754.49213289062459</v>
      </c>
      <c r="DT60" s="59">
        <f ca="1">AVERAGE(OFFSET($DS$3,0,0,'Données projet'!$E$14+1,1))-AVERAGE(OFFSET($H$3,0,0,'Données projet'!$E$14+1,1))</f>
        <v>234.09142087023463</v>
      </c>
      <c r="DU60" s="59">
        <f t="shared" si="44"/>
        <v>278.990685815294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1.4292655396349501</v>
      </c>
      <c r="EB60" s="21">
        <f>EXP(-LN(2)/25)*EB59+(1-EXP(-LN(2)/25))/(LN(2)/25)*Calculateur!DW60*Calculateur!DY60*VLOOKUP('Données projet'!$B$14,Paramètres!$A$1:$I$89,3,0)*0.475*44/12</f>
        <v>7.257329152702189</v>
      </c>
      <c r="EC60" s="21">
        <f>EXP(-LN(2)/2)*EC59+(1-EXP(-LN(2)/2))/(LN(2)/2)*DW60*DZ60*VLOOKUP('Données projet'!$B$14,Paramètres!$A$1:$I$89,3,0)*0.475*44/12</f>
        <v>1.912228367860368E-3</v>
      </c>
      <c r="ED60" s="22">
        <f t="shared" si="18"/>
        <v>8.6885069207049987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362.4000000000002</v>
      </c>
      <c r="AJ61" s="13">
        <f>AI61*VLOOKUP('Données projet'!$B$10,Paramètres!$A$1:$I$89,3,0)*VLOOKUP('Données projet'!$B$10,Paramètres!$A$1:$I$89,5,0)</f>
        <v>197.8704000000001</v>
      </c>
      <c r="AK61" s="13">
        <f t="shared" si="35"/>
        <v>49.275854906806309</v>
      </c>
      <c r="AL61" s="20">
        <f t="shared" si="4"/>
        <v>430.44639396268781</v>
      </c>
      <c r="AM61" s="59">
        <f t="shared" si="5"/>
        <v>723.77972729602106</v>
      </c>
      <c r="AN61" s="59">
        <f ca="1">AVERAGE(OFFSET($AM$3,0,0,'Données projet'!$E$10+1,1))-AVERAGE(OFFSET($H$3,0,0,'Données projet'!$E$10+1,1))</f>
        <v>210.04871822652808</v>
      </c>
      <c r="AO61" s="59">
        <f t="shared" si="36"/>
        <v>250.17540614049324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4.1933154545728524</v>
      </c>
      <c r="AV61" s="21">
        <f>EXP(-LN(2)/25)*AV60+(1-EXP(-LN(2)/25))/(LN(2)/25)*Calculateur!AQ61*Calculateur!AS61*VLOOKUP('Données projet'!$B$10,Paramètres!$A$1:$I$89,3,0)*0.475*44/12</f>
        <v>12.804739474109814</v>
      </c>
      <c r="AW61" s="21">
        <f>EXP(-LN(2)/2)*AW60+(1-EXP(-LN(2)/2))/(LN(2)/2)*AQ61*AT61*VLOOKUP('Données projet'!$B$10,Paramètres!$A$1:$I$89,3,0)*0.475*44/12</f>
        <v>1.3155449668793742E-3</v>
      </c>
      <c r="AX61" s="21">
        <f t="shared" si="6"/>
        <v>16.999370473649545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</v>
      </c>
      <c r="BD61" s="12">
        <f>IF('Données projet'!$A$88&gt;35,BD60+BC61-BL60,IF(A61&lt;'Données projet'!$A$88,$BA$205^A61,IF(A61='Données projet'!$A$88,'Données projet'!$B$88,BD60+BC61-BL60)))</f>
        <v>471.99999999999972</v>
      </c>
      <c r="BE61" s="13">
        <f>BD61*VLOOKUP('Données projet'!$B$11,Paramètres!$A$1:$I$89,3,0)*VLOOKUP('Données projet'!$B$11,Paramètres!$A$1:$I$89,5,0)</f>
        <v>282.25599999999986</v>
      </c>
      <c r="BF61" s="13">
        <f t="shared" si="37"/>
        <v>67.443543636985055</v>
      </c>
      <c r="BG61" s="20">
        <f t="shared" si="7"/>
        <v>609.06003850108198</v>
      </c>
      <c r="BH61" s="59">
        <f t="shared" si="8"/>
        <v>902.39337183441535</v>
      </c>
      <c r="BI61" s="59">
        <f ca="1">AVERAGE(OFFSET($BH$3,0,0,'Données projet'!$E$11+1,1))-AVERAGE(OFFSET($H$3,0,0,'Données projet'!$E$11+1,1))</f>
        <v>316.58509520829671</v>
      </c>
      <c r="BJ61" s="59">
        <f t="shared" si="38"/>
        <v>240.71332110643596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1.4557151652460609</v>
      </c>
      <c r="BQ61" s="21">
        <f>EXP(-LN(2)/25)*BQ60+(1-EXP(-LN(2)/25))/(LN(2)/25)*Calculateur!BL61*Calculateur!BN61*VLOOKUP('Données projet'!$B$11,Paramètres!$A$1:$I$89,3,0)*0.475*44/12</f>
        <v>7.0246788094687806</v>
      </c>
      <c r="BR61" s="21">
        <f>EXP(-LN(2)/2)*BR60+(1-EXP(-LN(2)/2))/(LN(2)/2)*BL61*BO61*VLOOKUP('Données projet'!$B$11,Paramètres!$A$1:$I$89,3,0)*0.475*44/12</f>
        <v>1.3390712323084004E-3</v>
      </c>
      <c r="BS61" s="22">
        <f t="shared" si="9"/>
        <v>8.4817330459471503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6.8</v>
      </c>
      <c r="BY61" s="12">
        <f>IF('Données projet'!$A$114&gt;35,BY60+BX61-CG60,IF(A61&lt;'Données projet'!$A$114,$BV$205^A61,IF(A61='Données projet'!$A$114,'Données projet'!$B$114,BY60+BX61-CG60)))</f>
        <v>296.39999999999992</v>
      </c>
      <c r="BZ61" s="13">
        <f>BY61*VLOOKUP('Données projet'!$B$12,Paramètres!$A$1:$I$89,3,0)*VLOOKUP('Données projet'!$B$12,Paramètres!$A$1:$I$89,5,0)</f>
        <v>235.81583999999995</v>
      </c>
      <c r="CA61" s="13">
        <f t="shared" si="39"/>
        <v>57.538368655200898</v>
      </c>
      <c r="CB61" s="20">
        <f t="shared" si="10"/>
        <v>510.92524674114156</v>
      </c>
      <c r="CC61" s="59">
        <f t="shared" si="11"/>
        <v>804.25858007447482</v>
      </c>
      <c r="CD61" s="59">
        <f ca="1">AVERAGE(OFFSET($CC$3,0,0,'Données projet'!$E$12+1,1))-AVERAGE(OFFSET($H$3,0,0,'Données projet'!$E$12+1,1))</f>
        <v>260.20517190557814</v>
      </c>
      <c r="CE61" s="59">
        <f t="shared" si="40"/>
        <v>307.22009971147133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1.874095845520904</v>
      </c>
      <c r="CL61" s="21">
        <f>EXP(-LN(2)/25)*CL60+(1-EXP(-LN(2)/25))/(LN(2)/25)*Calculateur!CG61*Calculateur!CI61*VLOOKUP('Données projet'!$B$12,Paramètres!$A$1:$I$89,3,0)*0.475*44/12</f>
        <v>9.4409425115433674</v>
      </c>
      <c r="CM61" s="21">
        <f>EXP(-LN(2)/2)*CM60+(1-EXP(-LN(2)/2))/(LN(2)/2)*CG61*CJ61*VLOOKUP('Données projet'!$B$12,Paramètres!$A$1:$I$89,3,0)*0.475*44/12</f>
        <v>1.467226211716143E-3</v>
      </c>
      <c r="CN61" s="22">
        <f t="shared" si="12"/>
        <v>11.316505583275987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10.8</v>
      </c>
      <c r="CT61" s="12">
        <f>IF('Données projet'!$A$140&gt;35,CT60+CS61-DB60,IF(A61&lt;'Données projet'!$A$140,$CQ$205^A61,IF(A61='Données projet'!$A$140,'Données projet'!$B$140,CT60+CS61-DB60)))</f>
        <v>250.39999999999995</v>
      </c>
      <c r="CU61" s="17">
        <f>CT61*VLOOKUP('Données projet'!$B$13,Paramètres!$A$1:$I$89,3,0)*VLOOKUP('Données projet'!$B$13,Paramètres!$A$1:$I$89,5,0)</f>
        <v>214.84319999999997</v>
      </c>
      <c r="CV61" s="13">
        <f t="shared" si="41"/>
        <v>52.992538203061436</v>
      </c>
      <c r="CW61" s="20">
        <f t="shared" si="13"/>
        <v>466.4805773703319</v>
      </c>
      <c r="CX61" s="59">
        <f t="shared" si="14"/>
        <v>759.81391070366521</v>
      </c>
      <c r="CY61" s="59">
        <f ca="1">AVERAGE(OFFSET($CX$3,0,0,'Données projet'!$E$13+1,1))-AVERAGE(OFFSET($H$3,0,0,'Données projet'!$E$13+1,1))</f>
        <v>310.4018929413723</v>
      </c>
      <c r="CZ61" s="59">
        <f t="shared" si="42"/>
        <v>127.5231137583819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2.7087662888304509</v>
      </c>
      <c r="DH61" s="21">
        <f>EXP(-LN(2)/2)*DH60+(1-EXP(-LN(2)/2))/(LN(2)/2)*DB61*DE61*VLOOKUP('Données projet'!$B$13,Paramètres!$A$1:$I$89,3,0)*0.475*44/12</f>
        <v>5.4506258150900362E-4</v>
      </c>
      <c r="DI61" s="22">
        <f t="shared" si="15"/>
        <v>2.70931135141196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>
        <f>DO61*VLOOKUP('Données projet'!$B$14,Paramètres!$A$1:$I$89,3,0)*VLOOKUP('Données projet'!$B$14,Paramètres!$A$1:$I$89,5,0)</f>
        <v>217.32047999999995</v>
      </c>
      <c r="DQ61" s="13">
        <f t="shared" si="43"/>
        <v>53.532090581147429</v>
      </c>
      <c r="DR61" s="20">
        <f t="shared" si="16"/>
        <v>471.73489376216497</v>
      </c>
      <c r="DS61" s="59">
        <f t="shared" si="17"/>
        <v>765.06822709549829</v>
      </c>
      <c r="DT61" s="59">
        <f ca="1">AVERAGE(OFFSET($DS$3,0,0,'Données projet'!$E$14+1,1))-AVERAGE(OFFSET($H$3,0,0,'Données projet'!$E$14+1,1))</f>
        <v>234.09142087023463</v>
      </c>
      <c r="DU61" s="59">
        <f t="shared" si="44"/>
        <v>278.990685815294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1.4012385141686081</v>
      </c>
      <c r="EB61" s="21">
        <f>EXP(-LN(2)/25)*EB60+(1-EXP(-LN(2)/25))/(LN(2)/25)*Calculateur!DW61*Calculateur!DY61*VLOOKUP('Données projet'!$B$14,Paramètres!$A$1:$I$89,3,0)*0.475*44/12</f>
        <v>7.0588771053751946</v>
      </c>
      <c r="EC61" s="21">
        <f>EXP(-LN(2)/2)*EC60+(1-EXP(-LN(2)/2))/(LN(2)/2)*DW61*DZ61*VLOOKUP('Données projet'!$B$14,Paramètres!$A$1:$I$89,3,0)*0.475*44/12</f>
        <v>1.3521496460913503E-3</v>
      </c>
      <c r="ED61" s="22">
        <f t="shared" si="18"/>
        <v>8.4614677691898947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372.20000000000022</v>
      </c>
      <c r="AJ62" s="13">
        <f>AI62*VLOOKUP('Données projet'!$B$10,Paramètres!$A$1:$I$89,3,0)*VLOOKUP('Données projet'!$B$10,Paramètres!$A$1:$I$89,5,0)</f>
        <v>203.22120000000012</v>
      </c>
      <c r="AK62" s="13">
        <f t="shared" si="35"/>
        <v>50.451430348521406</v>
      </c>
      <c r="AL62" s="20">
        <f t="shared" si="4"/>
        <v>441.81316452367497</v>
      </c>
      <c r="AM62" s="59">
        <f t="shared" si="5"/>
        <v>735.14649785700828</v>
      </c>
      <c r="AN62" s="59">
        <f ca="1">AVERAGE(OFFSET($AM$3,0,0,'Données projet'!$E$10+1,1))-AVERAGE(OFFSET($H$3,0,0,'Données projet'!$E$10+1,1))</f>
        <v>210.04871822652808</v>
      </c>
      <c r="AO62" s="59">
        <f t="shared" si="36"/>
        <v>250.17540614049324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4.1110870961785571</v>
      </c>
      <c r="AV62" s="21">
        <f>EXP(-LN(2)/25)*AV61+(1-EXP(-LN(2)/25))/(LN(2)/25)*Calculateur!AQ62*Calculateur!AS62*VLOOKUP('Données projet'!$B$10,Paramètres!$A$1:$I$89,3,0)*0.475*44/12</f>
        <v>12.454593199818298</v>
      </c>
      <c r="AW62" s="21">
        <f>EXP(-LN(2)/2)*AW61+(1-EXP(-LN(2)/2))/(LN(2)/2)*AQ62*AT62*VLOOKUP('Données projet'!$B$10,Paramètres!$A$1:$I$89,3,0)*0.475*44/12</f>
        <v>9.3023076703623757E-4</v>
      </c>
      <c r="AX62" s="21">
        <f t="shared" si="6"/>
        <v>16.566610526763892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</v>
      </c>
      <c r="BD62" s="12">
        <f>IF('Données projet'!$A$88&gt;35,BD61+BC62-BL61,IF(A62&lt;'Données projet'!$A$88,$BA$205^A62,IF(A62='Données projet'!$A$88,'Données projet'!$B$88,BD61+BC62-BL61)))</f>
        <v>489.99999999999972</v>
      </c>
      <c r="BE62" s="13">
        <f>BD62*VLOOKUP('Données projet'!$B$11,Paramètres!$A$1:$I$89,3,0)*VLOOKUP('Données projet'!$B$11,Paramètres!$A$1:$I$89,5,0)</f>
        <v>293.01999999999987</v>
      </c>
      <c r="BF62" s="13">
        <f t="shared" si="37"/>
        <v>69.711188549176683</v>
      </c>
      <c r="BG62" s="20">
        <f t="shared" si="7"/>
        <v>631.75682005648241</v>
      </c>
      <c r="BH62" s="59">
        <f t="shared" si="8"/>
        <v>925.09015338981567</v>
      </c>
      <c r="BI62" s="59">
        <f ca="1">AVERAGE(OFFSET($BH$3,0,0,'Données projet'!$E$11+1,1))-AVERAGE(OFFSET($H$3,0,0,'Données projet'!$E$11+1,1))</f>
        <v>316.58509520829671</v>
      </c>
      <c r="BJ62" s="59">
        <f t="shared" si="38"/>
        <v>240.71332110643596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1.4271694787541638</v>
      </c>
      <c r="BQ62" s="21">
        <f>EXP(-LN(2)/25)*BQ61+(1-EXP(-LN(2)/25))/(LN(2)/25)*Calculateur!BL62*Calculateur!BN62*VLOOKUP('Données projet'!$B$11,Paramètres!$A$1:$I$89,3,0)*0.475*44/12</f>
        <v>6.8325885980120535</v>
      </c>
      <c r="BR62" s="21">
        <f>EXP(-LN(2)/2)*BR61+(1-EXP(-LN(2)/2))/(LN(2)/2)*BL62*BO62*VLOOKUP('Données projet'!$B$11,Paramètres!$A$1:$I$89,3,0)*0.475*44/12</f>
        <v>9.4686634885709673E-4</v>
      </c>
      <c r="BS62" s="22">
        <f t="shared" si="9"/>
        <v>8.2607049431150745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6.8</v>
      </c>
      <c r="BY62" s="12">
        <f>IF('Données projet'!$A$114&gt;35,BY61+BX62-CG61,IF(A62&lt;'Données projet'!$A$114,$BV$205^A62,IF(A62='Données projet'!$A$114,'Données projet'!$B$114,BY61+BX62-CG61)))</f>
        <v>303.19999999999993</v>
      </c>
      <c r="BZ62" s="13">
        <f>BY62*VLOOKUP('Données projet'!$B$12,Paramètres!$A$1:$I$89,3,0)*VLOOKUP('Données projet'!$B$12,Paramètres!$A$1:$I$89,5,0)</f>
        <v>241.22591999999997</v>
      </c>
      <c r="CA62" s="13">
        <f t="shared" si="39"/>
        <v>58.703214877960853</v>
      </c>
      <c r="CB62" s="20">
        <f t="shared" si="10"/>
        <v>522.37657657911507</v>
      </c>
      <c r="CC62" s="59">
        <f t="shared" si="11"/>
        <v>815.70990991244844</v>
      </c>
      <c r="CD62" s="59">
        <f ca="1">AVERAGE(OFFSET($CC$3,0,0,'Données projet'!$E$12+1,1))-AVERAGE(OFFSET($H$3,0,0,'Données projet'!$E$12+1,1))</f>
        <v>260.20517190557814</v>
      </c>
      <c r="CE62" s="59">
        <f t="shared" si="40"/>
        <v>307.22009971147133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1.8373459690758345</v>
      </c>
      <c r="CL62" s="21">
        <f>EXP(-LN(2)/25)*CL61+(1-EXP(-LN(2)/25))/(LN(2)/25)*Calculateur!CG62*Calculateur!CI62*VLOOKUP('Données projet'!$B$12,Paramètres!$A$1:$I$89,3,0)*0.475*44/12</f>
        <v>9.1827794420876252</v>
      </c>
      <c r="CM62" s="21">
        <f>EXP(-LN(2)/2)*CM61+(1-EXP(-LN(2)/2))/(LN(2)/2)*CG62*CJ62*VLOOKUP('Données projet'!$B$12,Paramètres!$A$1:$I$89,3,0)*0.475*44/12</f>
        <v>1.0374856038391337E-3</v>
      </c>
      <c r="CN62" s="22">
        <f t="shared" si="12"/>
        <v>11.021162896767299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10.8</v>
      </c>
      <c r="CT62" s="12">
        <f>IF('Données projet'!$A$140&gt;35,CT61+CS62-DB61,IF(A62&lt;'Données projet'!$A$140,$CQ$205^A62,IF(A62='Données projet'!$A$140,'Données projet'!$B$140,CT61+CS62-DB61)))</f>
        <v>261.19999999999993</v>
      </c>
      <c r="CU62" s="17">
        <f>CT62*VLOOKUP('Données projet'!$B$13,Paramètres!$A$1:$I$89,3,0)*VLOOKUP('Données projet'!$B$13,Paramètres!$A$1:$I$89,5,0)</f>
        <v>224.10959999999997</v>
      </c>
      <c r="CV62" s="13">
        <f t="shared" si="41"/>
        <v>55.00712259326616</v>
      </c>
      <c r="CW62" s="20">
        <f t="shared" si="13"/>
        <v>486.12829184993842</v>
      </c>
      <c r="CX62" s="59">
        <f t="shared" si="14"/>
        <v>779.46162518327174</v>
      </c>
      <c r="CY62" s="59">
        <f ca="1">AVERAGE(OFFSET($CX$3,0,0,'Données projet'!$E$13+1,1))-AVERAGE(OFFSET($H$3,0,0,'Données projet'!$E$13+1,1))</f>
        <v>310.4018929413723</v>
      </c>
      <c r="CZ62" s="59">
        <f t="shared" si="42"/>
        <v>127.5231137583819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2.6346949322145541</v>
      </c>
      <c r="DH62" s="21">
        <f>EXP(-LN(2)/2)*DH61+(1-EXP(-LN(2)/2))/(LN(2)/2)*DB62*DE62*VLOOKUP('Données projet'!$B$13,Paramètres!$A$1:$I$89,3,0)*0.475*44/12</f>
        <v>3.8541744755606175E-4</v>
      </c>
      <c r="DI62" s="22">
        <f t="shared" si="15"/>
        <v>2.6350803496621102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>
        <f>DO62*VLOOKUP('Données projet'!$B$14,Paramètres!$A$1:$I$89,3,0)*VLOOKUP('Données projet'!$B$14,Paramètres!$A$1:$I$89,5,0)</f>
        <v>222.30623999999995</v>
      </c>
      <c r="DQ62" s="13">
        <f t="shared" si="43"/>
        <v>54.615830961128815</v>
      </c>
      <c r="DR62" s="20">
        <f t="shared" si="16"/>
        <v>482.3059402572992</v>
      </c>
      <c r="DS62" s="59">
        <f t="shared" si="17"/>
        <v>775.63927359063246</v>
      </c>
      <c r="DT62" s="59">
        <f ca="1">AVERAGE(OFFSET($DS$3,0,0,'Données projet'!$E$14+1,1))-AVERAGE(OFFSET($H$3,0,0,'Données projet'!$E$14+1,1))</f>
        <v>234.09142087023463</v>
      </c>
      <c r="DU62" s="59">
        <f t="shared" si="44"/>
        <v>278.990685815294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1.3737610815768635</v>
      </c>
      <c r="EB62" s="21">
        <f>EXP(-LN(2)/25)*EB61+(1-EXP(-LN(2)/25))/(LN(2)/25)*Calculateur!DW62*Calculateur!DY62*VLOOKUP('Données projet'!$B$14,Paramètres!$A$1:$I$89,3,0)*0.475*44/12</f>
        <v>6.8658517397184964</v>
      </c>
      <c r="EC62" s="21">
        <f>EXP(-LN(2)/2)*EC61+(1-EXP(-LN(2)/2))/(LN(2)/2)*DW62*DZ62*VLOOKUP('Données projet'!$B$14,Paramètres!$A$1:$I$89,3,0)*0.475*44/12</f>
        <v>9.5611418393018422E-4</v>
      </c>
      <c r="ED62" s="22">
        <f t="shared" si="18"/>
        <v>8.2405689354792901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382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382.00000000000023</v>
      </c>
      <c r="AJ63" s="13">
        <f>AI63*VLOOKUP('Données projet'!$B$10,Paramètres!$A$1:$I$89,3,0)*VLOOKUP('Données projet'!$B$10,Paramètres!$A$1:$I$89,5,0)</f>
        <v>208.57200000000012</v>
      </c>
      <c r="AK63" s="13">
        <f t="shared" si="35"/>
        <v>51.623407958239042</v>
      </c>
      <c r="AL63" s="20">
        <f t="shared" si="4"/>
        <v>453.17366886059989</v>
      </c>
      <c r="AM63" s="59">
        <f t="shared" si="5"/>
        <v>746.5070021939332</v>
      </c>
      <c r="AN63" s="59">
        <f ca="1">AVERAGE(OFFSET($AM$3,0,0,'Données projet'!$E$10+1,1))-AVERAGE(OFFSET($H$3,0,0,'Données projet'!$E$10+1,1))</f>
        <v>210.04871822652808</v>
      </c>
      <c r="AO63" s="59">
        <f t="shared" si="36"/>
        <v>250.17540614049324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4.030471185738028</v>
      </c>
      <c r="AV63" s="21">
        <f>EXP(-LN(2)/25)*AV62+(1-EXP(-LN(2)/25))/(LN(2)/25)*Calculateur!AQ63*Calculateur!AS63*VLOOKUP('Données projet'!$B$10,Paramètres!$A$1:$I$89,3,0)*0.475*44/12</f>
        <v>12.114021693810676</v>
      </c>
      <c r="AW63" s="21">
        <f>EXP(-LN(2)/2)*AW62+(1-EXP(-LN(2)/2))/(LN(2)/2)*AQ63*AT63*VLOOKUP('Données projet'!$B$10,Paramètres!$A$1:$I$89,3,0)*0.475*44/12</f>
        <v>6.577724834396872E-4</v>
      </c>
      <c r="AX63" s="21">
        <f t="shared" si="6"/>
        <v>16.145150652032143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508</v>
      </c>
      <c r="BB63" s="12">
        <f>VLOOKUP(A63,'Données projet'!$A$87:$I$107,9,0)</f>
        <v>18</v>
      </c>
      <c r="BC63" s="12">
        <f t="array" ref="BC63">INDEX(BB:BB,MIN(IF(ISNUMBER(BB63:BB259),ROW(BB63:BB259),"")))</f>
        <v>18</v>
      </c>
      <c r="BD63" s="12">
        <f>IF('Données projet'!$A$88&gt;35,BD62+BC63-BL62,IF(A63&lt;'Données projet'!$A$88,$BA$205^A63,IF(A63='Données projet'!$A$88,'Données projet'!$B$88,BD62+BC63-BL62)))</f>
        <v>507.99999999999972</v>
      </c>
      <c r="BE63" s="13">
        <f>BD63*VLOOKUP('Données projet'!$B$11,Paramètres!$A$1:$I$89,3,0)*VLOOKUP('Données projet'!$B$11,Paramètres!$A$1:$I$89,5,0)</f>
        <v>303.78399999999988</v>
      </c>
      <c r="BF63" s="13">
        <f t="shared" si="37"/>
        <v>71.969155598417572</v>
      </c>
      <c r="BG63" s="20">
        <f t="shared" si="7"/>
        <v>654.43674600057705</v>
      </c>
      <c r="BH63" s="59">
        <f t="shared" si="8"/>
        <v>947.77007933391042</v>
      </c>
      <c r="BI63" s="59">
        <f ca="1">AVERAGE(OFFSET($BH$3,0,0,'Données projet'!$E$11+1,1))-AVERAGE(OFFSET($H$3,0,0,'Données projet'!$E$11+1,1))</f>
        <v>316.58509520829671</v>
      </c>
      <c r="BJ63" s="59">
        <f t="shared" si="38"/>
        <v>240.71332110643596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1.3991835557632231</v>
      </c>
      <c r="BQ63" s="21">
        <f>EXP(-LN(2)/25)*BQ62+(1-EXP(-LN(2)/25))/(LN(2)/25)*Calculateur!BL63*Calculateur!BN63*VLOOKUP('Données projet'!$B$11,Paramètres!$A$1:$I$89,3,0)*0.475*44/12</f>
        <v>6.6457511034891956</v>
      </c>
      <c r="BR63" s="21">
        <f>EXP(-LN(2)/2)*BR62+(1-EXP(-LN(2)/2))/(LN(2)/2)*BL63*BO63*VLOOKUP('Données projet'!$B$11,Paramètres!$A$1:$I$89,3,0)*0.475*44/12</f>
        <v>6.6953561615420033E-4</v>
      </c>
      <c r="BS63" s="22">
        <f t="shared" si="9"/>
        <v>8.0456041948685737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310</v>
      </c>
      <c r="BW63" s="12">
        <f>VLOOKUP(A63,'Données projet'!$A$113:$I$133,9,0)</f>
        <v>6.8</v>
      </c>
      <c r="BX63" s="12">
        <f t="array" ref="BX63">INDEX(BW:BW,MIN(IF(ISNUMBER(BW63:BW259),ROW(BW63:BW259),"")))</f>
        <v>6.8</v>
      </c>
      <c r="BY63" s="12">
        <f>IF('Données projet'!$A$114&gt;35,BY62+BX63-CG62,IF(A63&lt;'Données projet'!$A$114,$BV$205^A63,IF(A63='Données projet'!$A$114,'Données projet'!$B$114,BY62+BX63-CG62)))</f>
        <v>309.99999999999994</v>
      </c>
      <c r="BZ63" s="13">
        <f>BY63*VLOOKUP('Données projet'!$B$12,Paramètres!$A$1:$I$89,3,0)*VLOOKUP('Données projet'!$B$12,Paramètres!$A$1:$I$89,5,0)</f>
        <v>246.63599999999997</v>
      </c>
      <c r="CA63" s="13">
        <f t="shared" si="39"/>
        <v>59.865023903294535</v>
      </c>
      <c r="CB63" s="20">
        <f t="shared" si="10"/>
        <v>533.82261663157112</v>
      </c>
      <c r="CC63" s="59">
        <f t="shared" si="11"/>
        <v>827.15594996490449</v>
      </c>
      <c r="CD63" s="59">
        <f ca="1">AVERAGE(OFFSET($CC$3,0,0,'Données projet'!$E$12+1,1))-AVERAGE(OFFSET($H$3,0,0,'Données projet'!$E$12+1,1))</f>
        <v>260.20517190557814</v>
      </c>
      <c r="CE63" s="59">
        <f t="shared" si="40"/>
        <v>307.22009971147133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30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1.8013167352926416</v>
      </c>
      <c r="CL63" s="21">
        <f>EXP(-LN(2)/25)*CL62+(1-EXP(-LN(2)/25))/(LN(2)/25)*Calculateur!CG63*Calculateur!CI63*VLOOKUP('Données projet'!$B$12,Paramètres!$A$1:$I$89,3,0)*0.475*44/12</f>
        <v>8.9316758553423554</v>
      </c>
      <c r="CM63" s="21">
        <f>EXP(-LN(2)/2)*CM62+(1-EXP(-LN(2)/2))/(LN(2)/2)*CG63*CJ63*VLOOKUP('Données projet'!$B$12,Paramètres!$A$1:$I$89,3,0)*0.475*44/12</f>
        <v>7.3361310585807148E-4</v>
      </c>
      <c r="CN63" s="22">
        <f t="shared" si="12"/>
        <v>10.733726203740854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272</v>
      </c>
      <c r="CR63" s="12">
        <f>VLOOKUP(A63,'Données projet'!$A$139:$I$159,9,0)</f>
        <v>10.8</v>
      </c>
      <c r="CS63" s="12">
        <f t="array" ref="CS63">INDEX(CR:CR,MIN(IF(ISNUMBER(CR63:CR259),ROW(CR63:CR259),"")))</f>
        <v>10.8</v>
      </c>
      <c r="CT63" s="12">
        <f>IF('Données projet'!$A$140&gt;35,CT62+CS63-DB62,IF(A63&lt;'Données projet'!$A$140,$CQ$205^A63,IF(A63='Données projet'!$A$140,'Données projet'!$B$140,CT62+CS63-DB62)))</f>
        <v>271.99999999999994</v>
      </c>
      <c r="CU63" s="17">
        <f>CT63*VLOOKUP('Données projet'!$B$13,Paramètres!$A$1:$I$89,3,0)*VLOOKUP('Données projet'!$B$13,Paramètres!$A$1:$I$89,5,0)</f>
        <v>233.376</v>
      </c>
      <c r="CV63" s="13">
        <f t="shared" si="41"/>
        <v>57.012031446990107</v>
      </c>
      <c r="CW63" s="20">
        <f t="shared" si="13"/>
        <v>505.75915477017446</v>
      </c>
      <c r="CX63" s="59">
        <f t="shared" si="14"/>
        <v>799.09248810350778</v>
      </c>
      <c r="CY63" s="59">
        <f ca="1">AVERAGE(OFFSET($CX$3,0,0,'Données projet'!$E$13+1,1))-AVERAGE(OFFSET($H$3,0,0,'Données projet'!$E$13+1,1))</f>
        <v>310.4018929413723</v>
      </c>
      <c r="CZ63" s="59">
        <f t="shared" si="42"/>
        <v>127.5231137583819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69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2.5626490607405623</v>
      </c>
      <c r="DH63" s="21">
        <f>EXP(-LN(2)/2)*DH62+(1-EXP(-LN(2)/2))/(LN(2)/2)*DB63*DE63*VLOOKUP('Données projet'!$B$13,Paramètres!$A$1:$I$89,3,0)*0.475*44/12</f>
        <v>2.7253129075450181E-4</v>
      </c>
      <c r="DI63" s="22">
        <f t="shared" si="15"/>
        <v>2.5629215920313166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>
        <f>DO63*VLOOKUP('Données projet'!$B$14,Paramètres!$A$1:$I$89,3,0)*VLOOKUP('Données projet'!$B$14,Paramètres!$A$1:$I$89,5,0)</f>
        <v>227.29199999999994</v>
      </c>
      <c r="DQ63" s="13">
        <f t="shared" si="43"/>
        <v>55.6967456174837</v>
      </c>
      <c r="DR63" s="20">
        <f t="shared" si="16"/>
        <v>492.87206528378402</v>
      </c>
      <c r="DS63" s="59">
        <f t="shared" si="17"/>
        <v>786.20539861711734</v>
      </c>
      <c r="DT63" s="59">
        <f ca="1">AVERAGE(OFFSET($DS$3,0,0,'Données projet'!$E$14+1,1))-AVERAGE(OFFSET($H$3,0,0,'Données projet'!$E$14+1,1))</f>
        <v>234.09142087023463</v>
      </c>
      <c r="DU63" s="59">
        <f t="shared" si="44"/>
        <v>278.990685815294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30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1.3468224646786642</v>
      </c>
      <c r="EB63" s="21">
        <f>EXP(-LN(2)/25)*EB62+(1-EXP(-LN(2)/25))/(LN(2)/25)*Calculateur!DW63*Calculateur!DY63*VLOOKUP('Données projet'!$B$14,Paramètres!$A$1:$I$89,3,0)*0.475*44/12</f>
        <v>6.6781046628364429</v>
      </c>
      <c r="EC63" s="21">
        <f>EXP(-LN(2)/2)*EC62+(1-EXP(-LN(2)/2))/(LN(2)/2)*DW63*DZ63*VLOOKUP('Données projet'!$B$14,Paramètres!$A$1:$I$89,3,0)*0.475*44/12</f>
        <v>6.7607482304567527E-4</v>
      </c>
      <c r="ED63" s="22">
        <f t="shared" si="18"/>
        <v>8.0256032023381536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334.50000000000023</v>
      </c>
      <c r="AJ64" s="13">
        <f>AI64*VLOOKUP('Données projet'!$B$10,Paramètres!$A$1:$I$89,3,0)*VLOOKUP('Données projet'!$B$10,Paramètres!$A$1:$I$89,5,0)</f>
        <v>182.63700000000014</v>
      </c>
      <c r="AK64" s="13">
        <f t="shared" si="35"/>
        <v>45.908372564566413</v>
      </c>
      <c r="AL64" s="20">
        <f t="shared" si="4"/>
        <v>398.04985721662001</v>
      </c>
      <c r="AM64" s="59">
        <f t="shared" si="5"/>
        <v>691.38319054995327</v>
      </c>
      <c r="AN64" s="59">
        <f ca="1">AVERAGE(OFFSET($AM$3,0,0,'Données projet'!$E$10+1,1))-AVERAGE(OFFSET($H$3,0,0,'Données projet'!$E$10+1,1))</f>
        <v>210.04871822652808</v>
      </c>
      <c r="AO64" s="59">
        <f t="shared" si="36"/>
        <v>250.17540614049324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3.9514361041303872</v>
      </c>
      <c r="AV64" s="21">
        <f>EXP(-LN(2)/25)*AV63+(1-EXP(-LN(2)/25))/(LN(2)/25)*Calculateur!AQ64*Calculateur!AS64*VLOOKUP('Données projet'!$B$10,Paramètres!$A$1:$I$89,3,0)*0.475*44/12</f>
        <v>11.782763133544709</v>
      </c>
      <c r="AW64" s="21">
        <f>EXP(-LN(2)/2)*AW63+(1-EXP(-LN(2)/2))/(LN(2)/2)*AQ64*AT64*VLOOKUP('Données projet'!$B$10,Paramètres!$A$1:$I$89,3,0)*0.475*44/12</f>
        <v>4.651153835181189E-4</v>
      </c>
      <c r="AX64" s="21">
        <f t="shared" si="6"/>
        <v>15.734664353058614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16.399999999999999</v>
      </c>
      <c r="BD64" s="12">
        <f>IF('Données projet'!$A$88&gt;35,BD63+BC64-BL63,IF(A64&lt;'Données projet'!$A$88,$BA$205^A64,IF(A64='Données projet'!$A$88,'Données projet'!$B$88,BD63+BC64-BL63)))</f>
        <v>416.39999999999975</v>
      </c>
      <c r="BE64" s="13">
        <f>BD64*VLOOKUP('Données projet'!$B$11,Paramètres!$A$1:$I$89,3,0)*VLOOKUP('Données projet'!$B$11,Paramètres!$A$1:$I$89,5,0)</f>
        <v>249.00719999999987</v>
      </c>
      <c r="BF64" s="13">
        <f t="shared" si="37"/>
        <v>60.373298466513951</v>
      </c>
      <c r="BG64" s="20">
        <f t="shared" si="7"/>
        <v>538.83770149584484</v>
      </c>
      <c r="BH64" s="59">
        <f t="shared" si="8"/>
        <v>832.1710348291781</v>
      </c>
      <c r="BI64" s="59">
        <f ca="1">AVERAGE(OFFSET($BH$3,0,0,'Données projet'!$E$11+1,1))-AVERAGE(OFFSET($H$3,0,0,'Données projet'!$E$11+1,1))</f>
        <v>316.58509520829671</v>
      </c>
      <c r="BJ64" s="59">
        <f t="shared" si="38"/>
        <v>240.71332110643596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1.3717464196524072</v>
      </c>
      <c r="BQ64" s="21">
        <f>EXP(-LN(2)/25)*BQ63+(1-EXP(-LN(2)/25))/(LN(2)/25)*Calculateur!BL64*Calculateur!BN64*VLOOKUP('Données projet'!$B$11,Paramètres!$A$1:$I$89,3,0)*0.475*44/12</f>
        <v>6.464022690079422</v>
      </c>
      <c r="BR64" s="21">
        <f>EXP(-LN(2)/2)*BR63+(1-EXP(-LN(2)/2))/(LN(2)/2)*BL64*BO64*VLOOKUP('Données projet'!$B$11,Paramètres!$A$1:$I$89,3,0)*0.475*44/12</f>
        <v>4.7343317442854842E-4</v>
      </c>
      <c r="BS64" s="22">
        <f t="shared" si="9"/>
        <v>7.8362425429062572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284.89999999999992</v>
      </c>
      <c r="BZ64" s="13">
        <f>BY64*VLOOKUP('Données projet'!$B$12,Paramètres!$A$1:$I$89,3,0)*VLOOKUP('Données projet'!$B$12,Paramètres!$A$1:$I$89,5,0)</f>
        <v>226.66643999999994</v>
      </c>
      <c r="CA64" s="13">
        <f t="shared" si="39"/>
        <v>55.561276600641385</v>
      </c>
      <c r="CB64" s="20">
        <f t="shared" si="10"/>
        <v>491.5466064127836</v>
      </c>
      <c r="CC64" s="59">
        <f t="shared" si="11"/>
        <v>784.87993974611686</v>
      </c>
      <c r="CD64" s="59">
        <f ca="1">AVERAGE(OFFSET($CC$3,0,0,'Données projet'!$E$12+1,1))-AVERAGE(OFFSET($H$3,0,0,'Données projet'!$E$12+1,1))</f>
        <v>260.20517190557814</v>
      </c>
      <c r="CE64" s="59">
        <f t="shared" si="40"/>
        <v>307.22009971147133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1.7659940128082743</v>
      </c>
      <c r="CL64" s="21">
        <f>EXP(-LN(2)/25)*CL63+(1-EXP(-LN(2)/25))/(LN(2)/25)*Calculateur!CG64*Calculateur!CI64*VLOOKUP('Données projet'!$B$12,Paramètres!$A$1:$I$89,3,0)*0.475*44/12</f>
        <v>8.687438709381599</v>
      </c>
      <c r="CM64" s="21">
        <f>EXP(-LN(2)/2)*CM63+(1-EXP(-LN(2)/2))/(LN(2)/2)*CG64*CJ64*VLOOKUP('Données projet'!$B$12,Paramètres!$A$1:$I$89,3,0)*0.475*44/12</f>
        <v>5.1874280191956687E-4</v>
      </c>
      <c r="CN64" s="22">
        <f t="shared" si="12"/>
        <v>10.453951464991793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10.7</v>
      </c>
      <c r="CT64" s="12">
        <f>IF('Données projet'!$A$140&gt;35,CT63+CS64-DB63,IF(A64&lt;'Données projet'!$A$140,$CQ$205^A64,IF(A64='Données projet'!$A$140,'Données projet'!$B$140,CT63+CS64-DB63)))</f>
        <v>213.69999999999993</v>
      </c>
      <c r="CU64" s="17">
        <f>CT64*VLOOKUP('Données projet'!$B$13,Paramètres!$A$1:$I$89,3,0)*VLOOKUP('Données projet'!$B$13,Paramètres!$A$1:$I$89,5,0)</f>
        <v>183.35459999999995</v>
      </c>
      <c r="CV64" s="13">
        <f t="shared" si="41"/>
        <v>46.067718904183039</v>
      </c>
      <c r="CW64" s="20">
        <f t="shared" si="13"/>
        <v>399.57720542478529</v>
      </c>
      <c r="CX64" s="59">
        <f t="shared" si="14"/>
        <v>692.91053875811861</v>
      </c>
      <c r="CY64" s="59">
        <f ca="1">AVERAGE(OFFSET($CX$3,0,0,'Données projet'!$E$13+1,1))-AVERAGE(OFFSET($H$3,0,0,'Données projet'!$E$13+1,1))</f>
        <v>310.4018929413723</v>
      </c>
      <c r="CZ64" s="59">
        <f t="shared" si="42"/>
        <v>127.5231137583819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2.4925732874107545</v>
      </c>
      <c r="DH64" s="21">
        <f>EXP(-LN(2)/2)*DH63+(1-EXP(-LN(2)/2))/(LN(2)/2)*DB64*DE64*VLOOKUP('Données projet'!$B$13,Paramètres!$A$1:$I$89,3,0)*0.475*44/12</f>
        <v>1.9270872377803088E-4</v>
      </c>
      <c r="DI64" s="22">
        <f t="shared" si="15"/>
        <v>2.4927659961345325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>
        <f>DO64*VLOOKUP('Données projet'!$B$14,Paramètres!$A$1:$I$89,3,0)*VLOOKUP('Données projet'!$B$14,Paramètres!$A$1:$I$89,5,0)</f>
        <v>208.88867999999994</v>
      </c>
      <c r="DQ64" s="13">
        <f t="shared" si="43"/>
        <v>51.692659373318428</v>
      </c>
      <c r="DR64" s="20">
        <f t="shared" si="16"/>
        <v>453.84583274186275</v>
      </c>
      <c r="DS64" s="59">
        <f t="shared" si="17"/>
        <v>747.17916607519601</v>
      </c>
      <c r="DT64" s="59">
        <f ca="1">AVERAGE(OFFSET($DS$3,0,0,'Données projet'!$E$14+1,1))-AVERAGE(OFFSET($H$3,0,0,'Données projet'!$E$14+1,1))</f>
        <v>234.09142087023463</v>
      </c>
      <c r="DU64" s="59">
        <f t="shared" si="44"/>
        <v>278.990685815294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1.3204120976269045</v>
      </c>
      <c r="EB64" s="21">
        <f>EXP(-LN(2)/25)*EB63+(1-EXP(-LN(2)/25))/(LN(2)/25)*Calculateur!DW64*Calculateur!DY64*VLOOKUP('Données projet'!$B$14,Paramètres!$A$1:$I$89,3,0)*0.475*44/12</f>
        <v>6.4954915396449193</v>
      </c>
      <c r="EC64" s="21">
        <f>EXP(-LN(2)/2)*EC63+(1-EXP(-LN(2)/2))/(LN(2)/2)*DW64*DZ64*VLOOKUP('Données projet'!$B$14,Paramètres!$A$1:$I$89,3,0)*0.475*44/12</f>
        <v>4.7805709196509217E-4</v>
      </c>
      <c r="ED64" s="22">
        <f t="shared" si="18"/>
        <v>7.8163816943637885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343.00000000000023</v>
      </c>
      <c r="AJ65" s="13">
        <f>AI65*VLOOKUP('Données projet'!$B$10,Paramètres!$A$1:$I$89,3,0)*VLOOKUP('Données projet'!$B$10,Paramètres!$A$1:$I$89,5,0)</f>
        <v>187.27800000000013</v>
      </c>
      <c r="AK65" s="13">
        <f t="shared" si="35"/>
        <v>46.937652831145158</v>
      </c>
      <c r="AL65" s="20">
        <f t="shared" si="4"/>
        <v>407.92559534757805</v>
      </c>
      <c r="AM65" s="59">
        <f t="shared" si="5"/>
        <v>701.25892868091137</v>
      </c>
      <c r="AN65" s="59">
        <f ca="1">AVERAGE(OFFSET($AM$3,0,0,'Données projet'!$E$10+1,1))-AVERAGE(OFFSET($H$3,0,0,'Données projet'!$E$10+1,1))</f>
        <v>210.04871822652808</v>
      </c>
      <c r="AO65" s="59">
        <f t="shared" si="36"/>
        <v>250.17540614049324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3.8739508522664323</v>
      </c>
      <c r="AV65" s="21">
        <f>EXP(-LN(2)/25)*AV64+(1-EXP(-LN(2)/25))/(LN(2)/25)*Calculateur!AQ65*Calculateur!AS65*VLOOKUP('Données projet'!$B$10,Paramètres!$A$1:$I$89,3,0)*0.475*44/12</f>
        <v>11.460562856029345</v>
      </c>
      <c r="AW65" s="21">
        <f>EXP(-LN(2)/2)*AW64+(1-EXP(-LN(2)/2))/(LN(2)/2)*AQ65*AT65*VLOOKUP('Données projet'!$B$10,Paramètres!$A$1:$I$89,3,0)*0.475*44/12</f>
        <v>3.2888624171984365E-4</v>
      </c>
      <c r="AX65" s="21">
        <f t="shared" si="6"/>
        <v>15.334842594537497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16.399999999999999</v>
      </c>
      <c r="BD65" s="12">
        <f>IF('Données projet'!$A$88&gt;35,BD64+BC65-BL64,IF(A65&lt;'Données projet'!$A$88,$BA$205^A65,IF(A65='Données projet'!$A$88,'Données projet'!$B$88,BD64+BC65-BL64)))</f>
        <v>432.79999999999973</v>
      </c>
      <c r="BE65" s="13">
        <f>BD65*VLOOKUP('Données projet'!$B$11,Paramètres!$A$1:$I$89,3,0)*VLOOKUP('Données projet'!$B$11,Paramètres!$A$1:$I$89,5,0)</f>
        <v>258.81439999999986</v>
      </c>
      <c r="BF65" s="13">
        <f t="shared" si="37"/>
        <v>62.469588762855253</v>
      </c>
      <c r="BG65" s="20">
        <f t="shared" si="7"/>
        <v>559.56961376197262</v>
      </c>
      <c r="BH65" s="59">
        <f t="shared" si="8"/>
        <v>852.90294709530599</v>
      </c>
      <c r="BI65" s="59">
        <f ca="1">AVERAGE(OFFSET($BH$3,0,0,'Données projet'!$E$11+1,1))-AVERAGE(OFFSET($H$3,0,0,'Données projet'!$E$11+1,1))</f>
        <v>316.58509520829671</v>
      </c>
      <c r="BJ65" s="59">
        <f t="shared" si="38"/>
        <v>240.71332110643596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1.3448473090457238</v>
      </c>
      <c r="BQ65" s="21">
        <f>EXP(-LN(2)/25)*BQ64+(1-EXP(-LN(2)/25))/(LN(2)/25)*Calculateur!BL65*Calculateur!BN65*VLOOKUP('Données projet'!$B$11,Paramètres!$A$1:$I$89,3,0)*0.475*44/12</f>
        <v>6.2872636496910204</v>
      </c>
      <c r="BR65" s="21">
        <f>EXP(-LN(2)/2)*BR64+(1-EXP(-LN(2)/2))/(LN(2)/2)*BL65*BO65*VLOOKUP('Données projet'!$B$11,Paramètres!$A$1:$I$89,3,0)*0.475*44/12</f>
        <v>3.3476780807710022E-4</v>
      </c>
      <c r="BS65" s="22">
        <f t="shared" si="9"/>
        <v>7.6324457265448213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289.7999999999999</v>
      </c>
      <c r="BZ65" s="13">
        <f>BY65*VLOOKUP('Données projet'!$B$12,Paramètres!$A$1:$I$89,3,0)*VLOOKUP('Données projet'!$B$12,Paramètres!$A$1:$I$89,5,0)</f>
        <v>230.56487999999993</v>
      </c>
      <c r="CA65" s="13">
        <f t="shared" si="39"/>
        <v>56.404804351341944</v>
      </c>
      <c r="CB65" s="20">
        <f t="shared" si="10"/>
        <v>499.80553357858707</v>
      </c>
      <c r="CC65" s="59">
        <f t="shared" si="11"/>
        <v>793.13886691192033</v>
      </c>
      <c r="CD65" s="59">
        <f ca="1">AVERAGE(OFFSET($CC$3,0,0,'Données projet'!$E$12+1,1))-AVERAGE(OFFSET($H$3,0,0,'Données projet'!$E$12+1,1))</f>
        <v>260.20517190557814</v>
      </c>
      <c r="CE65" s="59">
        <f t="shared" si="40"/>
        <v>307.22009971147133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1.7313639473670921</v>
      </c>
      <c r="CL65" s="21">
        <f>EXP(-LN(2)/25)*CL64+(1-EXP(-LN(2)/25))/(LN(2)/25)*Calculateur!CG65*Calculateur!CI65*VLOOKUP('Données projet'!$B$12,Paramètres!$A$1:$I$89,3,0)*0.475*44/12</f>
        <v>8.4498802410210132</v>
      </c>
      <c r="CM65" s="21">
        <f>EXP(-LN(2)/2)*CM64+(1-EXP(-LN(2)/2))/(LN(2)/2)*CG65*CJ65*VLOOKUP('Données projet'!$B$12,Paramètres!$A$1:$I$89,3,0)*0.475*44/12</f>
        <v>3.6680655292903574E-4</v>
      </c>
      <c r="CN65" s="22">
        <f t="shared" si="12"/>
        <v>10.181610994941034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10.7</v>
      </c>
      <c r="CT65" s="12">
        <f>IF('Données projet'!$A$140&gt;35,CT64+CS65-DB64,IF(A65&lt;'Données projet'!$A$140,$CQ$205^A65,IF(A65='Données projet'!$A$140,'Données projet'!$B$140,CT64+CS65-DB64)))</f>
        <v>224.39999999999992</v>
      </c>
      <c r="CU65" s="17">
        <f>CT65*VLOOKUP('Données projet'!$B$13,Paramètres!$A$1:$I$89,3,0)*VLOOKUP('Données projet'!$B$13,Paramètres!$A$1:$I$89,5,0)</f>
        <v>192.53519999999997</v>
      </c>
      <c r="CV65" s="13">
        <f t="shared" si="41"/>
        <v>48.100016456123079</v>
      </c>
      <c r="CW65" s="20">
        <f t="shared" si="13"/>
        <v>419.10633532774767</v>
      </c>
      <c r="CX65" s="59">
        <f t="shared" si="14"/>
        <v>712.43966866108099</v>
      </c>
      <c r="CY65" s="59">
        <f ca="1">AVERAGE(OFFSET($CX$3,0,0,'Données projet'!$E$13+1,1))-AVERAGE(OFFSET($H$3,0,0,'Données projet'!$E$13+1,1))</f>
        <v>310.4018929413723</v>
      </c>
      <c r="CZ65" s="59">
        <f t="shared" si="42"/>
        <v>127.5231137583819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2.424413739787775</v>
      </c>
      <c r="DH65" s="21">
        <f>EXP(-LN(2)/2)*DH64+(1-EXP(-LN(2)/2))/(LN(2)/2)*DB65*DE65*VLOOKUP('Données projet'!$B$13,Paramètres!$A$1:$I$89,3,0)*0.475*44/12</f>
        <v>1.3626564537725091E-4</v>
      </c>
      <c r="DI65" s="22">
        <f t="shared" si="15"/>
        <v>2.4245500054331521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>
        <f>DO65*VLOOKUP('Données projet'!$B$14,Paramètres!$A$1:$I$89,3,0)*VLOOKUP('Données projet'!$B$14,Paramètres!$A$1:$I$89,5,0)</f>
        <v>212.48135999999991</v>
      </c>
      <c r="DQ65" s="13">
        <f t="shared" si="43"/>
        <v>52.477454024498286</v>
      </c>
      <c r="DR65" s="20">
        <f t="shared" si="16"/>
        <v>461.46993442600098</v>
      </c>
      <c r="DS65" s="59">
        <f t="shared" si="17"/>
        <v>754.80326775933429</v>
      </c>
      <c r="DT65" s="59">
        <f ca="1">AVERAGE(OFFSET($DS$3,0,0,'Données projet'!$E$14+1,1))-AVERAGE(OFFSET($H$3,0,0,'Données projet'!$E$14+1,1))</f>
        <v>234.09142087023463</v>
      </c>
      <c r="DU65" s="59">
        <f t="shared" si="44"/>
        <v>278.990685815294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1.2945196217642965</v>
      </c>
      <c r="EB65" s="21">
        <f>EXP(-LN(2)/25)*EB64+(1-EXP(-LN(2)/25))/(LN(2)/25)*Calculateur!DW65*Calculateur!DY65*VLOOKUP('Données projet'!$B$14,Paramètres!$A$1:$I$89,3,0)*0.475*44/12</f>
        <v>6.3178719819102742</v>
      </c>
      <c r="EC65" s="21">
        <f>EXP(-LN(2)/2)*EC64+(1-EXP(-LN(2)/2))/(LN(2)/2)*DW65*DZ65*VLOOKUP('Données projet'!$B$14,Paramètres!$A$1:$I$89,3,0)*0.475*44/12</f>
        <v>3.3803741152283769E-4</v>
      </c>
      <c r="ED65" s="22">
        <f t="shared" si="18"/>
        <v>7.6127296410860934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351.50000000000023</v>
      </c>
      <c r="AJ66" s="13">
        <f>AI66*VLOOKUP('Données projet'!$B$10,Paramètres!$A$1:$I$89,3,0)*VLOOKUP('Données projet'!$B$10,Paramètres!$A$1:$I$89,5,0)</f>
        <v>191.91900000000012</v>
      </c>
      <c r="AK66" s="13">
        <f t="shared" si="35"/>
        <v>47.963968046563231</v>
      </c>
      <c r="AL66" s="20">
        <f t="shared" si="4"/>
        <v>417.79616934776453</v>
      </c>
      <c r="AM66" s="59">
        <f t="shared" si="5"/>
        <v>711.12950268109785</v>
      </c>
      <c r="AN66" s="59">
        <f ca="1">AVERAGE(OFFSET($AM$3,0,0,'Données projet'!$E$10+1,1))-AVERAGE(OFFSET($H$3,0,0,'Données projet'!$E$10+1,1))</f>
        <v>210.04871822652808</v>
      </c>
      <c r="AO66" s="59">
        <f t="shared" si="36"/>
        <v>250.17540614049324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3.7979850389301926</v>
      </c>
      <c r="AV66" s="21">
        <f>EXP(-LN(2)/25)*AV65+(1-EXP(-LN(2)/25))/(LN(2)/25)*Calculateur!AQ66*Calculateur!AS66*VLOOKUP('Données projet'!$B$10,Paramètres!$A$1:$I$89,3,0)*0.475*44/12</f>
        <v>11.147173162046416</v>
      </c>
      <c r="AW66" s="21">
        <f>EXP(-LN(2)/2)*AW65+(1-EXP(-LN(2)/2))/(LN(2)/2)*AQ66*AT66*VLOOKUP('Données projet'!$B$10,Paramètres!$A$1:$I$89,3,0)*0.475*44/12</f>
        <v>2.3255769175905947E-4</v>
      </c>
      <c r="AX66" s="21">
        <f t="shared" si="6"/>
        <v>14.945390758668369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16.399999999999999</v>
      </c>
      <c r="BD66" s="12">
        <f>IF('Données projet'!$A$88&gt;35,BD65+BC66-BL65,IF(A66&lt;'Données projet'!$A$88,$BA$205^A66,IF(A66='Données projet'!$A$88,'Données projet'!$B$88,BD65+BC66-BL65)))</f>
        <v>449.1999999999997</v>
      </c>
      <c r="BE66" s="13">
        <f>BD66*VLOOKUP('Données projet'!$B$11,Paramètres!$A$1:$I$89,3,0)*VLOOKUP('Données projet'!$B$11,Paramètres!$A$1:$I$89,5,0)</f>
        <v>268.62159999999983</v>
      </c>
      <c r="BF66" s="13">
        <f t="shared" si="37"/>
        <v>64.556650936372577</v>
      </c>
      <c r="BG66" s="20">
        <f t="shared" si="7"/>
        <v>580.28545371418193</v>
      </c>
      <c r="BH66" s="59">
        <f t="shared" si="8"/>
        <v>873.6187870475153</v>
      </c>
      <c r="BI66" s="59">
        <f ca="1">AVERAGE(OFFSET($BH$3,0,0,'Données projet'!$E$11+1,1))-AVERAGE(OFFSET($H$3,0,0,'Données projet'!$E$11+1,1))</f>
        <v>316.58509520829671</v>
      </c>
      <c r="BJ66" s="59">
        <f t="shared" si="38"/>
        <v>240.71332110643596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1.3184756735912002</v>
      </c>
      <c r="BQ66" s="21">
        <f>EXP(-LN(2)/25)*BQ65+(1-EXP(-LN(2)/25))/(LN(2)/25)*Calculateur!BL66*Calculateur!BN66*VLOOKUP('Données projet'!$B$11,Paramètres!$A$1:$I$89,3,0)*0.475*44/12</f>
        <v>6.1153380945573934</v>
      </c>
      <c r="BR66" s="21">
        <f>EXP(-LN(2)/2)*BR65+(1-EXP(-LN(2)/2))/(LN(2)/2)*BL66*BO66*VLOOKUP('Données projet'!$B$11,Paramètres!$A$1:$I$89,3,0)*0.475*44/12</f>
        <v>2.3671658721427426E-4</v>
      </c>
      <c r="BS66" s="22">
        <f t="shared" si="9"/>
        <v>7.434050484735808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294.69999999999987</v>
      </c>
      <c r="BZ66" s="13">
        <f>BY66*VLOOKUP('Données projet'!$B$12,Paramètres!$A$1:$I$89,3,0)*VLOOKUP('Données projet'!$B$12,Paramètres!$A$1:$I$89,5,0)</f>
        <v>234.46331999999992</v>
      </c>
      <c r="CA66" s="13">
        <f t="shared" si="39"/>
        <v>57.24667349069928</v>
      </c>
      <c r="CB66" s="20">
        <f t="shared" si="10"/>
        <v>508.06157199630115</v>
      </c>
      <c r="CC66" s="59">
        <f t="shared" si="11"/>
        <v>801.39490532963441</v>
      </c>
      <c r="CD66" s="59">
        <f ca="1">AVERAGE(OFFSET($CC$3,0,0,'Données projet'!$E$12+1,1))-AVERAGE(OFFSET($H$3,0,0,'Données projet'!$E$12+1,1))</f>
        <v>260.20517190557814</v>
      </c>
      <c r="CE66" s="59">
        <f t="shared" si="40"/>
        <v>307.22009971147133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1.6974129563869573</v>
      </c>
      <c r="CL66" s="21">
        <f>EXP(-LN(2)/25)*CL65+(1-EXP(-LN(2)/25))/(LN(2)/25)*Calculateur!CG66*Calculateur!CI66*VLOOKUP('Données projet'!$B$12,Paramètres!$A$1:$I$89,3,0)*0.475*44/12</f>
        <v>8.2188178214704042</v>
      </c>
      <c r="CM66" s="21">
        <f>EXP(-LN(2)/2)*CM65+(1-EXP(-LN(2)/2))/(LN(2)/2)*CG66*CJ66*VLOOKUP('Données projet'!$B$12,Paramètres!$A$1:$I$89,3,0)*0.475*44/12</f>
        <v>2.5937140095978344E-4</v>
      </c>
      <c r="CN66" s="22">
        <f t="shared" si="12"/>
        <v>9.9164901492583208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10.7</v>
      </c>
      <c r="CT66" s="12">
        <f>IF('Données projet'!$A$140&gt;35,CT65+CS66-DB65,IF(A66&lt;'Données projet'!$A$140,$CQ$205^A66,IF(A66='Données projet'!$A$140,'Données projet'!$B$140,CT65+CS66-DB65)))</f>
        <v>235.09999999999991</v>
      </c>
      <c r="CU66" s="17">
        <f>CT66*VLOOKUP('Données projet'!$B$13,Paramètres!$A$1:$I$89,3,0)*VLOOKUP('Données projet'!$B$13,Paramètres!$A$1:$I$89,5,0)</f>
        <v>201.71579999999992</v>
      </c>
      <c r="CV66" s="13">
        <f t="shared" si="41"/>
        <v>50.121060955977455</v>
      </c>
      <c r="CW66" s="20">
        <f t="shared" si="13"/>
        <v>438.61586616499397</v>
      </c>
      <c r="CX66" s="59">
        <f t="shared" si="14"/>
        <v>731.94919949832729</v>
      </c>
      <c r="CY66" s="59">
        <f ca="1">AVERAGE(OFFSET($CX$3,0,0,'Données projet'!$E$13+1,1))-AVERAGE(OFFSET($H$3,0,0,'Données projet'!$E$13+1,1))</f>
        <v>310.4018929413723</v>
      </c>
      <c r="CZ66" s="59">
        <f t="shared" si="42"/>
        <v>127.5231137583819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2.3581180185789008</v>
      </c>
      <c r="DH66" s="21">
        <f>EXP(-LN(2)/2)*DH65+(1-EXP(-LN(2)/2))/(LN(2)/2)*DB66*DE66*VLOOKUP('Données projet'!$B$13,Paramètres!$A$1:$I$89,3,0)*0.475*44/12</f>
        <v>9.6354361889015438E-5</v>
      </c>
      <c r="DI66" s="22">
        <f t="shared" si="15"/>
        <v>2.3582143729407896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>
        <f>DO66*VLOOKUP('Données projet'!$B$14,Paramètres!$A$1:$I$89,3,0)*VLOOKUP('Données projet'!$B$14,Paramètres!$A$1:$I$89,5,0)</f>
        <v>216.07403999999988</v>
      </c>
      <c r="DQ66" s="13">
        <f t="shared" si="43"/>
        <v>53.260705550025733</v>
      </c>
      <c r="DR66" s="20">
        <f t="shared" si="16"/>
        <v>469.09134849962794</v>
      </c>
      <c r="DS66" s="59">
        <f t="shared" si="17"/>
        <v>762.42468183296126</v>
      </c>
      <c r="DT66" s="59">
        <f ca="1">AVERAGE(OFFSET($DS$3,0,0,'Données projet'!$E$14+1,1))-AVERAGE(OFFSET($H$3,0,0,'Données projet'!$E$14+1,1))</f>
        <v>234.09142087023463</v>
      </c>
      <c r="DU66" s="59">
        <f t="shared" si="44"/>
        <v>278.990685815294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1.2691348815605035</v>
      </c>
      <c r="EB66" s="21">
        <f>EXP(-LN(2)/25)*EB65+(1-EXP(-LN(2)/25))/(LN(2)/25)*Calculateur!DW66*Calculateur!DY66*VLOOKUP('Données projet'!$B$14,Paramètres!$A$1:$I$89,3,0)*0.475*44/12</f>
        <v>6.1451094403224902</v>
      </c>
      <c r="EC66" s="21">
        <f>EXP(-LN(2)/2)*EC65+(1-EXP(-LN(2)/2))/(LN(2)/2)*DW66*DZ66*VLOOKUP('Données projet'!$B$14,Paramètres!$A$1:$I$89,3,0)*0.475*44/12</f>
        <v>2.3902854598254614E-4</v>
      </c>
      <c r="ED66" s="22">
        <f t="shared" si="18"/>
        <v>7.4144833504289753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360.00000000000023</v>
      </c>
      <c r="AJ67" s="13">
        <f>AI67*VLOOKUP('Données projet'!$B$10,Paramètres!$A$1:$I$89,3,0)*VLOOKUP('Données projet'!$B$10,Paramètres!$A$1:$I$89,5,0)</f>
        <v>196.56000000000014</v>
      </c>
      <c r="AK67" s="13">
        <f t="shared" si="35"/>
        <v>48.987398161128134</v>
      </c>
      <c r="AL67" s="20">
        <f t="shared" si="4"/>
        <v>427.66171846396509</v>
      </c>
      <c r="AM67" s="59">
        <f t="shared" si="5"/>
        <v>720.9950517972984</v>
      </c>
      <c r="AN67" s="59">
        <f ca="1">AVERAGE(OFFSET($AM$3,0,0,'Données projet'!$E$10+1,1))-AVERAGE(OFFSET($H$3,0,0,'Données projet'!$E$10+1,1))</f>
        <v>210.04871822652808</v>
      </c>
      <c r="AO67" s="59">
        <f t="shared" si="36"/>
        <v>250.17540614049324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3.7235088688589055</v>
      </c>
      <c r="AV67" s="21">
        <f>EXP(-LN(2)/25)*AV66+(1-EXP(-LN(2)/25))/(LN(2)/25)*Calculateur!AQ67*Calculateur!AS67*VLOOKUP('Données projet'!$B$10,Paramètres!$A$1:$I$89,3,0)*0.475*44/12</f>
        <v>10.842353125725896</v>
      </c>
      <c r="AW67" s="21">
        <f>EXP(-LN(2)/2)*AW66+(1-EXP(-LN(2)/2))/(LN(2)/2)*AQ67*AT67*VLOOKUP('Données projet'!$B$10,Paramètres!$A$1:$I$89,3,0)*0.475*44/12</f>
        <v>1.6444312085992185E-4</v>
      </c>
      <c r="AX67" s="21">
        <f t="shared" si="6"/>
        <v>14.566026437705663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16.399999999999999</v>
      </c>
      <c r="BD67" s="12">
        <f>IF('Données projet'!$A$88&gt;35,BD66+BC67-BL66,IF(A67&lt;'Données projet'!$A$88,$BA$205^A67,IF(A67='Données projet'!$A$88,'Données projet'!$B$88,BD66+BC67-BL66)))</f>
        <v>465.59999999999968</v>
      </c>
      <c r="BE67" s="13">
        <f>BD67*VLOOKUP('Données projet'!$B$11,Paramètres!$A$1:$I$89,3,0)*VLOOKUP('Données projet'!$B$11,Paramètres!$A$1:$I$89,5,0)</f>
        <v>278.42879999999985</v>
      </c>
      <c r="BF67" s="13">
        <f t="shared" si="37"/>
        <v>66.634860488094674</v>
      </c>
      <c r="BG67" s="20">
        <f t="shared" si="7"/>
        <v>600.9858753500979</v>
      </c>
      <c r="BH67" s="59">
        <f t="shared" si="8"/>
        <v>894.31920868343127</v>
      </c>
      <c r="BI67" s="59">
        <f ca="1">AVERAGE(OFFSET($BH$3,0,0,'Données projet'!$E$11+1,1))-AVERAGE(OFFSET($H$3,0,0,'Données projet'!$E$11+1,1))</f>
        <v>316.58509520829671</v>
      </c>
      <c r="BJ67" s="59">
        <f t="shared" si="38"/>
        <v>240.71332110643596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1.2926211698228305</v>
      </c>
      <c r="BQ67" s="21">
        <f>EXP(-LN(2)/25)*BQ66+(1-EXP(-LN(2)/25))/(LN(2)/25)*Calculateur!BL67*Calculateur!BN67*VLOOKUP('Données projet'!$B$11,Paramètres!$A$1:$I$89,3,0)*0.475*44/12</f>
        <v>5.9481138527700681</v>
      </c>
      <c r="BR67" s="21">
        <f>EXP(-LN(2)/2)*BR66+(1-EXP(-LN(2)/2))/(LN(2)/2)*BL67*BO67*VLOOKUP('Données projet'!$B$11,Paramètres!$A$1:$I$89,3,0)*0.475*44/12</f>
        <v>1.6738390403855014E-4</v>
      </c>
      <c r="BS67" s="22">
        <f t="shared" si="9"/>
        <v>7.2409024064969376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299.59999999999985</v>
      </c>
      <c r="BZ67" s="13">
        <f>BY67*VLOOKUP('Données projet'!$B$12,Paramètres!$A$1:$I$89,3,0)*VLOOKUP('Données projet'!$B$12,Paramètres!$A$1:$I$89,5,0)</f>
        <v>238.36175999999992</v>
      </c>
      <c r="CA67" s="13">
        <f t="shared" si="39"/>
        <v>58.086914779719031</v>
      </c>
      <c r="CB67" s="20">
        <f t="shared" si="10"/>
        <v>516.3147752413438</v>
      </c>
      <c r="CC67" s="59">
        <f t="shared" si="11"/>
        <v>809.64810857467705</v>
      </c>
      <c r="CD67" s="59">
        <f ca="1">AVERAGE(OFFSET($CC$3,0,0,'Données projet'!$E$12+1,1))-AVERAGE(OFFSET($H$3,0,0,'Données projet'!$E$12+1,1))</f>
        <v>260.20517190557814</v>
      </c>
      <c r="CE67" s="59">
        <f t="shared" si="40"/>
        <v>307.22009971147133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1.6641277236318832</v>
      </c>
      <c r="CL67" s="21">
        <f>EXP(-LN(2)/25)*CL66+(1-EXP(-LN(2)/25))/(LN(2)/25)*Calculateur!CG67*Calculateur!CI67*VLOOKUP('Données projet'!$B$12,Paramètres!$A$1:$I$89,3,0)*0.475*44/12</f>
        <v>7.9940738159334508</v>
      </c>
      <c r="CM67" s="21">
        <f>EXP(-LN(2)/2)*CM66+(1-EXP(-LN(2)/2))/(LN(2)/2)*CG67*CJ67*VLOOKUP('Données projet'!$B$12,Paramètres!$A$1:$I$89,3,0)*0.475*44/12</f>
        <v>1.8340327646451787E-4</v>
      </c>
      <c r="CN67" s="22">
        <f t="shared" si="12"/>
        <v>9.6583849428417992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10.7</v>
      </c>
      <c r="CT67" s="12">
        <f>IF('Données projet'!$A$140&gt;35,CT66+CS67-DB66,IF(A67&lt;'Données projet'!$A$140,$CQ$205^A67,IF(A67='Données projet'!$A$140,'Données projet'!$B$140,CT66+CS67-DB66)))</f>
        <v>245.7999999999999</v>
      </c>
      <c r="CU67" s="17">
        <f>CT67*VLOOKUP('Données projet'!$B$13,Paramètres!$A$1:$I$89,3,0)*VLOOKUP('Données projet'!$B$13,Paramètres!$A$1:$I$89,5,0)</f>
        <v>210.89639999999991</v>
      </c>
      <c r="CV67" s="13">
        <f t="shared" si="41"/>
        <v>52.131423064408864</v>
      </c>
      <c r="CW67" s="20">
        <f t="shared" si="13"/>
        <v>458.1067918371786</v>
      </c>
      <c r="CX67" s="59">
        <f t="shared" si="14"/>
        <v>751.44012517051192</v>
      </c>
      <c r="CY67" s="59">
        <f ca="1">AVERAGE(OFFSET($CX$3,0,0,'Données projet'!$E$13+1,1))-AVERAGE(OFFSET($H$3,0,0,'Données projet'!$E$13+1,1))</f>
        <v>310.4018929413723</v>
      </c>
      <c r="CZ67" s="59">
        <f t="shared" si="42"/>
        <v>127.5231137583819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2.2936351573528238</v>
      </c>
      <c r="DH67" s="21">
        <f>EXP(-LN(2)/2)*DH66+(1-EXP(-LN(2)/2))/(LN(2)/2)*DB67*DE67*VLOOKUP('Données projet'!$B$13,Paramètres!$A$1:$I$89,3,0)*0.475*44/12</f>
        <v>6.8132822688625453E-5</v>
      </c>
      <c r="DI67" s="22">
        <f t="shared" si="15"/>
        <v>2.2937032901755123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>
        <f>DO67*VLOOKUP('Données projet'!$B$14,Paramètres!$A$1:$I$89,3,0)*VLOOKUP('Données projet'!$B$14,Paramètres!$A$1:$I$89,5,0)</f>
        <v>219.66671999999988</v>
      </c>
      <c r="DQ67" s="13">
        <f t="shared" si="43"/>
        <v>54.042442569081146</v>
      </c>
      <c r="DR67" s="20">
        <f t="shared" si="16"/>
        <v>476.71012480781616</v>
      </c>
      <c r="DS67" s="59">
        <f t="shared" si="17"/>
        <v>770.04345814114947</v>
      </c>
      <c r="DT67" s="59">
        <f ca="1">AVERAGE(OFFSET($DS$3,0,0,'Données projet'!$E$14+1,1))-AVERAGE(OFFSET($H$3,0,0,'Données projet'!$E$14+1,1))</f>
        <v>234.09142087023463</v>
      </c>
      <c r="DU67" s="59">
        <f t="shared" si="44"/>
        <v>278.990685815294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1.2442479206289441</v>
      </c>
      <c r="EB67" s="21">
        <f>EXP(-LN(2)/25)*EB66+(1-EXP(-LN(2)/25))/(LN(2)/25)*Calculateur!DW67*Calculateur!DY67*VLOOKUP('Données projet'!$B$14,Paramètres!$A$1:$I$89,3,0)*0.475*44/12</f>
        <v>5.9770710995196108</v>
      </c>
      <c r="EC67" s="21">
        <f>EXP(-LN(2)/2)*EC66+(1-EXP(-LN(2)/2))/(LN(2)/2)*DW67*DZ67*VLOOKUP('Données projet'!$B$14,Paramètres!$A$1:$I$89,3,0)*0.475*44/12</f>
        <v>1.6901870576141887E-4</v>
      </c>
      <c r="ED67" s="22">
        <f t="shared" si="18"/>
        <v>7.2214880388543161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368.50000000000023</v>
      </c>
      <c r="AJ68" s="13">
        <f>AI68*VLOOKUP('Données projet'!$B$10,Paramètres!$A$1:$I$89,3,0)*VLOOKUP('Données projet'!$B$10,Paramètres!$A$1:$I$89,5,0)</f>
        <v>201.20100000000014</v>
      </c>
      <c r="AK68" s="13">
        <f t="shared" si="35"/>
        <v>50.008019134354747</v>
      </c>
      <c r="AL68" s="20">
        <f t="shared" ref="AL68:AL131" si="58">(AJ68+AK68)*0.475*44/12</f>
        <v>437.52237499233479</v>
      </c>
      <c r="AM68" s="59">
        <f t="shared" ref="AM68:AM131" si="59">AL68+(AD68+AE68)*44/12</f>
        <v>730.85570832566805</v>
      </c>
      <c r="AN68" s="59">
        <f ca="1">AVERAGE(OFFSET($AM$3,0,0,'Données projet'!$E$10+1,1))-AVERAGE(OFFSET($H$3,0,0,'Données projet'!$E$10+1,1))</f>
        <v>210.04871822652808</v>
      </c>
      <c r="AO68" s="59">
        <f t="shared" si="36"/>
        <v>250.17540614049324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3.6504931310567383</v>
      </c>
      <c r="AV68" s="21">
        <f>EXP(-LN(2)/25)*AV67+(1-EXP(-LN(2)/25))/(LN(2)/25)*Calculateur!AQ68*Calculateur!AS68*VLOOKUP('Données projet'!$B$10,Paramètres!$A$1:$I$89,3,0)*0.475*44/12</f>
        <v>10.545868409328351</v>
      </c>
      <c r="AW68" s="21">
        <f>EXP(-LN(2)/2)*AW67+(1-EXP(-LN(2)/2))/(LN(2)/2)*AQ68*AT68*VLOOKUP('Données projet'!$B$10,Paramètres!$A$1:$I$89,3,0)*0.475*44/12</f>
        <v>1.1627884587952976E-4</v>
      </c>
      <c r="AX68" s="21">
        <f t="shared" ref="AX68:AX131" si="60">SUM(AU68:AW68)</f>
        <v>14.196477819230969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16.399999999999999</v>
      </c>
      <c r="BD68" s="12">
        <f>IF('Données projet'!$A$88&gt;35,BD67+BC68-BL67,IF(A68&lt;'Données projet'!$A$88,$BA$205^A68,IF(A68='Données projet'!$A$88,'Données projet'!$B$88,BD67+BC68-BL67)))</f>
        <v>481.99999999999966</v>
      </c>
      <c r="BE68" s="13">
        <f>BD68*VLOOKUP('Données projet'!$B$11,Paramètres!$A$1:$I$89,3,0)*VLOOKUP('Données projet'!$B$11,Paramètres!$A$1:$I$89,5,0)</f>
        <v>288.23599999999982</v>
      </c>
      <c r="BF68" s="13">
        <f t="shared" si="37"/>
        <v>68.704564966369475</v>
      </c>
      <c r="BG68" s="20">
        <f t="shared" ref="BG68:BG131" si="61">(BE68+BF68)*0.475*44/12</f>
        <v>621.67148398309314</v>
      </c>
      <c r="BH68" s="59">
        <f t="shared" ref="BH68:BH131" si="62">BG68+(AY68+AZ68)*44/12</f>
        <v>915.0048173164264</v>
      </c>
      <c r="BI68" s="59">
        <f ca="1">AVERAGE(OFFSET($BH$3,0,0,'Données projet'!$E$11+1,1))-AVERAGE(OFFSET($H$3,0,0,'Données projet'!$E$11+1,1))</f>
        <v>316.58509520829671</v>
      </c>
      <c r="BJ68" s="59">
        <f t="shared" si="38"/>
        <v>240.71332110643596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1.2672736571036682</v>
      </c>
      <c r="BQ68" s="21">
        <f>EXP(-LN(2)/25)*BQ67+(1-EXP(-LN(2)/25))/(LN(2)/25)*Calculateur!BL68*Calculateur!BN68*VLOOKUP('Données projet'!$B$11,Paramètres!$A$1:$I$89,3,0)*0.475*44/12</f>
        <v>5.7854623666683578</v>
      </c>
      <c r="BR68" s="21">
        <f>EXP(-LN(2)/2)*BR67+(1-EXP(-LN(2)/2))/(LN(2)/2)*BL68*BO68*VLOOKUP('Données projet'!$B$11,Paramètres!$A$1:$I$89,3,0)*0.475*44/12</f>
        <v>1.1835829360713715E-4</v>
      </c>
      <c r="BS68" s="22">
        <f t="shared" ref="BS68:BS131" si="63">SUM(BP68:BR68)</f>
        <v>7.0528543820656324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304.49999999999983</v>
      </c>
      <c r="BZ68" s="13">
        <f>BY68*VLOOKUP('Données projet'!$B$12,Paramètres!$A$1:$I$89,3,0)*VLOOKUP('Données projet'!$B$12,Paramètres!$A$1:$I$89,5,0)</f>
        <v>242.26019999999986</v>
      </c>
      <c r="CA68" s="13">
        <f t="shared" si="39"/>
        <v>58.925557915516166</v>
      </c>
      <c r="CB68" s="20">
        <f t="shared" ref="CB68:CB131" si="64">(BZ68+CA68)*0.475*44/12</f>
        <v>524.5651950361904</v>
      </c>
      <c r="CC68" s="59">
        <f t="shared" ref="CC68:CC131" si="65">CB68+(BT68+BU68)*44/12</f>
        <v>817.89852836952377</v>
      </c>
      <c r="CD68" s="59">
        <f ca="1">AVERAGE(OFFSET($CC$3,0,0,'Données projet'!$E$12+1,1))-AVERAGE(OFFSET($H$3,0,0,'Données projet'!$E$12+1,1))</f>
        <v>260.20517190557814</v>
      </c>
      <c r="CE68" s="59">
        <f t="shared" si="40"/>
        <v>307.22009971147133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1.6314951939891487</v>
      </c>
      <c r="CL68" s="21">
        <f>EXP(-LN(2)/25)*CL67+(1-EXP(-LN(2)/25))/(LN(2)/25)*Calculateur!CG68*Calculateur!CI68*VLOOKUP('Données projet'!$B$12,Paramètres!$A$1:$I$89,3,0)*0.475*44/12</f>
        <v>7.7754754470466789</v>
      </c>
      <c r="CM68" s="21">
        <f>EXP(-LN(2)/2)*CM67+(1-EXP(-LN(2)/2))/(LN(2)/2)*CG68*CJ68*VLOOKUP('Données projet'!$B$12,Paramètres!$A$1:$I$89,3,0)*0.475*44/12</f>
        <v>1.2968570047989172E-4</v>
      </c>
      <c r="CN68" s="22">
        <f t="shared" ref="CN68:CN131" si="66">SUM(CK68:CM68)</f>
        <v>9.4071003267363089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10.7</v>
      </c>
      <c r="CT68" s="12">
        <f>IF('Données projet'!$A$140&gt;35,CT67+CS68-DB67,IF(A68&lt;'Données projet'!$A$140,$CQ$205^A68,IF(A68='Données projet'!$A$140,'Données projet'!$B$140,CT67+CS68-DB67)))</f>
        <v>256.49999999999989</v>
      </c>
      <c r="CU68" s="17">
        <f>CT68*VLOOKUP('Données projet'!$B$13,Paramètres!$A$1:$I$89,3,0)*VLOOKUP('Données projet'!$B$13,Paramètres!$A$1:$I$89,5,0)</f>
        <v>220.07699999999994</v>
      </c>
      <c r="CV68" s="13">
        <f t="shared" si="41"/>
        <v>54.131620949294785</v>
      </c>
      <c r="CW68" s="20">
        <f t="shared" ref="CW68:CW131" si="67">(CU68+CV68)*0.475*44/12</f>
        <v>477.58001482002169</v>
      </c>
      <c r="CX68" s="59">
        <f t="shared" ref="CX68:CX131" si="68">CW68+(CO68+CP68)*44/12</f>
        <v>770.91334815335495</v>
      </c>
      <c r="CY68" s="59">
        <f ca="1">AVERAGE(OFFSET($CX$3,0,0,'Données projet'!$E$13+1,1))-AVERAGE(OFFSET($H$3,0,0,'Données projet'!$E$13+1,1))</f>
        <v>310.4018929413723</v>
      </c>
      <c r="CZ68" s="59">
        <f t="shared" si="42"/>
        <v>127.5231137583819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2.2309155833579801</v>
      </c>
      <c r="DH68" s="21">
        <f>EXP(-LN(2)/2)*DH67+(1-EXP(-LN(2)/2))/(LN(2)/2)*DB68*DE68*VLOOKUP('Données projet'!$B$13,Paramètres!$A$1:$I$89,3,0)*0.475*44/12</f>
        <v>4.8177180944507719E-5</v>
      </c>
      <c r="DI68" s="22">
        <f t="shared" ref="DI68:DI131" si="69">SUM(DF68:DH68)</f>
        <v>2.2309637605389248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>
        <f>DO68*VLOOKUP('Données projet'!$B$14,Paramètres!$A$1:$I$89,3,0)*VLOOKUP('Données projet'!$B$14,Paramètres!$A$1:$I$89,5,0)</f>
        <v>223.25939999999989</v>
      </c>
      <c r="DQ68" s="13">
        <f t="shared" si="43"/>
        <v>54.822692711030363</v>
      </c>
      <c r="DR68" s="20">
        <f t="shared" ref="DR68:DR131" si="70">(DP68+DQ68)*0.475*44/12</f>
        <v>484.32631147171105</v>
      </c>
      <c r="DS68" s="59">
        <f t="shared" ref="DS68:DS131" si="71">DR68+(DJ68+DK68)*44/12</f>
        <v>777.65964480504431</v>
      </c>
      <c r="DT68" s="59">
        <f ca="1">AVERAGE(OFFSET($DS$3,0,0,'Données projet'!$E$14+1,1))-AVERAGE(OFFSET($H$3,0,0,'Données projet'!$E$14+1,1))</f>
        <v>234.09142087023463</v>
      </c>
      <c r="DU68" s="59">
        <f t="shared" si="44"/>
        <v>278.990685815294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1.2198489778217052</v>
      </c>
      <c r="EB68" s="21">
        <f>EXP(-LN(2)/25)*EB67+(1-EXP(-LN(2)/25))/(LN(2)/25)*Calculateur!DW68*Calculateur!DY68*VLOOKUP('Données projet'!$B$14,Paramètres!$A$1:$I$89,3,0)*0.475*44/12</f>
        <v>5.8136277759827388</v>
      </c>
      <c r="EC68" s="21">
        <f>EXP(-LN(2)/2)*EC67+(1-EXP(-LN(2)/2))/(LN(2)/2)*DW68*DZ68*VLOOKUP('Données projet'!$B$14,Paramètres!$A$1:$I$89,3,0)*0.475*44/12</f>
        <v>1.1951427299127308E-4</v>
      </c>
      <c r="ED68" s="22">
        <f t="shared" ref="ED68:ED131" si="72">SUM(EA68:EC68)</f>
        <v>7.0335962680774351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377.00000000000023</v>
      </c>
      <c r="AJ69" s="13">
        <f>AI69*VLOOKUP('Données projet'!$B$10,Paramètres!$A$1:$I$89,3,0)*VLOOKUP('Données projet'!$B$10,Paramètres!$A$1:$I$89,5,0)</f>
        <v>205.84200000000013</v>
      </c>
      <c r="AK69" s="13">
        <f t="shared" ref="AK69:AK132" si="89">EXP(-1.0587+0.8836*LN(AJ69)+0.284)</f>
        <v>51.02590322155848</v>
      </c>
      <c r="AL69" s="20">
        <f t="shared" si="58"/>
        <v>447.37826477754788</v>
      </c>
      <c r="AM69" s="59">
        <f t="shared" si="59"/>
        <v>740.71159811088114</v>
      </c>
      <c r="AN69" s="59">
        <f ca="1">AVERAGE(OFFSET($AM$3,0,0,'Données projet'!$E$10+1,1))-AVERAGE(OFFSET($H$3,0,0,'Données projet'!$E$10+1,1))</f>
        <v>210.04871822652808</v>
      </c>
      <c r="AO69" s="59">
        <f t="shared" ref="AO69:AO132" si="90">$AO$3</f>
        <v>250.17540614049324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3.5789091873376688</v>
      </c>
      <c r="AV69" s="21">
        <f>EXP(-LN(2)/25)*AV68+(1-EXP(-LN(2)/25))/(LN(2)/25)*Calculateur!AQ69*Calculateur!AS69*VLOOKUP('Données projet'!$B$10,Paramètres!$A$1:$I$89,3,0)*0.475*44/12</f>
        <v>10.25749108309215</v>
      </c>
      <c r="AW69" s="21">
        <f>EXP(-LN(2)/2)*AW68+(1-EXP(-LN(2)/2))/(LN(2)/2)*AQ69*AT69*VLOOKUP('Données projet'!$B$10,Paramètres!$A$1:$I$89,3,0)*0.475*44/12</f>
        <v>8.222156042996094E-5</v>
      </c>
      <c r="AX69" s="21">
        <f t="shared" si="60"/>
        <v>13.836482491990248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16.399999999999999</v>
      </c>
      <c r="BD69" s="12">
        <f>IF('Données projet'!$A$88&gt;35,BD68+BC69-BL68,IF(A69&lt;'Données projet'!$A$88,$BA$205^A69,IF(A69='Données projet'!$A$88,'Données projet'!$B$88,BD68+BC69-BL68)))</f>
        <v>498.39999999999964</v>
      </c>
      <c r="BE69" s="13">
        <f>BD69*VLOOKUP('Données projet'!$B$11,Paramètres!$A$1:$I$89,3,0)*VLOOKUP('Données projet'!$B$11,Paramètres!$A$1:$I$89,5,0)</f>
        <v>298.04319999999979</v>
      </c>
      <c r="BF69" s="13">
        <f t="shared" ref="BF69:BF132" si="91">EXP(-1.0587+0.8836*LN(BE69)+0.284)</f>
        <v>70.766086927307597</v>
      </c>
      <c r="BG69" s="20">
        <f t="shared" si="61"/>
        <v>642.3428413983936</v>
      </c>
      <c r="BH69" s="59">
        <f t="shared" si="62"/>
        <v>935.67617473172686</v>
      </c>
      <c r="BI69" s="59">
        <f ca="1">AVERAGE(OFFSET($BH$3,0,0,'Données projet'!$E$11+1,1))-AVERAGE(OFFSET($H$3,0,0,'Données projet'!$E$11+1,1))</f>
        <v>316.58509520829671</v>
      </c>
      <c r="BJ69" s="59">
        <f t="shared" ref="BJ69:BJ132" si="92">$BJ$3</f>
        <v>240.71332110643596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1.2424231936484726</v>
      </c>
      <c r="BQ69" s="21">
        <f>EXP(-LN(2)/25)*BQ68+(1-EXP(-LN(2)/25))/(LN(2)/25)*Calculateur!BL69*Calculateur!BN69*VLOOKUP('Données projet'!$B$11,Paramètres!$A$1:$I$89,3,0)*0.475*44/12</f>
        <v>5.6272585940075688</v>
      </c>
      <c r="BR69" s="21">
        <f>EXP(-LN(2)/2)*BR68+(1-EXP(-LN(2)/2))/(LN(2)/2)*BL69*BO69*VLOOKUP('Données projet'!$B$11,Paramètres!$A$1:$I$89,3,0)*0.475*44/12</f>
        <v>8.3691952019275081E-5</v>
      </c>
      <c r="BS69" s="22">
        <f t="shared" si="63"/>
        <v>6.8697654796080609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309.39999999999981</v>
      </c>
      <c r="BZ69" s="13">
        <f>BY69*VLOOKUP('Données projet'!$B$12,Paramètres!$A$1:$I$89,3,0)*VLOOKUP('Données projet'!$B$12,Paramètres!$A$1:$I$89,5,0)</f>
        <v>246.15863999999985</v>
      </c>
      <c r="CA69" s="13">
        <f t="shared" ref="CA69:CA132" si="93">EXP(-1.0587+0.8836*LN(BZ69)+0.284)</f>
        <v>59.762631584626781</v>
      </c>
      <c r="CB69" s="20">
        <f t="shared" si="64"/>
        <v>532.8128813432246</v>
      </c>
      <c r="CC69" s="59">
        <f t="shared" si="65"/>
        <v>826.14621467655797</v>
      </c>
      <c r="CD69" s="59">
        <f ca="1">AVERAGE(OFFSET($CC$3,0,0,'Données projet'!$E$12+1,1))-AVERAGE(OFFSET($H$3,0,0,'Données projet'!$E$12+1,1))</f>
        <v>260.20517190557814</v>
      </c>
      <c r="CE69" s="59">
        <f t="shared" ref="CE69:CE132" si="94">$CE$3</f>
        <v>307.22009971147133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1.5995025683488304</v>
      </c>
      <c r="CL69" s="21">
        <f>EXP(-LN(2)/25)*CL68+(1-EXP(-LN(2)/25))/(LN(2)/25)*Calculateur!CG69*Calculateur!CI69*VLOOKUP('Données projet'!$B$12,Paramètres!$A$1:$I$89,3,0)*0.475*44/12</f>
        <v>7.5628546620527048</v>
      </c>
      <c r="CM69" s="21">
        <f>EXP(-LN(2)/2)*CM68+(1-EXP(-LN(2)/2))/(LN(2)/2)*CG69*CJ69*VLOOKUP('Données projet'!$B$12,Paramètres!$A$1:$I$89,3,0)*0.475*44/12</f>
        <v>9.1701638232258935E-5</v>
      </c>
      <c r="CN69" s="22">
        <f t="shared" si="66"/>
        <v>9.1624489320397693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10.7</v>
      </c>
      <c r="CT69" s="12">
        <f>IF('Données projet'!$A$140&gt;35,CT68+CS69-DB68,IF(A69&lt;'Données projet'!$A$140,$CQ$205^A69,IF(A69='Données projet'!$A$140,'Données projet'!$B$140,CT68+CS69-DB68)))</f>
        <v>267.19999999999987</v>
      </c>
      <c r="CU69" s="17">
        <f>CT69*VLOOKUP('Données projet'!$B$13,Paramètres!$A$1:$I$89,3,0)*VLOOKUP('Données projet'!$B$13,Paramètres!$A$1:$I$89,5,0)</f>
        <v>229.25759999999994</v>
      </c>
      <c r="CV69" s="13">
        <f t="shared" ref="CV69:CV132" si="95">EXP(-1.0587+0.8836*LN(CU69)+0.284)</f>
        <v>56.122127101541757</v>
      </c>
      <c r="CW69" s="20">
        <f t="shared" si="67"/>
        <v>497.036358035185</v>
      </c>
      <c r="CX69" s="59">
        <f t="shared" si="68"/>
        <v>790.36969136851826</v>
      </c>
      <c r="CY69" s="59">
        <f ca="1">AVERAGE(OFFSET($CX$3,0,0,'Données projet'!$E$13+1,1))-AVERAGE(OFFSET($H$3,0,0,'Données projet'!$E$13+1,1))</f>
        <v>310.4018929413723</v>
      </c>
      <c r="CZ69" s="59">
        <f t="shared" ref="CZ69:CZ132" si="96">$CZ$3</f>
        <v>127.5231137583819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2.1699110794123047</v>
      </c>
      <c r="DH69" s="21">
        <f>EXP(-LN(2)/2)*DH68+(1-EXP(-LN(2)/2))/(LN(2)/2)*DB69*DE69*VLOOKUP('Données projet'!$B$13,Paramètres!$A$1:$I$89,3,0)*0.475*44/12</f>
        <v>3.4066411344312726E-5</v>
      </c>
      <c r="DI69" s="22">
        <f t="shared" si="69"/>
        <v>2.1699451458236489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>
        <f>DO69*VLOOKUP('Données projet'!$B$14,Paramètres!$A$1:$I$89,3,0)*VLOOKUP('Données projet'!$B$14,Paramètres!$A$1:$I$89,5,0)</f>
        <v>226.85207999999983</v>
      </c>
      <c r="DQ69" s="13">
        <f t="shared" ref="DQ69:DQ132" si="97">EXP(-1.0587+0.8836*LN(DP69)+0.284)</f>
        <v>55.601482665025273</v>
      </c>
      <c r="DR69" s="20">
        <f t="shared" si="70"/>
        <v>491.93995497491869</v>
      </c>
      <c r="DS69" s="59">
        <f t="shared" si="71"/>
        <v>785.27328830825195</v>
      </c>
      <c r="DT69" s="59">
        <f ca="1">AVERAGE(OFFSET($DS$3,0,0,'Données projet'!$E$14+1,1))-AVERAGE(OFFSET($H$3,0,0,'Données projet'!$E$14+1,1))</f>
        <v>234.09142087023463</v>
      </c>
      <c r="DU69" s="59">
        <f t="shared" ref="DU69:DU132" si="98">$DU$3</f>
        <v>278.990685815294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1.1959284834010306</v>
      </c>
      <c r="EB69" s="21">
        <f>EXP(-LN(2)/25)*EB68+(1-EXP(-LN(2)/25))/(LN(2)/25)*Calculateur!DW69*Calculateur!DY69*VLOOKUP('Données projet'!$B$14,Paramètres!$A$1:$I$89,3,0)*0.475*44/12</f>
        <v>5.6546538187230935</v>
      </c>
      <c r="EC69" s="21">
        <f>EXP(-LN(2)/2)*EC68+(1-EXP(-LN(2)/2))/(LN(2)/2)*DW69*DZ69*VLOOKUP('Données projet'!$B$14,Paramètres!$A$1:$I$89,3,0)*0.475*44/12</f>
        <v>8.4509352880709449E-5</v>
      </c>
      <c r="ED69" s="22">
        <f t="shared" si="72"/>
        <v>6.8506668114770051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385.50000000000023</v>
      </c>
      <c r="AJ70" s="13">
        <f>AI70*VLOOKUP('Données projet'!$B$10,Paramètres!$A$1:$I$89,3,0)*VLOOKUP('Données projet'!$B$10,Paramètres!$A$1:$I$89,5,0)</f>
        <v>210.48300000000012</v>
      </c>
      <c r="AK70" s="13">
        <f t="shared" si="89"/>
        <v>52.041119233873296</v>
      </c>
      <c r="AL70" s="20">
        <f t="shared" si="58"/>
        <v>457.22950766566288</v>
      </c>
      <c r="AM70" s="59">
        <f t="shared" si="59"/>
        <v>750.56284099899619</v>
      </c>
      <c r="AN70" s="59">
        <f ca="1">AVERAGE(OFFSET($AM$3,0,0,'Données projet'!$E$10+1,1))-AVERAGE(OFFSET($H$3,0,0,'Données projet'!$E$10+1,1))</f>
        <v>210.04871822652808</v>
      </c>
      <c r="AO70" s="59">
        <f t="shared" si="90"/>
        <v>250.17540614049324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3.5087289610930359</v>
      </c>
      <c r="AV70" s="21">
        <f>EXP(-LN(2)/25)*AV69+(1-EXP(-LN(2)/25))/(LN(2)/25)*Calculateur!AQ70*Calculateur!AS70*VLOOKUP('Données projet'!$B$10,Paramètres!$A$1:$I$89,3,0)*0.475*44/12</f>
        <v>9.9769994500069821</v>
      </c>
      <c r="AW70" s="21">
        <f>EXP(-LN(2)/2)*AW69+(1-EXP(-LN(2)/2))/(LN(2)/2)*AQ70*AT70*VLOOKUP('Données projet'!$B$10,Paramètres!$A$1:$I$89,3,0)*0.475*44/12</f>
        <v>5.8139422939764889E-5</v>
      </c>
      <c r="AX70" s="21">
        <f t="shared" si="60"/>
        <v>13.485786550522958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16.399999999999999</v>
      </c>
      <c r="BD70" s="12">
        <f>IF('Données projet'!$A$88&gt;35,BD69+BC70-BL69,IF(A70&lt;'Données projet'!$A$88,$BA$205^A70,IF(A70='Données projet'!$A$88,'Données projet'!$B$88,BD69+BC70-BL69)))</f>
        <v>514.79999999999961</v>
      </c>
      <c r="BE70" s="13">
        <f>BD70*VLOOKUP('Données projet'!$B$11,Paramètres!$A$1:$I$89,3,0)*VLOOKUP('Données projet'!$B$11,Paramètres!$A$1:$I$89,5,0)</f>
        <v>307.85039999999975</v>
      </c>
      <c r="BF70" s="13">
        <f t="shared" si="91"/>
        <v>72.819726494623737</v>
      </c>
      <c r="BG70" s="20">
        <f t="shared" si="61"/>
        <v>663.00047031146926</v>
      </c>
      <c r="BH70" s="59">
        <f t="shared" si="62"/>
        <v>956.33380364480263</v>
      </c>
      <c r="BI70" s="59">
        <f ca="1">AVERAGE(OFFSET($BH$3,0,0,'Données projet'!$E$11+1,1))-AVERAGE(OFFSET($H$3,0,0,'Données projet'!$E$11+1,1))</f>
        <v>316.58509520829671</v>
      </c>
      <c r="BJ70" s="59">
        <f t="shared" si="92"/>
        <v>240.71332110643596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1.2180600326243474</v>
      </c>
      <c r="BQ70" s="21">
        <f>EXP(-LN(2)/25)*BQ69+(1-EXP(-LN(2)/25))/(LN(2)/25)*Calculateur!BL70*Calculateur!BN70*VLOOKUP('Données projet'!$B$11,Paramètres!$A$1:$I$89,3,0)*0.475*44/12</f>
        <v>5.4733809118297634</v>
      </c>
      <c r="BR70" s="21">
        <f>EXP(-LN(2)/2)*BR69+(1-EXP(-LN(2)/2))/(LN(2)/2)*BL70*BO70*VLOOKUP('Données projet'!$B$11,Paramètres!$A$1:$I$89,3,0)*0.475*44/12</f>
        <v>5.9179146803568586E-5</v>
      </c>
      <c r="BS70" s="22">
        <f t="shared" si="63"/>
        <v>6.691500123600914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314.29999999999978</v>
      </c>
      <c r="BZ70" s="13">
        <f>BY70*VLOOKUP('Données projet'!$B$12,Paramètres!$A$1:$I$89,3,0)*VLOOKUP('Données projet'!$B$12,Paramètres!$A$1:$I$89,5,0)</f>
        <v>250.05707999999984</v>
      </c>
      <c r="CA70" s="13">
        <f t="shared" si="93"/>
        <v>60.598163512847748</v>
      </c>
      <c r="CB70" s="20">
        <f t="shared" si="64"/>
        <v>541.05788245154292</v>
      </c>
      <c r="CC70" s="59">
        <f t="shared" si="65"/>
        <v>834.39121578487629</v>
      </c>
      <c r="CD70" s="59">
        <f ca="1">AVERAGE(OFFSET($CC$3,0,0,'Données projet'!$E$12+1,1))-AVERAGE(OFFSET($H$3,0,0,'Données projet'!$E$12+1,1))</f>
        <v>260.20517190557814</v>
      </c>
      <c r="CE70" s="59">
        <f t="shared" si="94"/>
        <v>307.22009971147133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1.5681372985837441</v>
      </c>
      <c r="CL70" s="21">
        <f>EXP(-LN(2)/25)*CL69+(1-EXP(-LN(2)/25))/(LN(2)/25)*Calculateur!CG70*Calculateur!CI70*VLOOKUP('Données projet'!$B$12,Paramètres!$A$1:$I$89,3,0)*0.475*44/12</f>
        <v>7.3560480036056317</v>
      </c>
      <c r="CM70" s="21">
        <f>EXP(-LN(2)/2)*CM69+(1-EXP(-LN(2)/2))/(LN(2)/2)*CG70*CJ70*VLOOKUP('Données projet'!$B$12,Paramètres!$A$1:$I$89,3,0)*0.475*44/12</f>
        <v>6.4842850239945859E-5</v>
      </c>
      <c r="CN70" s="22">
        <f t="shared" si="66"/>
        <v>8.9242501450396148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10.7</v>
      </c>
      <c r="CT70" s="12">
        <f>IF('Données projet'!$A$140&gt;35,CT69+CS70-DB69,IF(A70&lt;'Données projet'!$A$140,$CQ$205^A70,IF(A70='Données projet'!$A$140,'Données projet'!$B$140,CT69+CS70-DB69)))</f>
        <v>277.89999999999986</v>
      </c>
      <c r="CU70" s="17">
        <f>CT70*VLOOKUP('Données projet'!$B$13,Paramètres!$A$1:$I$89,3,0)*VLOOKUP('Données projet'!$B$13,Paramètres!$A$1:$I$89,5,0)</f>
        <v>238.43819999999991</v>
      </c>
      <c r="CV70" s="13">
        <f t="shared" si="95"/>
        <v>58.103374028412105</v>
      </c>
      <c r="CW70" s="20">
        <f t="shared" si="67"/>
        <v>516.47657476615097</v>
      </c>
      <c r="CX70" s="59">
        <f t="shared" si="68"/>
        <v>809.80990809948435</v>
      </c>
      <c r="CY70" s="59">
        <f ca="1">AVERAGE(OFFSET($CX$3,0,0,'Données projet'!$E$13+1,1))-AVERAGE(OFFSET($H$3,0,0,'Données projet'!$E$13+1,1))</f>
        <v>310.4018929413723</v>
      </c>
      <c r="CZ70" s="59">
        <f t="shared" si="96"/>
        <v>127.5231137583819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2.1105747468351108</v>
      </c>
      <c r="DH70" s="21">
        <f>EXP(-LN(2)/2)*DH69+(1-EXP(-LN(2)/2))/(LN(2)/2)*DB70*DE70*VLOOKUP('Données projet'!$B$13,Paramètres!$A$1:$I$89,3,0)*0.475*44/12</f>
        <v>2.4088590472253859E-5</v>
      </c>
      <c r="DI70" s="22">
        <f t="shared" si="69"/>
        <v>2.1105988354255829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>
        <f>DO70*VLOOKUP('Données projet'!$B$14,Paramètres!$A$1:$I$89,3,0)*VLOOKUP('Données projet'!$B$14,Paramètres!$A$1:$I$89,5,0)</f>
        <v>230.44475999999983</v>
      </c>
      <c r="DQ70" s="13">
        <f t="shared" si="97"/>
        <v>56.378838226372416</v>
      </c>
      <c r="DR70" s="20">
        <f t="shared" si="70"/>
        <v>499.55110024426494</v>
      </c>
      <c r="DS70" s="59">
        <f t="shared" si="71"/>
        <v>792.8844335775982</v>
      </c>
      <c r="DT70" s="59">
        <f ca="1">AVERAGE(OFFSET($DS$3,0,0,'Données projet'!$E$14+1,1))-AVERAGE(OFFSET($H$3,0,0,'Données projet'!$E$14+1,1))</f>
        <v>234.09142087023463</v>
      </c>
      <c r="DU70" s="59">
        <f t="shared" si="98"/>
        <v>278.990685815294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1.1724770552858848</v>
      </c>
      <c r="EB70" s="21">
        <f>EXP(-LN(2)/25)*EB69+(1-EXP(-LN(2)/25))/(LN(2)/25)*Calculateur!DW70*Calculateur!DY70*VLOOKUP('Données projet'!$B$14,Paramètres!$A$1:$I$89,3,0)*0.475*44/12</f>
        <v>5.5000270126847903</v>
      </c>
      <c r="EC70" s="21">
        <f>EXP(-LN(2)/2)*EC69+(1-EXP(-LN(2)/2))/(LN(2)/2)*DW70*DZ70*VLOOKUP('Données projet'!$B$14,Paramètres!$A$1:$I$89,3,0)*0.475*44/12</f>
        <v>5.9757136495636548E-5</v>
      </c>
      <c r="ED70" s="22">
        <f t="shared" si="72"/>
        <v>6.6725638251071713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394.00000000000023</v>
      </c>
      <c r="AJ71" s="13">
        <f>AI71*VLOOKUP('Données projet'!$B$10,Paramètres!$A$1:$I$89,3,0)*VLOOKUP('Données projet'!$B$10,Paramètres!$A$1:$I$89,5,0)</f>
        <v>215.12400000000014</v>
      </c>
      <c r="AK71" s="13">
        <f t="shared" si="89"/>
        <v>53.053732774689799</v>
      </c>
      <c r="AL71" s="20">
        <f t="shared" si="58"/>
        <v>467.07621791591828</v>
      </c>
      <c r="AM71" s="59">
        <f t="shared" si="59"/>
        <v>760.40955124925154</v>
      </c>
      <c r="AN71" s="59">
        <f ca="1">AVERAGE(OFFSET($AM$3,0,0,'Données projet'!$E$10+1,1))-AVERAGE(OFFSET($H$3,0,0,'Données projet'!$E$10+1,1))</f>
        <v>210.04871822652808</v>
      </c>
      <c r="AO71" s="59">
        <f t="shared" si="90"/>
        <v>250.17540614049324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3.4399249262793492</v>
      </c>
      <c r="AV71" s="21">
        <f>EXP(-LN(2)/25)*AV70+(1-EXP(-LN(2)/25))/(LN(2)/25)*Calculateur!AQ71*Calculateur!AS71*VLOOKUP('Données projet'!$B$10,Paramètres!$A$1:$I$89,3,0)*0.475*44/12</f>
        <v>9.7041778753789423</v>
      </c>
      <c r="AW71" s="21">
        <f>EXP(-LN(2)/2)*AW70+(1-EXP(-LN(2)/2))/(LN(2)/2)*AQ71*AT71*VLOOKUP('Données projet'!$B$10,Paramètres!$A$1:$I$89,3,0)*0.475*44/12</f>
        <v>4.1110780214980477E-5</v>
      </c>
      <c r="AX71" s="21">
        <f t="shared" si="60"/>
        <v>13.144143912438507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16.399999999999999</v>
      </c>
      <c r="BD71" s="12">
        <f>IF('Données projet'!$A$88&gt;35,BD70+BC71-BL70,IF(A71&lt;'Données projet'!$A$88,$BA$205^A71,IF(A71='Données projet'!$A$88,'Données projet'!$B$88,BD70+BC71-BL70)))</f>
        <v>531.19999999999959</v>
      </c>
      <c r="BE71" s="13">
        <f>BD71*VLOOKUP('Données projet'!$B$11,Paramètres!$A$1:$I$89,3,0)*VLOOKUP('Données projet'!$B$11,Paramètres!$A$1:$I$89,5,0)</f>
        <v>317.65759999999977</v>
      </c>
      <c r="BF71" s="13">
        <f t="shared" si="91"/>
        <v>74.865763584117744</v>
      </c>
      <c r="BG71" s="20">
        <f t="shared" si="61"/>
        <v>683.64485824233805</v>
      </c>
      <c r="BH71" s="59">
        <f t="shared" si="62"/>
        <v>976.97819157567142</v>
      </c>
      <c r="BI71" s="59">
        <f ca="1">AVERAGE(OFFSET($BH$3,0,0,'Données projet'!$E$11+1,1))-AVERAGE(OFFSET($H$3,0,0,'Données projet'!$E$11+1,1))</f>
        <v>316.58509520829671</v>
      </c>
      <c r="BJ71" s="59">
        <f t="shared" si="92"/>
        <v>240.71332110643596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1.1941746183278443</v>
      </c>
      <c r="BQ71" s="21">
        <f>EXP(-LN(2)/25)*BQ70+(1-EXP(-LN(2)/25))/(LN(2)/25)*Calculateur!BL71*Calculateur!BN71*VLOOKUP('Données projet'!$B$11,Paramètres!$A$1:$I$89,3,0)*0.475*44/12</f>
        <v>5.3237110229631863</v>
      </c>
      <c r="BR71" s="21">
        <f>EXP(-LN(2)/2)*BR70+(1-EXP(-LN(2)/2))/(LN(2)/2)*BL71*BO71*VLOOKUP('Données projet'!$B$11,Paramètres!$A$1:$I$89,3,0)*0.475*44/12</f>
        <v>4.1845976009637547E-5</v>
      </c>
      <c r="BS71" s="22">
        <f t="shared" si="63"/>
        <v>6.5179274872670403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319.19999999999976</v>
      </c>
      <c r="BZ71" s="13">
        <f>BY71*VLOOKUP('Données projet'!$B$12,Paramètres!$A$1:$I$89,3,0)*VLOOKUP('Données projet'!$B$12,Paramètres!$A$1:$I$89,5,0)</f>
        <v>253.95551999999984</v>
      </c>
      <c r="CA71" s="13">
        <f t="shared" si="93"/>
        <v>61.432180511879196</v>
      </c>
      <c r="CB71" s="20">
        <f t="shared" si="64"/>
        <v>549.30024505818926</v>
      </c>
      <c r="CC71" s="59">
        <f t="shared" si="65"/>
        <v>842.63357839152263</v>
      </c>
      <c r="CD71" s="59">
        <f ca="1">AVERAGE(OFFSET($CC$3,0,0,'Données projet'!$E$12+1,1))-AVERAGE(OFFSET($H$3,0,0,'Données projet'!$E$12+1,1))</f>
        <v>260.20517190557814</v>
      </c>
      <c r="CE71" s="59">
        <f t="shared" si="94"/>
        <v>307.22009971147133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1.5373870826278255</v>
      </c>
      <c r="CL71" s="21">
        <f>EXP(-LN(2)/25)*CL70+(1-EXP(-LN(2)/25))/(LN(2)/25)*Calculateur!CG71*Calculateur!CI71*VLOOKUP('Données projet'!$B$12,Paramètres!$A$1:$I$89,3,0)*0.475*44/12</f>
        <v>7.1548964841092833</v>
      </c>
      <c r="CM71" s="21">
        <f>EXP(-LN(2)/2)*CM70+(1-EXP(-LN(2)/2))/(LN(2)/2)*CG71*CJ71*VLOOKUP('Données projet'!$B$12,Paramètres!$A$1:$I$89,3,0)*0.475*44/12</f>
        <v>4.5850819116129467E-5</v>
      </c>
      <c r="CN71" s="22">
        <f t="shared" si="66"/>
        <v>8.6923294175562251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10.7</v>
      </c>
      <c r="CT71" s="12">
        <f>IF('Données projet'!$A$140&gt;35,CT70+CS71-DB70,IF(A71&lt;'Données projet'!$A$140,$CQ$205^A71,IF(A71='Données projet'!$A$140,'Données projet'!$B$140,CT70+CS71-DB70)))</f>
        <v>288.59999999999985</v>
      </c>
      <c r="CU71" s="17">
        <f>CT71*VLOOKUP('Données projet'!$B$13,Paramètres!$A$1:$I$89,3,0)*VLOOKUP('Données projet'!$B$13,Paramètres!$A$1:$I$89,5,0)</f>
        <v>247.61879999999991</v>
      </c>
      <c r="CV71" s="13">
        <f t="shared" si="95"/>
        <v>60.075759045345485</v>
      </c>
      <c r="CW71" s="20">
        <f t="shared" si="67"/>
        <v>535.90135700397661</v>
      </c>
      <c r="CX71" s="59">
        <f t="shared" si="68"/>
        <v>829.23469033730998</v>
      </c>
      <c r="CY71" s="59">
        <f ca="1">AVERAGE(OFFSET($CX$3,0,0,'Données projet'!$E$13+1,1))-AVERAGE(OFFSET($H$3,0,0,'Données projet'!$E$13+1,1))</f>
        <v>310.4018929413723</v>
      </c>
      <c r="CZ71" s="59">
        <f t="shared" si="96"/>
        <v>127.5231137583819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2.0528609693926025</v>
      </c>
      <c r="DH71" s="21">
        <f>EXP(-LN(2)/2)*DH70+(1-EXP(-LN(2)/2))/(LN(2)/2)*DB71*DE71*VLOOKUP('Données projet'!$B$13,Paramètres!$A$1:$I$89,3,0)*0.475*44/12</f>
        <v>1.7033205672156363E-5</v>
      </c>
      <c r="DI71" s="22">
        <f t="shared" si="69"/>
        <v>2.0528780025982747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>
        <f>DO71*VLOOKUP('Données projet'!$B$14,Paramètres!$A$1:$I$89,3,0)*VLOOKUP('Données projet'!$B$14,Paramètres!$A$1:$I$89,5,0)</f>
        <v>234.03743999999983</v>
      </c>
      <c r="DQ71" s="13">
        <f t="shared" si="97"/>
        <v>57.154784339928689</v>
      </c>
      <c r="DR71" s="20">
        <f t="shared" si="70"/>
        <v>507.15979072537556</v>
      </c>
      <c r="DS71" s="59">
        <f t="shared" si="71"/>
        <v>800.49312405870887</v>
      </c>
      <c r="DT71" s="59">
        <f ca="1">AVERAGE(OFFSET($DS$3,0,0,'Données projet'!$E$14+1,1))-AVERAGE(OFFSET($H$3,0,0,'Données projet'!$E$14+1,1))</f>
        <v>234.09142087023463</v>
      </c>
      <c r="DU71" s="59">
        <f t="shared" si="98"/>
        <v>278.990685815294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1.1494854953721181</v>
      </c>
      <c r="EB71" s="21">
        <f>EXP(-LN(2)/25)*EB70+(1-EXP(-LN(2)/25))/(LN(2)/25)*Calculateur!DW71*Calculateur!DY71*VLOOKUP('Données projet'!$B$14,Paramètres!$A$1:$I$89,3,0)*0.475*44/12</f>
        <v>5.3496284847890747</v>
      </c>
      <c r="EC71" s="21">
        <f>EXP(-LN(2)/2)*EC70+(1-EXP(-LN(2)/2))/(LN(2)/2)*DW71*DZ71*VLOOKUP('Données projet'!$B$14,Paramètres!$A$1:$I$89,3,0)*0.475*44/12</f>
        <v>4.2254676440354731E-5</v>
      </c>
      <c r="ED71" s="22">
        <f t="shared" si="72"/>
        <v>6.4991562348376331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402.50000000000023</v>
      </c>
      <c r="AJ72" s="13">
        <f>AI72*VLOOKUP('Données projet'!$B$10,Paramètres!$A$1:$I$89,3,0)*VLOOKUP('Données projet'!$B$10,Paramètres!$A$1:$I$89,5,0)</f>
        <v>219.76500000000013</v>
      </c>
      <c r="AK72" s="13">
        <f t="shared" si="89"/>
        <v>54.063806455114872</v>
      </c>
      <c r="AL72" s="20">
        <f t="shared" si="58"/>
        <v>476.91850457599202</v>
      </c>
      <c r="AM72" s="59">
        <f t="shared" si="59"/>
        <v>770.25183790932533</v>
      </c>
      <c r="AN72" s="59">
        <f ca="1">AVERAGE(OFFSET($AM$3,0,0,'Données projet'!$E$10+1,1))-AVERAGE(OFFSET($H$3,0,0,'Données projet'!$E$10+1,1))</f>
        <v>210.04871822652808</v>
      </c>
      <c r="AO72" s="59">
        <f t="shared" si="90"/>
        <v>250.17540614049324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3.3724700966220413</v>
      </c>
      <c r="AV72" s="21">
        <f>EXP(-LN(2)/25)*AV71+(1-EXP(-LN(2)/25))/(LN(2)/25)*Calculateur!AQ72*Calculateur!AS72*VLOOKUP('Données projet'!$B$10,Paramètres!$A$1:$I$89,3,0)*0.475*44/12</f>
        <v>9.4388166210561693</v>
      </c>
      <c r="AW72" s="21">
        <f>EXP(-LN(2)/2)*AW71+(1-EXP(-LN(2)/2))/(LN(2)/2)*AQ72*AT72*VLOOKUP('Données projet'!$B$10,Paramètres!$A$1:$I$89,3,0)*0.475*44/12</f>
        <v>2.9069711469882448E-5</v>
      </c>
      <c r="AX72" s="21">
        <f t="shared" si="60"/>
        <v>12.811315787389681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16.399999999999999</v>
      </c>
      <c r="BD72" s="12">
        <f>IF('Données projet'!$A$88&gt;35,BD71+BC72-BL71,IF(A72&lt;'Données projet'!$A$88,$BA$205^A72,IF(A72='Données projet'!$A$88,'Données projet'!$B$88,BD71+BC72-BL71)))</f>
        <v>547.59999999999957</v>
      </c>
      <c r="BE72" s="13">
        <f>BD72*VLOOKUP('Données projet'!$B$11,Paramètres!$A$1:$I$89,3,0)*VLOOKUP('Données projet'!$B$11,Paramètres!$A$1:$I$89,5,0)</f>
        <v>327.4647999999998</v>
      </c>
      <c r="BF72" s="13">
        <f t="shared" si="91"/>
        <v>76.904459845729477</v>
      </c>
      <c r="BG72" s="20">
        <f t="shared" si="61"/>
        <v>704.27646089797838</v>
      </c>
      <c r="BH72" s="59">
        <f t="shared" si="62"/>
        <v>997.60979423131175</v>
      </c>
      <c r="BI72" s="59">
        <f ca="1">AVERAGE(OFFSET($BH$3,0,0,'Données projet'!$E$11+1,1))-AVERAGE(OFFSET($H$3,0,0,'Données projet'!$E$11+1,1))</f>
        <v>316.58509520829671</v>
      </c>
      <c r="BJ72" s="59">
        <f t="shared" si="92"/>
        <v>240.71332110643596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1.1707575824370315</v>
      </c>
      <c r="BQ72" s="21">
        <f>EXP(-LN(2)/25)*BQ71+(1-EXP(-LN(2)/25))/(LN(2)/25)*Calculateur!BL72*Calculateur!BN72*VLOOKUP('Données projet'!$B$11,Paramètres!$A$1:$I$89,3,0)*0.475*44/12</f>
        <v>5.178133865078463</v>
      </c>
      <c r="BR72" s="21">
        <f>EXP(-LN(2)/2)*BR71+(1-EXP(-LN(2)/2))/(LN(2)/2)*BL72*BO72*VLOOKUP('Données projet'!$B$11,Paramètres!$A$1:$I$89,3,0)*0.475*44/12</f>
        <v>2.9589573401784297E-5</v>
      </c>
      <c r="BS72" s="22">
        <f t="shared" si="63"/>
        <v>6.3489210370888971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324.09999999999974</v>
      </c>
      <c r="BZ72" s="13">
        <f>BY72*VLOOKUP('Données projet'!$B$12,Paramètres!$A$1:$I$89,3,0)*VLOOKUP('Données projet'!$B$12,Paramètres!$A$1:$I$89,5,0)</f>
        <v>257.8539599999998</v>
      </c>
      <c r="CA72" s="13">
        <f t="shared" si="93"/>
        <v>62.26470852302274</v>
      </c>
      <c r="CB72" s="20">
        <f t="shared" si="64"/>
        <v>557.54001434426425</v>
      </c>
      <c r="CC72" s="59">
        <f t="shared" si="65"/>
        <v>850.87334767759762</v>
      </c>
      <c r="CD72" s="59">
        <f ca="1">AVERAGE(OFFSET($CC$3,0,0,'Données projet'!$E$12+1,1))-AVERAGE(OFFSET($H$3,0,0,'Données projet'!$E$12+1,1))</f>
        <v>260.20517190557814</v>
      </c>
      <c r="CE72" s="59">
        <f t="shared" si="94"/>
        <v>307.22009971147133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1.5072398596510228</v>
      </c>
      <c r="CL72" s="21">
        <f>EXP(-LN(2)/25)*CL71+(1-EXP(-LN(2)/25))/(LN(2)/25)*Calculateur!CG72*Calculateur!CI72*VLOOKUP('Données projet'!$B$12,Paramètres!$A$1:$I$89,3,0)*0.475*44/12</f>
        <v>6.9592454634916612</v>
      </c>
      <c r="CM72" s="21">
        <f>EXP(-LN(2)/2)*CM71+(1-EXP(-LN(2)/2))/(LN(2)/2)*CG72*CJ72*VLOOKUP('Données projet'!$B$12,Paramètres!$A$1:$I$89,3,0)*0.475*44/12</f>
        <v>3.2421425119972929E-5</v>
      </c>
      <c r="CN72" s="22">
        <f t="shared" si="66"/>
        <v>8.4665177445678044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10.7</v>
      </c>
      <c r="CT72" s="12">
        <f>IF('Données projet'!$A$140&gt;35,CT71+CS72-DB71,IF(A72&lt;'Données projet'!$A$140,$CQ$205^A72,IF(A72='Données projet'!$A$140,'Données projet'!$B$140,CT71+CS72-DB71)))</f>
        <v>299.29999999999984</v>
      </c>
      <c r="CU72" s="17">
        <f>CT72*VLOOKUP('Données projet'!$B$13,Paramètres!$A$1:$I$89,3,0)*VLOOKUP('Données projet'!$B$13,Paramètres!$A$1:$I$89,5,0)</f>
        <v>256.79939999999988</v>
      </c>
      <c r="CV72" s="13">
        <f t="shared" si="95"/>
        <v>62.039648337165382</v>
      </c>
      <c r="CW72" s="20">
        <f t="shared" si="67"/>
        <v>555.31134252056279</v>
      </c>
      <c r="CX72" s="59">
        <f t="shared" si="68"/>
        <v>848.64467585389616</v>
      </c>
      <c r="CY72" s="59">
        <f ca="1">AVERAGE(OFFSET($CX$3,0,0,'Données projet'!$E$13+1,1))-AVERAGE(OFFSET($H$3,0,0,'Données projet'!$E$13+1,1))</f>
        <v>310.4018929413723</v>
      </c>
      <c r="CZ72" s="59">
        <f t="shared" si="96"/>
        <v>127.5231137583819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1.9967253782292953</v>
      </c>
      <c r="DH72" s="21">
        <f>EXP(-LN(2)/2)*DH71+(1-EXP(-LN(2)/2))/(LN(2)/2)*DB72*DE72*VLOOKUP('Données projet'!$B$13,Paramètres!$A$1:$I$89,3,0)*0.475*44/12</f>
        <v>1.204429523612693E-5</v>
      </c>
      <c r="DI72" s="22">
        <f t="shared" si="69"/>
        <v>1.9967374225245313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>
        <f>DO72*VLOOKUP('Données projet'!$B$14,Paramètres!$A$1:$I$89,3,0)*VLOOKUP('Données projet'!$B$14,Paramètres!$A$1:$I$89,5,0)</f>
        <v>237.63011999999978</v>
      </c>
      <c r="DQ72" s="13">
        <f t="shared" si="97"/>
        <v>57.929345140756112</v>
      </c>
      <c r="DR72" s="20">
        <f t="shared" si="70"/>
        <v>514.76606845348317</v>
      </c>
      <c r="DS72" s="59">
        <f t="shared" si="71"/>
        <v>808.09940178681654</v>
      </c>
      <c r="DT72" s="59">
        <f ca="1">AVERAGE(OFFSET($DS$3,0,0,'Données projet'!$E$14+1,1))-AVERAGE(OFFSET($H$3,0,0,'Données projet'!$E$14+1,1))</f>
        <v>234.09142087023463</v>
      </c>
      <c r="DU72" s="59">
        <f t="shared" si="98"/>
        <v>278.990685815294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1.1269447859247934</v>
      </c>
      <c r="EB72" s="21">
        <f>EXP(-LN(2)/25)*EB71+(1-EXP(-LN(2)/25))/(LN(2)/25)*Calculateur!DW72*Calculateur!DY72*VLOOKUP('Données projet'!$B$14,Paramètres!$A$1:$I$89,3,0)*0.475*44/12</f>
        <v>5.2033426125477824</v>
      </c>
      <c r="EC72" s="21">
        <f>EXP(-LN(2)/2)*EC71+(1-EXP(-LN(2)/2))/(LN(2)/2)*DW72*DZ72*VLOOKUP('Données projet'!$B$14,Paramètres!$A$1:$I$89,3,0)*0.475*44/12</f>
        <v>2.9878568247818281E-5</v>
      </c>
      <c r="ED72" s="22">
        <f t="shared" si="72"/>
        <v>6.330317277040824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411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411.00000000000023</v>
      </c>
      <c r="AJ73" s="13">
        <f>AI73*VLOOKUP('Données projet'!$B$10,Paramètres!$A$1:$I$89,3,0)*VLOOKUP('Données projet'!$B$10,Paramètres!$A$1:$I$89,5,0)</f>
        <v>224.40600000000012</v>
      </c>
      <c r="AK73" s="13">
        <f t="shared" si="89"/>
        <v>55.071400090717127</v>
      </c>
      <c r="AL73" s="20">
        <f t="shared" si="58"/>
        <v>486.75647182466588</v>
      </c>
      <c r="AM73" s="59">
        <f t="shared" si="59"/>
        <v>780.08980515799919</v>
      </c>
      <c r="AN73" s="59">
        <f ca="1">AVERAGE(OFFSET($AM$3,0,0,'Données projet'!$E$10+1,1))-AVERAGE(OFFSET($H$3,0,0,'Données projet'!$E$10+1,1))</f>
        <v>210.04871822652808</v>
      </c>
      <c r="AO73" s="59">
        <f t="shared" si="90"/>
        <v>250.17540614049324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3.3063380150309296</v>
      </c>
      <c r="AV73" s="21">
        <f>EXP(-LN(2)/25)*AV72+(1-EXP(-LN(2)/25))/(LN(2)/25)*Calculateur!AQ73*Calculateur!AS73*VLOOKUP('Données projet'!$B$10,Paramètres!$A$1:$I$89,3,0)*0.475*44/12</f>
        <v>9.1807116841875942</v>
      </c>
      <c r="AW73" s="21">
        <f>EXP(-LN(2)/2)*AW72+(1-EXP(-LN(2)/2))/(LN(2)/2)*AQ73*AT73*VLOOKUP('Données projet'!$B$10,Paramètres!$A$1:$I$89,3,0)*0.475*44/12</f>
        <v>2.0555390107490242E-5</v>
      </c>
      <c r="AX73" s="21">
        <f t="shared" si="60"/>
        <v>12.487070254608632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564</v>
      </c>
      <c r="BB73" s="12">
        <f>VLOOKUP(A73,'Données projet'!$A$87:$I$107,9,0)</f>
        <v>16.399999999999999</v>
      </c>
      <c r="BC73" s="12">
        <f t="array" ref="BC73">INDEX(BB:BB,MIN(IF(ISNUMBER(BB73:BB269),ROW(BB73:BB269),"")))</f>
        <v>16.399999999999999</v>
      </c>
      <c r="BD73" s="12">
        <f>IF('Données projet'!$A$88&gt;35,BD72+BC73-BL72,IF(A73&lt;'Données projet'!$A$88,$BA$205^A73,IF(A73='Données projet'!$A$88,'Données projet'!$B$88,BD72+BC73-BL72)))</f>
        <v>563.99999999999955</v>
      </c>
      <c r="BE73" s="13">
        <f>BD73*VLOOKUP('Données projet'!$B$11,Paramètres!$A$1:$I$89,3,0)*VLOOKUP('Données projet'!$B$11,Paramètres!$A$1:$I$89,5,0)</f>
        <v>337.27199999999976</v>
      </c>
      <c r="BF73" s="13">
        <f t="shared" si="91"/>
        <v>78.936060366406466</v>
      </c>
      <c r="BG73" s="20">
        <f t="shared" si="61"/>
        <v>724.8957051381575</v>
      </c>
      <c r="BH73" s="59">
        <f t="shared" si="62"/>
        <v>1018.2290384714909</v>
      </c>
      <c r="BI73" s="59">
        <f ca="1">AVERAGE(OFFSET($BH$3,0,0,'Données projet'!$E$11+1,1))-AVERAGE(OFFSET($H$3,0,0,'Données projet'!$E$11+1,1))</f>
        <v>316.58509520829671</v>
      </c>
      <c r="BJ73" s="59">
        <f t="shared" si="92"/>
        <v>240.71332110643596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103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1.1477997403370559</v>
      </c>
      <c r="BQ73" s="21">
        <f>EXP(-LN(2)/25)*BQ72+(1-EXP(-LN(2)/25))/(LN(2)/25)*Calculateur!BL73*Calculateur!BN73*VLOOKUP('Données projet'!$B$11,Paramètres!$A$1:$I$89,3,0)*0.475*44/12</f>
        <v>5.0365375222316668</v>
      </c>
      <c r="BR73" s="21">
        <f>EXP(-LN(2)/2)*BR72+(1-EXP(-LN(2)/2))/(LN(2)/2)*BL73*BO73*VLOOKUP('Données projet'!$B$11,Paramètres!$A$1:$I$89,3,0)*0.475*44/12</f>
        <v>2.0922988004818777E-5</v>
      </c>
      <c r="BS73" s="22">
        <f t="shared" si="63"/>
        <v>6.1843581855567269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329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328.99999999999972</v>
      </c>
      <c r="BZ73" s="13">
        <f>BY73*VLOOKUP('Données projet'!$B$12,Paramètres!$A$1:$I$89,3,0)*VLOOKUP('Données projet'!$B$12,Paramètres!$A$1:$I$89,5,0)</f>
        <v>261.7523999999998</v>
      </c>
      <c r="CA73" s="13">
        <f t="shared" si="93"/>
        <v>63.095772658160975</v>
      </c>
      <c r="CB73" s="20">
        <f t="shared" si="64"/>
        <v>565.7772340462966</v>
      </c>
      <c r="CC73" s="59">
        <f t="shared" si="65"/>
        <v>859.11056737962986</v>
      </c>
      <c r="CD73" s="59">
        <f ca="1">AVERAGE(OFFSET($CC$3,0,0,'Données projet'!$E$12+1,1))-AVERAGE(OFFSET($H$3,0,0,'Données projet'!$E$12+1,1))</f>
        <v>260.20517190557814</v>
      </c>
      <c r="CE73" s="59">
        <f t="shared" si="94"/>
        <v>307.22009971147133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1.4776838053288048</v>
      </c>
      <c r="CL73" s="21">
        <f>EXP(-LN(2)/25)*CL72+(1-EXP(-LN(2)/25))/(LN(2)/25)*Calculateur!CG73*Calculateur!CI73*VLOOKUP('Données projet'!$B$12,Paramètres!$A$1:$I$89,3,0)*0.475*44/12</f>
        <v>6.7689445303216687</v>
      </c>
      <c r="CM73" s="21">
        <f>EXP(-LN(2)/2)*CM72+(1-EXP(-LN(2)/2))/(LN(2)/2)*CG73*CJ73*VLOOKUP('Données projet'!$B$12,Paramètres!$A$1:$I$89,3,0)*0.475*44/12</f>
        <v>2.2925409558064734E-5</v>
      </c>
      <c r="CN73" s="22">
        <f t="shared" si="66"/>
        <v>8.2466512610600322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310</v>
      </c>
      <c r="CR73" s="12">
        <f>VLOOKUP(A73,'Données projet'!$A$139:$I$159,9,0)</f>
        <v>10.7</v>
      </c>
      <c r="CS73" s="12">
        <f t="array" ref="CS73">INDEX(CR:CR,MIN(IF(ISNUMBER(CR73:CR269),ROW(CR73:CR269),"")))</f>
        <v>10.7</v>
      </c>
      <c r="CT73" s="12">
        <f>IF('Données projet'!$A$140&gt;35,CT72+CS73-DB72,IF(A73&lt;'Données projet'!$A$140,$CQ$205^A73,IF(A73='Données projet'!$A$140,'Données projet'!$B$140,CT72+CS73-DB72)))</f>
        <v>309.99999999999983</v>
      </c>
      <c r="CU73" s="17">
        <f>CT73*VLOOKUP('Données projet'!$B$13,Paramètres!$A$1:$I$89,3,0)*VLOOKUP('Données projet'!$B$13,Paramètres!$A$1:$I$89,5,0)</f>
        <v>265.9799999999999</v>
      </c>
      <c r="CV73" s="13">
        <f t="shared" si="95"/>
        <v>63.995380422211589</v>
      </c>
      <c r="CW73" s="20">
        <f t="shared" si="67"/>
        <v>574.70712090201835</v>
      </c>
      <c r="CX73" s="59">
        <f t="shared" si="68"/>
        <v>868.04045423535172</v>
      </c>
      <c r="CY73" s="59">
        <f ca="1">AVERAGE(OFFSET($CX$3,0,0,'Données projet'!$E$13+1,1))-AVERAGE(OFFSET($H$3,0,0,'Données projet'!$E$13+1,1))</f>
        <v>310.4018929413723</v>
      </c>
      <c r="CZ73" s="59">
        <f t="shared" si="96"/>
        <v>127.5231137583819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72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1.9421248177583912</v>
      </c>
      <c r="DH73" s="21">
        <f>EXP(-LN(2)/2)*DH72+(1-EXP(-LN(2)/2))/(LN(2)/2)*DB73*DE73*VLOOKUP('Données projet'!$B$13,Paramètres!$A$1:$I$89,3,0)*0.475*44/12</f>
        <v>8.5166028360781816E-6</v>
      </c>
      <c r="DI73" s="22">
        <f t="shared" si="69"/>
        <v>1.9421333343612273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>
        <f>DO73*VLOOKUP('Données projet'!$B$14,Paramètres!$A$1:$I$89,3,0)*VLOOKUP('Données projet'!$B$14,Paramètres!$A$1:$I$89,5,0)</f>
        <v>241.22279999999978</v>
      </c>
      <c r="DQ73" s="13">
        <f t="shared" si="97"/>
        <v>58.702543992248778</v>
      </c>
      <c r="DR73" s="20">
        <f t="shared" si="70"/>
        <v>522.36997411983293</v>
      </c>
      <c r="DS73" s="59">
        <f t="shared" si="71"/>
        <v>815.70330745316619</v>
      </c>
      <c r="DT73" s="59">
        <f ca="1">AVERAGE(OFFSET($DS$3,0,0,'Données projet'!$E$14+1,1))-AVERAGE(OFFSET($H$3,0,0,'Données projet'!$E$14+1,1))</f>
        <v>234.09142087023463</v>
      </c>
      <c r="DU73" s="59">
        <f t="shared" si="98"/>
        <v>278.990685815294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26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1.1048460860412557</v>
      </c>
      <c r="EB73" s="21">
        <f>EXP(-LN(2)/25)*EB72+(1-EXP(-LN(2)/25))/(LN(2)/25)*Calculateur!DW73*Calculateur!DY73*VLOOKUP('Données projet'!$B$14,Paramètres!$A$1:$I$89,3,0)*0.475*44/12</f>
        <v>5.0610569351757677</v>
      </c>
      <c r="EC73" s="21">
        <f>EXP(-LN(2)/2)*EC72+(1-EXP(-LN(2)/2))/(LN(2)/2)*DW73*DZ73*VLOOKUP('Données projet'!$B$14,Paramètres!$A$1:$I$89,3,0)*0.475*44/12</f>
        <v>2.1127338220177369E-5</v>
      </c>
      <c r="ED73" s="22">
        <f t="shared" si="72"/>
        <v>6.1659241485552432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366.4000000000002</v>
      </c>
      <c r="AJ74" s="13">
        <f>AI74*VLOOKUP('Données projet'!$B$10,Paramètres!$A$1:$I$89,3,0)*VLOOKUP('Données projet'!$B$10,Paramètres!$A$1:$I$89,5,0)</f>
        <v>200.05440000000013</v>
      </c>
      <c r="AK74" s="13">
        <f t="shared" si="89"/>
        <v>49.756123009618236</v>
      </c>
      <c r="AL74" s="20">
        <f t="shared" si="58"/>
        <v>435.08666090841865</v>
      </c>
      <c r="AM74" s="59">
        <f t="shared" si="59"/>
        <v>728.41999424175197</v>
      </c>
      <c r="AN74" s="59">
        <f ca="1">AVERAGE(OFFSET($AM$3,0,0,'Données projet'!$E$10+1,1))-AVERAGE(OFFSET($H$3,0,0,'Données projet'!$E$10+1,1))</f>
        <v>210.04871822652808</v>
      </c>
      <c r="AO74" s="59">
        <f t="shared" si="90"/>
        <v>250.17540614049324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3.2415027432232328</v>
      </c>
      <c r="AV74" s="21">
        <f>EXP(-LN(2)/25)*AV73+(1-EXP(-LN(2)/25))/(LN(2)/25)*Calculateur!AQ74*Calculateur!AS74*VLOOKUP('Données projet'!$B$10,Paramètres!$A$1:$I$89,3,0)*0.475*44/12</f>
        <v>8.9296646403908397</v>
      </c>
      <c r="AW74" s="21">
        <f>EXP(-LN(2)/2)*AW73+(1-EXP(-LN(2)/2))/(LN(2)/2)*AQ74*AT74*VLOOKUP('Données projet'!$B$10,Paramètres!$A$1:$I$89,3,0)*0.475*44/12</f>
        <v>1.4534855734941227E-5</v>
      </c>
      <c r="AX74" s="21">
        <f t="shared" si="60"/>
        <v>12.171181918469808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14.5</v>
      </c>
      <c r="BD74" s="12">
        <f>IF('Données projet'!$A$88&gt;35,BD73+BC74-BL73,IF(A74&lt;'Données projet'!$A$88,$BA$205^A74,IF(A74='Données projet'!$A$88,'Données projet'!$B$88,BD73+BC74-BL73)))</f>
        <v>475.49999999999955</v>
      </c>
      <c r="BE74" s="13">
        <f>BD74*VLOOKUP('Données projet'!$B$11,Paramètres!$A$1:$I$89,3,0)*VLOOKUP('Données projet'!$B$11,Paramètres!$A$1:$I$89,5,0)</f>
        <v>284.34899999999976</v>
      </c>
      <c r="BF74" s="13">
        <f t="shared" si="91"/>
        <v>67.88525155188097</v>
      </c>
      <c r="BG74" s="20">
        <f t="shared" si="61"/>
        <v>613.47465478619222</v>
      </c>
      <c r="BH74" s="59">
        <f t="shared" si="62"/>
        <v>906.80798811952559</v>
      </c>
      <c r="BI74" s="59">
        <f ca="1">AVERAGE(OFFSET($BH$3,0,0,'Données projet'!$E$11+1,1))-AVERAGE(OFFSET($H$3,0,0,'Données projet'!$E$11+1,1))</f>
        <v>316.58509520829671</v>
      </c>
      <c r="BJ74" s="59">
        <f t="shared" si="92"/>
        <v>240.71332110643596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1.1252920875177599</v>
      </c>
      <c r="BQ74" s="21">
        <f>EXP(-LN(2)/25)*BQ73+(1-EXP(-LN(2)/25))/(LN(2)/25)*Calculateur!BL74*Calculateur!BN74*VLOOKUP('Données projet'!$B$11,Paramètres!$A$1:$I$89,3,0)*0.475*44/12</f>
        <v>4.8988131388262444</v>
      </c>
      <c r="BR74" s="21">
        <f>EXP(-LN(2)/2)*BR73+(1-EXP(-LN(2)/2))/(LN(2)/2)*BL74*BO74*VLOOKUP('Données projet'!$B$11,Paramètres!$A$1:$I$89,3,0)*0.475*44/12</f>
        <v>1.479478670089215E-5</v>
      </c>
      <c r="BS74" s="22">
        <f t="shared" si="63"/>
        <v>6.0241200211307051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3.9</v>
      </c>
      <c r="BY74" s="12">
        <f>IF('Données projet'!$A$114&gt;35,BY73+BX74-CG73,IF(A74&lt;'Données projet'!$A$114,$BV$205^A74,IF(A74='Données projet'!$A$114,'Données projet'!$B$114,BY73+BX74-CG73)))</f>
        <v>306.89999999999969</v>
      </c>
      <c r="BZ74" s="13">
        <f>BY74*VLOOKUP('Données projet'!$B$12,Paramètres!$A$1:$I$89,3,0)*VLOOKUP('Données projet'!$B$12,Paramètres!$A$1:$I$89,5,0)</f>
        <v>244.16963999999976</v>
      </c>
      <c r="CA74" s="13">
        <f t="shared" si="93"/>
        <v>59.335747541340979</v>
      </c>
      <c r="CB74" s="20">
        <f t="shared" si="64"/>
        <v>528.60521663450174</v>
      </c>
      <c r="CC74" s="59">
        <f t="shared" si="65"/>
        <v>821.93854996783512</v>
      </c>
      <c r="CD74" s="59">
        <f ca="1">AVERAGE(OFFSET($CC$3,0,0,'Données projet'!$E$12+1,1))-AVERAGE(OFFSET($H$3,0,0,'Données projet'!$E$12+1,1))</f>
        <v>260.20517190557814</v>
      </c>
      <c r="CE74" s="59">
        <f t="shared" si="94"/>
        <v>307.22009971147133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1.4487073272044324</v>
      </c>
      <c r="CL74" s="21">
        <f>EXP(-LN(2)/25)*CL73+(1-EXP(-LN(2)/25))/(LN(2)/25)*Calculateur!CG74*Calculateur!CI74*VLOOKUP('Données projet'!$B$12,Paramètres!$A$1:$I$89,3,0)*0.475*44/12</f>
        <v>6.5838473861767008</v>
      </c>
      <c r="CM74" s="21">
        <f>EXP(-LN(2)/2)*CM73+(1-EXP(-LN(2)/2))/(LN(2)/2)*CG74*CJ74*VLOOKUP('Données projet'!$B$12,Paramètres!$A$1:$I$89,3,0)*0.475*44/12</f>
        <v>1.6210712559986465E-5</v>
      </c>
      <c r="CN74" s="22">
        <f t="shared" si="66"/>
        <v>8.0325709240936938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10.1</v>
      </c>
      <c r="CT74" s="12">
        <f>IF('Données projet'!$A$140&gt;35,CT73+CS74-DB73,IF(A74&lt;'Données projet'!$A$140,$CQ$205^A74,IF(A74='Données projet'!$A$140,'Données projet'!$B$140,CT73+CS74-DB73)))</f>
        <v>248.09999999999985</v>
      </c>
      <c r="CU74" s="17">
        <f>CT74*VLOOKUP('Données projet'!$B$13,Paramètres!$A$1:$I$89,3,0)*VLOOKUP('Données projet'!$B$13,Paramètres!$A$1:$I$89,5,0)</f>
        <v>212.86979999999988</v>
      </c>
      <c r="CV74" s="13">
        <f t="shared" si="95"/>
        <v>52.562212940483391</v>
      </c>
      <c r="CW74" s="20">
        <f t="shared" si="67"/>
        <v>462.294089204675</v>
      </c>
      <c r="CX74" s="59">
        <f t="shared" si="68"/>
        <v>755.62742253800832</v>
      </c>
      <c r="CY74" s="59">
        <f ca="1">AVERAGE(OFFSET($CX$3,0,0,'Données projet'!$E$13+1,1))-AVERAGE(OFFSET($H$3,0,0,'Données projet'!$E$13+1,1))</f>
        <v>310.4018929413723</v>
      </c>
      <c r="CZ74" s="59">
        <f t="shared" si="96"/>
        <v>127.5231137583819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1.8890173124848826</v>
      </c>
      <c r="DH74" s="21">
        <f>EXP(-LN(2)/2)*DH73+(1-EXP(-LN(2)/2))/(LN(2)/2)*DB74*DE74*VLOOKUP('Données projet'!$B$13,Paramètres!$A$1:$I$89,3,0)*0.475*44/12</f>
        <v>6.0221476180634648E-6</v>
      </c>
      <c r="DI74" s="22">
        <f t="shared" si="69"/>
        <v>1.8890233346325007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>
        <f>DO74*VLOOKUP('Données projet'!$B$14,Paramètres!$A$1:$I$89,3,0)*VLOOKUP('Données projet'!$B$14,Paramètres!$A$1:$I$89,5,0)</f>
        <v>225.01907999999978</v>
      </c>
      <c r="DQ74" s="13">
        <f t="shared" si="97"/>
        <v>55.20432167824503</v>
      </c>
      <c r="DR74" s="20">
        <f t="shared" si="70"/>
        <v>488.05575792294297</v>
      </c>
      <c r="DS74" s="59">
        <f t="shared" si="71"/>
        <v>781.38909125627629</v>
      </c>
      <c r="DT74" s="59">
        <f ca="1">AVERAGE(OFFSET($DS$3,0,0,'Données projet'!$E$14+1,1))-AVERAGE(OFFSET($H$3,0,0,'Données projet'!$E$14+1,1))</f>
        <v>234.09142087023463</v>
      </c>
      <c r="DU74" s="59">
        <f t="shared" si="98"/>
        <v>278.990685815294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1.0831807281835582</v>
      </c>
      <c r="EB74" s="21">
        <f>EXP(-LN(2)/25)*EB73+(1-EXP(-LN(2)/25))/(LN(2)/25)*Calculateur!DW74*Calculateur!DY74*VLOOKUP('Données projet'!$B$14,Paramètres!$A$1:$I$89,3,0)*0.475*44/12</f>
        <v>4.9226620671339694</v>
      </c>
      <c r="EC74" s="21">
        <f>EXP(-LN(2)/2)*EC73+(1-EXP(-LN(2)/2))/(LN(2)/2)*DW74*DZ74*VLOOKUP('Données projet'!$B$14,Paramètres!$A$1:$I$89,3,0)*0.475*44/12</f>
        <v>1.4939284123909142E-5</v>
      </c>
      <c r="ED74" s="22">
        <f t="shared" si="72"/>
        <v>6.0058577346016513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373.80000000000018</v>
      </c>
      <c r="AJ75" s="13">
        <f>AI75*VLOOKUP('Données projet'!$B$10,Paramètres!$A$1:$I$89,3,0)*VLOOKUP('Données projet'!$B$10,Paramètres!$A$1:$I$89,5,0)</f>
        <v>204.09480000000011</v>
      </c>
      <c r="AK75" s="13">
        <f t="shared" si="89"/>
        <v>50.643016586252969</v>
      </c>
      <c r="AL75" s="20">
        <f t="shared" si="58"/>
        <v>443.66836388772407</v>
      </c>
      <c r="AM75" s="59">
        <f t="shared" si="59"/>
        <v>737.00169722105738</v>
      </c>
      <c r="AN75" s="59">
        <f ca="1">AVERAGE(OFFSET($AM$3,0,0,'Données projet'!$E$10+1,1))-AVERAGE(OFFSET($H$3,0,0,'Données projet'!$E$10+1,1))</f>
        <v>210.04871822652808</v>
      </c>
      <c r="AO75" s="59">
        <f t="shared" si="90"/>
        <v>250.17540614049324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3.1779388515500742</v>
      </c>
      <c r="AV75" s="21">
        <f>EXP(-LN(2)/25)*AV74+(1-EXP(-LN(2)/25))/(LN(2)/25)*Calculateur!AQ75*Calculateur!AS75*VLOOKUP('Données projet'!$B$10,Paramètres!$A$1:$I$89,3,0)*0.475*44/12</f>
        <v>8.6854824912086972</v>
      </c>
      <c r="AW75" s="21">
        <f>EXP(-LN(2)/2)*AW74+(1-EXP(-LN(2)/2))/(LN(2)/2)*AQ75*AT75*VLOOKUP('Données projet'!$B$10,Paramètres!$A$1:$I$89,3,0)*0.475*44/12</f>
        <v>1.0277695053745123E-5</v>
      </c>
      <c r="AX75" s="21">
        <f t="shared" si="60"/>
        <v>11.863431620453825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14.5</v>
      </c>
      <c r="BD75" s="12">
        <f>IF('Données projet'!$A$88&gt;35,BD74+BC75-BL74,IF(A75&lt;'Données projet'!$A$88,$BA$205^A75,IF(A75='Données projet'!$A$88,'Données projet'!$B$88,BD74+BC75-BL74)))</f>
        <v>489.99999999999955</v>
      </c>
      <c r="BE75" s="13">
        <f>BD75*VLOOKUP('Données projet'!$B$11,Paramètres!$A$1:$I$89,3,0)*VLOOKUP('Données projet'!$B$11,Paramètres!$A$1:$I$89,5,0)</f>
        <v>293.01999999999975</v>
      </c>
      <c r="BF75" s="13">
        <f t="shared" si="91"/>
        <v>69.711188549176683</v>
      </c>
      <c r="BG75" s="20">
        <f t="shared" si="61"/>
        <v>631.75682005648218</v>
      </c>
      <c r="BH75" s="59">
        <f t="shared" si="62"/>
        <v>925.09015338981544</v>
      </c>
      <c r="BI75" s="59">
        <f ca="1">AVERAGE(OFFSET($BH$3,0,0,'Données projet'!$E$11+1,1))-AVERAGE(OFFSET($H$3,0,0,'Données projet'!$E$11+1,1))</f>
        <v>316.58509520829671</v>
      </c>
      <c r="BJ75" s="59">
        <f t="shared" si="92"/>
        <v>240.71332110643596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1.1032257960419376</v>
      </c>
      <c r="BQ75" s="21">
        <f>EXP(-LN(2)/25)*BQ74+(1-EXP(-LN(2)/25))/(LN(2)/25)*Calculateur!BL75*Calculateur!BN75*VLOOKUP('Données projet'!$B$11,Paramètres!$A$1:$I$89,3,0)*0.475*44/12</f>
        <v>4.7648548359276539</v>
      </c>
      <c r="BR75" s="21">
        <f>EXP(-LN(2)/2)*BR74+(1-EXP(-LN(2)/2))/(LN(2)/2)*BL75*BO75*VLOOKUP('Données projet'!$B$11,Paramètres!$A$1:$I$89,3,0)*0.475*44/12</f>
        <v>1.046149400240939E-5</v>
      </c>
      <c r="BS75" s="22">
        <f t="shared" si="63"/>
        <v>5.8680910934635939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3.9</v>
      </c>
      <c r="BY75" s="12">
        <f>IF('Données projet'!$A$114&gt;35,BY74+BX75-CG74,IF(A75&lt;'Données projet'!$A$114,$BV$205^A75,IF(A75='Données projet'!$A$114,'Données projet'!$B$114,BY74+BX75-CG74)))</f>
        <v>310.79999999999967</v>
      </c>
      <c r="BZ75" s="13">
        <f>BY75*VLOOKUP('Données projet'!$B$12,Paramètres!$A$1:$I$89,3,0)*VLOOKUP('Données projet'!$B$12,Paramètres!$A$1:$I$89,5,0)</f>
        <v>247.27247999999975</v>
      </c>
      <c r="CA75" s="13">
        <f t="shared" si="93"/>
        <v>60.001511123918704</v>
      </c>
      <c r="CB75" s="20">
        <f t="shared" si="64"/>
        <v>535.16886787415797</v>
      </c>
      <c r="CC75" s="59">
        <f t="shared" si="65"/>
        <v>828.50220120749123</v>
      </c>
      <c r="CD75" s="59">
        <f ca="1">AVERAGE(OFFSET($CC$3,0,0,'Données projet'!$E$12+1,1))-AVERAGE(OFFSET($H$3,0,0,'Données projet'!$E$12+1,1))</f>
        <v>260.20517190557814</v>
      </c>
      <c r="CE75" s="59">
        <f t="shared" si="94"/>
        <v>307.22009971147133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1.4202990601421723</v>
      </c>
      <c r="CL75" s="21">
        <f>EXP(-LN(2)/25)*CL74+(1-EXP(-LN(2)/25))/(LN(2)/25)*Calculateur!CG75*Calculateur!CI75*VLOOKUP('Données projet'!$B$12,Paramètres!$A$1:$I$89,3,0)*0.475*44/12</f>
        <v>6.4038117331722129</v>
      </c>
      <c r="CM75" s="21">
        <f>EXP(-LN(2)/2)*CM74+(1-EXP(-LN(2)/2))/(LN(2)/2)*CG75*CJ75*VLOOKUP('Données projet'!$B$12,Paramètres!$A$1:$I$89,3,0)*0.475*44/12</f>
        <v>1.1462704779032367E-5</v>
      </c>
      <c r="CN75" s="22">
        <f t="shared" si="66"/>
        <v>7.8241222560191641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10.1</v>
      </c>
      <c r="CT75" s="12">
        <f>IF('Données projet'!$A$140&gt;35,CT74+CS75-DB74,IF(A75&lt;'Données projet'!$A$140,$CQ$205^A75,IF(A75='Données projet'!$A$140,'Données projet'!$B$140,CT74+CS75-DB74)))</f>
        <v>258.19999999999987</v>
      </c>
      <c r="CU75" s="17">
        <f>CT75*VLOOKUP('Données projet'!$B$13,Paramètres!$A$1:$I$89,3,0)*VLOOKUP('Données projet'!$B$13,Paramètres!$A$1:$I$89,5,0)</f>
        <v>221.5355999999999</v>
      </c>
      <c r="CV75" s="13">
        <f t="shared" si="95"/>
        <v>54.448505561050183</v>
      </c>
      <c r="CW75" s="20">
        <f t="shared" si="67"/>
        <v>480.67231718549561</v>
      </c>
      <c r="CX75" s="59">
        <f t="shared" si="68"/>
        <v>774.00565051882893</v>
      </c>
      <c r="CY75" s="59">
        <f ca="1">AVERAGE(OFFSET($CX$3,0,0,'Données projet'!$E$13+1,1))-AVERAGE(OFFSET($H$3,0,0,'Données projet'!$E$13+1,1))</f>
        <v>310.4018929413723</v>
      </c>
      <c r="CZ75" s="59">
        <f t="shared" si="96"/>
        <v>127.5231137583819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1.8373620347358803</v>
      </c>
      <c r="DH75" s="21">
        <f>EXP(-LN(2)/2)*DH74+(1-EXP(-LN(2)/2))/(LN(2)/2)*DB75*DE75*VLOOKUP('Données projet'!$B$13,Paramètres!$A$1:$I$89,3,0)*0.475*44/12</f>
        <v>4.2583014180390908E-6</v>
      </c>
      <c r="DI75" s="22">
        <f t="shared" si="69"/>
        <v>1.8373662930372985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>
        <f>DO75*VLOOKUP('Données projet'!$B$14,Paramètres!$A$1:$I$89,3,0)*VLOOKUP('Données projet'!$B$14,Paramètres!$A$1:$I$89,5,0)</f>
        <v>227.87855999999974</v>
      </c>
      <c r="DQ75" s="13">
        <f t="shared" si="97"/>
        <v>55.823729514114589</v>
      </c>
      <c r="DR75" s="20">
        <f t="shared" si="70"/>
        <v>494.11482090374903</v>
      </c>
      <c r="DS75" s="59">
        <f t="shared" si="71"/>
        <v>787.44815423708235</v>
      </c>
      <c r="DT75" s="59">
        <f ca="1">AVERAGE(OFFSET($DS$3,0,0,'Données projet'!$E$14+1,1))-AVERAGE(OFFSET($H$3,0,0,'Données projet'!$E$14+1,1))</f>
        <v>234.09142087023463</v>
      </c>
      <c r="DU75" s="59">
        <f t="shared" si="98"/>
        <v>278.990685815294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1.0619402147788866</v>
      </c>
      <c r="EB75" s="21">
        <f>EXP(-LN(2)/25)*EB74+(1-EXP(-LN(2)/25))/(LN(2)/25)*Calculateur!DW75*Calculateur!DY75*VLOOKUP('Données projet'!$B$14,Paramètres!$A$1:$I$89,3,0)*0.475*44/12</f>
        <v>4.788051614036644</v>
      </c>
      <c r="EC75" s="21">
        <f>EXP(-LN(2)/2)*EC74+(1-EXP(-LN(2)/2))/(LN(2)/2)*DW75*DZ75*VLOOKUP('Données projet'!$B$14,Paramètres!$A$1:$I$89,3,0)*0.475*44/12</f>
        <v>1.0563669110088686E-5</v>
      </c>
      <c r="ED75" s="22">
        <f t="shared" si="72"/>
        <v>5.8500023924846412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381.20000000000016</v>
      </c>
      <c r="AJ76" s="13">
        <f>AI76*VLOOKUP('Données projet'!$B$10,Paramètres!$A$1:$I$89,3,0)*VLOOKUP('Données projet'!$B$10,Paramètres!$A$1:$I$89,5,0)</f>
        <v>208.13520000000011</v>
      </c>
      <c r="AK76" s="13">
        <f t="shared" si="89"/>
        <v>51.527868675898425</v>
      </c>
      <c r="AL76" s="20">
        <f t="shared" si="58"/>
        <v>452.24651127718994</v>
      </c>
      <c r="AM76" s="59">
        <f t="shared" si="59"/>
        <v>745.5798446105232</v>
      </c>
      <c r="AN76" s="59">
        <f ca="1">AVERAGE(OFFSET($AM$3,0,0,'Données projet'!$E$10+1,1))-AVERAGE(OFFSET($H$3,0,0,'Données projet'!$E$10+1,1))</f>
        <v>210.04871822652808</v>
      </c>
      <c r="AO76" s="59">
        <f t="shared" si="90"/>
        <v>250.17540614049324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3.1156214090224803</v>
      </c>
      <c r="AV76" s="21">
        <f>EXP(-LN(2)/25)*AV75+(1-EXP(-LN(2)/25))/(LN(2)/25)*Calculateur!AQ76*Calculateur!AS76*VLOOKUP('Données projet'!$B$10,Paramètres!$A$1:$I$89,3,0)*0.475*44/12</f>
        <v>8.4479775157369215</v>
      </c>
      <c r="AW76" s="21">
        <f>EXP(-LN(2)/2)*AW75+(1-EXP(-LN(2)/2))/(LN(2)/2)*AQ76*AT76*VLOOKUP('Données projet'!$B$10,Paramètres!$A$1:$I$89,3,0)*0.475*44/12</f>
        <v>7.2674278674706145E-6</v>
      </c>
      <c r="AX76" s="21">
        <f t="shared" si="60"/>
        <v>11.563606192187269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14.5</v>
      </c>
      <c r="BD76" s="12">
        <f>IF('Données projet'!$A$88&gt;35,BD75+BC76-BL75,IF(A76&lt;'Données projet'!$A$88,$BA$205^A76,IF(A76='Données projet'!$A$88,'Données projet'!$B$88,BD75+BC76-BL75)))</f>
        <v>504.49999999999955</v>
      </c>
      <c r="BE76" s="13">
        <f>BD76*VLOOKUP('Données projet'!$B$11,Paramètres!$A$1:$I$89,3,0)*VLOOKUP('Données projet'!$B$11,Paramètres!$A$1:$I$89,5,0)</f>
        <v>301.69099999999975</v>
      </c>
      <c r="BF76" s="13">
        <f t="shared" si="91"/>
        <v>71.530845976260522</v>
      </c>
      <c r="BG76" s="20">
        <f t="shared" si="61"/>
        <v>650.02804840865338</v>
      </c>
      <c r="BH76" s="59">
        <f t="shared" si="62"/>
        <v>943.36138174198663</v>
      </c>
      <c r="BI76" s="59">
        <f ca="1">AVERAGE(OFFSET($BH$3,0,0,'Données projet'!$E$11+1,1))-AVERAGE(OFFSET($H$3,0,0,'Données projet'!$E$11+1,1))</f>
        <v>316.58509520829671</v>
      </c>
      <c r="BJ76" s="59">
        <f t="shared" si="92"/>
        <v>240.71332110643596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1.0815922110828473</v>
      </c>
      <c r="BQ76" s="21">
        <f>EXP(-LN(2)/25)*BQ75+(1-EXP(-LN(2)/25))/(LN(2)/25)*Calculateur!BL76*Calculateur!BN76*VLOOKUP('Données projet'!$B$11,Paramètres!$A$1:$I$89,3,0)*0.475*44/12</f>
        <v>4.6345596298663869</v>
      </c>
      <c r="BR76" s="21">
        <f>EXP(-LN(2)/2)*BR75+(1-EXP(-LN(2)/2))/(LN(2)/2)*BL76*BO76*VLOOKUP('Données projet'!$B$11,Paramètres!$A$1:$I$89,3,0)*0.475*44/12</f>
        <v>7.3973933504460767E-6</v>
      </c>
      <c r="BS76" s="22">
        <f t="shared" si="63"/>
        <v>5.7161592383425841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3.9</v>
      </c>
      <c r="BY76" s="12">
        <f>IF('Données projet'!$A$114&gt;35,BY75+BX76-CG75,IF(A76&lt;'Données projet'!$A$114,$BV$205^A76,IF(A76='Données projet'!$A$114,'Données projet'!$B$114,BY75+BX76-CG75)))</f>
        <v>314.69999999999965</v>
      </c>
      <c r="BZ76" s="13">
        <f>BY76*VLOOKUP('Données projet'!$B$12,Paramètres!$A$1:$I$89,3,0)*VLOOKUP('Données projet'!$B$12,Paramètres!$A$1:$I$89,5,0)</f>
        <v>250.37531999999973</v>
      </c>
      <c r="CA76" s="13">
        <f t="shared" si="93"/>
        <v>60.666302963242082</v>
      </c>
      <c r="CB76" s="20">
        <f t="shared" si="64"/>
        <v>541.73082666097946</v>
      </c>
      <c r="CC76" s="59">
        <f t="shared" si="65"/>
        <v>835.06415999431283</v>
      </c>
      <c r="CD76" s="59">
        <f ca="1">AVERAGE(OFFSET($CC$3,0,0,'Données projet'!$E$12+1,1))-AVERAGE(OFFSET($H$3,0,0,'Données projet'!$E$12+1,1))</f>
        <v>260.20517190557814</v>
      </c>
      <c r="CE76" s="59">
        <f t="shared" si="94"/>
        <v>307.22009971147133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1.3924478618696714</v>
      </c>
      <c r="CL76" s="21">
        <f>EXP(-LN(2)/25)*CL75+(1-EXP(-LN(2)/25))/(LN(2)/25)*Calculateur!CG76*Calculateur!CI76*VLOOKUP('Données projet'!$B$12,Paramètres!$A$1:$I$89,3,0)*0.475*44/12</f>
        <v>6.2286991645667955</v>
      </c>
      <c r="CM76" s="21">
        <f>EXP(-LN(2)/2)*CM75+(1-EXP(-LN(2)/2))/(LN(2)/2)*CG76*CJ76*VLOOKUP('Données projet'!$B$12,Paramètres!$A$1:$I$89,3,0)*0.475*44/12</f>
        <v>8.1053562799932324E-6</v>
      </c>
      <c r="CN76" s="22">
        <f t="shared" si="66"/>
        <v>7.6211551317927473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10.1</v>
      </c>
      <c r="CT76" s="12">
        <f>IF('Données projet'!$A$140&gt;35,CT75+CS76-DB75,IF(A76&lt;'Données projet'!$A$140,$CQ$205^A76,IF(A76='Données projet'!$A$140,'Données projet'!$B$140,CT75+CS76-DB75)))</f>
        <v>268.2999999999999</v>
      </c>
      <c r="CU76" s="17">
        <f>CT76*VLOOKUP('Données projet'!$B$13,Paramètres!$A$1:$I$89,3,0)*VLOOKUP('Données projet'!$B$13,Paramètres!$A$1:$I$89,5,0)</f>
        <v>230.20139999999995</v>
      </c>
      <c r="CV76" s="13">
        <f t="shared" si="95"/>
        <v>56.326226701292995</v>
      </c>
      <c r="CW76" s="20">
        <f t="shared" si="67"/>
        <v>499.03561650475189</v>
      </c>
      <c r="CX76" s="59">
        <f t="shared" si="68"/>
        <v>792.3689498380852</v>
      </c>
      <c r="CY76" s="59">
        <f ca="1">AVERAGE(OFFSET($CX$3,0,0,'Données projet'!$E$13+1,1))-AVERAGE(OFFSET($H$3,0,0,'Données projet'!$E$13+1,1))</f>
        <v>310.4018929413723</v>
      </c>
      <c r="CZ76" s="59">
        <f t="shared" si="96"/>
        <v>127.5231137583819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1.7871192732733576</v>
      </c>
      <c r="DH76" s="21">
        <f>EXP(-LN(2)/2)*DH75+(1-EXP(-LN(2)/2))/(LN(2)/2)*DB76*DE76*VLOOKUP('Données projet'!$B$13,Paramètres!$A$1:$I$89,3,0)*0.475*44/12</f>
        <v>3.0110738090317324E-6</v>
      </c>
      <c r="DI76" s="22">
        <f t="shared" si="69"/>
        <v>1.7871222843471666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>
        <f>DO76*VLOOKUP('Données projet'!$B$14,Paramètres!$A$1:$I$89,3,0)*VLOOKUP('Données projet'!$B$14,Paramètres!$A$1:$I$89,5,0)</f>
        <v>230.73803999999973</v>
      </c>
      <c r="DQ76" s="13">
        <f t="shared" si="97"/>
        <v>56.442233267210653</v>
      </c>
      <c r="DR76" s="20">
        <f t="shared" si="70"/>
        <v>500.17230927372475</v>
      </c>
      <c r="DS76" s="59">
        <f t="shared" si="71"/>
        <v>793.50564260705801</v>
      </c>
      <c r="DT76" s="59">
        <f ca="1">AVERAGE(OFFSET($DS$3,0,0,'Données projet'!$E$14+1,1))-AVERAGE(OFFSET($H$3,0,0,'Données projet'!$E$14+1,1))</f>
        <v>234.09142087023463</v>
      </c>
      <c r="DU76" s="59">
        <f t="shared" si="98"/>
        <v>278.990685815294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1.0411162148866466</v>
      </c>
      <c r="EB76" s="21">
        <f>EXP(-LN(2)/25)*EB75+(1-EXP(-LN(2)/25))/(LN(2)/25)*Calculateur!DW76*Calculateur!DY76*VLOOKUP('Données projet'!$B$14,Paramètres!$A$1:$I$89,3,0)*0.475*44/12</f>
        <v>4.6571220908581212</v>
      </c>
      <c r="EC76" s="21">
        <f>EXP(-LN(2)/2)*EC75+(1-EXP(-LN(2)/2))/(LN(2)/2)*DW76*DZ76*VLOOKUP('Données projet'!$B$14,Paramètres!$A$1:$I$89,3,0)*0.475*44/12</f>
        <v>7.4696420619545727E-6</v>
      </c>
      <c r="ED76" s="22">
        <f t="shared" si="72"/>
        <v>5.6982457753868303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388.60000000000014</v>
      </c>
      <c r="AJ77" s="13">
        <f>AI77*VLOOKUP('Données projet'!$B$10,Paramètres!$A$1:$I$89,3,0)*VLOOKUP('Données projet'!$B$10,Paramètres!$A$1:$I$89,5,0)</f>
        <v>212.17560000000006</v>
      </c>
      <c r="AK77" s="13">
        <f t="shared" si="89"/>
        <v>52.410723477279205</v>
      </c>
      <c r="AL77" s="20">
        <f t="shared" si="58"/>
        <v>460.82118005626143</v>
      </c>
      <c r="AM77" s="59">
        <f t="shared" si="59"/>
        <v>754.15451338959474</v>
      </c>
      <c r="AN77" s="59">
        <f ca="1">AVERAGE(OFFSET($AM$3,0,0,'Données projet'!$E$10+1,1))-AVERAGE(OFFSET($H$3,0,0,'Données projet'!$E$10+1,1))</f>
        <v>210.04871822652808</v>
      </c>
      <c r="AO77" s="59">
        <f t="shared" si="90"/>
        <v>250.17540614049324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3.0545259735329657</v>
      </c>
      <c r="AV77" s="21">
        <f>EXP(-LN(2)/25)*AV76+(1-EXP(-LN(2)/25))/(LN(2)/25)*Calculateur!AQ77*Calculateur!AS77*VLOOKUP('Données projet'!$B$10,Paramètres!$A$1:$I$89,3,0)*0.475*44/12</f>
        <v>8.2169671263092656</v>
      </c>
      <c r="AW77" s="21">
        <f>EXP(-LN(2)/2)*AW76+(1-EXP(-LN(2)/2))/(LN(2)/2)*AQ77*AT77*VLOOKUP('Données projet'!$B$10,Paramètres!$A$1:$I$89,3,0)*0.475*44/12</f>
        <v>5.1388475268725622E-6</v>
      </c>
      <c r="AX77" s="21">
        <f t="shared" si="60"/>
        <v>11.271498238689759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14.5</v>
      </c>
      <c r="BD77" s="12">
        <f>IF('Données projet'!$A$88&gt;35,BD76+BC77-BL76,IF(A77&lt;'Données projet'!$A$88,$BA$205^A77,IF(A77='Données projet'!$A$88,'Données projet'!$B$88,BD76+BC77-BL76)))</f>
        <v>518.99999999999955</v>
      </c>
      <c r="BE77" s="13">
        <f>BD77*VLOOKUP('Données projet'!$B$11,Paramètres!$A$1:$I$89,3,0)*VLOOKUP('Données projet'!$B$11,Paramètres!$A$1:$I$89,5,0)</f>
        <v>310.36199999999974</v>
      </c>
      <c r="BF77" s="13">
        <f t="shared" si="91"/>
        <v>73.34442504403718</v>
      </c>
      <c r="BG77" s="20">
        <f t="shared" si="61"/>
        <v>668.28869028503095</v>
      </c>
      <c r="BH77" s="59">
        <f t="shared" si="62"/>
        <v>961.62202361836421</v>
      </c>
      <c r="BI77" s="59">
        <f ca="1">AVERAGE(OFFSET($BH$3,0,0,'Données projet'!$E$11+1,1))-AVERAGE(OFFSET($H$3,0,0,'Données projet'!$E$11+1,1))</f>
        <v>316.58509520829671</v>
      </c>
      <c r="BJ77" s="59">
        <f t="shared" si="92"/>
        <v>240.71332110643596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1.0603828475296209</v>
      </c>
      <c r="BQ77" s="21">
        <f>EXP(-LN(2)/25)*BQ76+(1-EXP(-LN(2)/25))/(LN(2)/25)*Calculateur!BL77*Calculateur!BN77*VLOOKUP('Données projet'!$B$11,Paramètres!$A$1:$I$89,3,0)*0.475*44/12</f>
        <v>4.5078273530667925</v>
      </c>
      <c r="BR77" s="21">
        <f>EXP(-LN(2)/2)*BR76+(1-EXP(-LN(2)/2))/(LN(2)/2)*BL77*BO77*VLOOKUP('Données projet'!$B$11,Paramètres!$A$1:$I$89,3,0)*0.475*44/12</f>
        <v>5.230747001204696E-6</v>
      </c>
      <c r="BS77" s="22">
        <f t="shared" si="63"/>
        <v>5.5682154313434138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3.9</v>
      </c>
      <c r="BY77" s="12">
        <f>IF('Données projet'!$A$114&gt;35,BY76+BX77-CG76,IF(A77&lt;'Données projet'!$A$114,$BV$205^A77,IF(A77='Données projet'!$A$114,'Données projet'!$B$114,BY76+BX77-CG76)))</f>
        <v>318.59999999999962</v>
      </c>
      <c r="BZ77" s="13">
        <f>BY77*VLOOKUP('Données projet'!$B$12,Paramètres!$A$1:$I$89,3,0)*VLOOKUP('Données projet'!$B$12,Paramètres!$A$1:$I$89,5,0)</f>
        <v>253.47815999999972</v>
      </c>
      <c r="CA77" s="13">
        <f t="shared" si="93"/>
        <v>61.330136494642396</v>
      </c>
      <c r="CB77" s="20">
        <f t="shared" si="64"/>
        <v>548.29111639483494</v>
      </c>
      <c r="CC77" s="59">
        <f t="shared" si="65"/>
        <v>841.6244497281682</v>
      </c>
      <c r="CD77" s="59">
        <f ca="1">AVERAGE(OFFSET($CC$3,0,0,'Données projet'!$E$12+1,1))-AVERAGE(OFFSET($H$3,0,0,'Données projet'!$E$12+1,1))</f>
        <v>260.20517190557814</v>
      </c>
      <c r="CE77" s="59">
        <f t="shared" si="94"/>
        <v>307.22009971147133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1.3651428086077406</v>
      </c>
      <c r="CL77" s="21">
        <f>EXP(-LN(2)/25)*CL76+(1-EXP(-LN(2)/25))/(LN(2)/25)*Calculateur!CG77*Calculateur!CI77*VLOOKUP('Données projet'!$B$12,Paramètres!$A$1:$I$89,3,0)*0.475*44/12</f>
        <v>6.0583750583586635</v>
      </c>
      <c r="CM77" s="21">
        <f>EXP(-LN(2)/2)*CM76+(1-EXP(-LN(2)/2))/(LN(2)/2)*CG77*CJ77*VLOOKUP('Données projet'!$B$12,Paramètres!$A$1:$I$89,3,0)*0.475*44/12</f>
        <v>5.7313523895161834E-6</v>
      </c>
      <c r="CN77" s="22">
        <f t="shared" si="66"/>
        <v>7.423523598318793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10.1</v>
      </c>
      <c r="CT77" s="12">
        <f>IF('Données projet'!$A$140&gt;35,CT76+CS77-DB76,IF(A77&lt;'Données projet'!$A$140,$CQ$205^A77,IF(A77='Données projet'!$A$140,'Données projet'!$B$140,CT76+CS77-DB76)))</f>
        <v>278.39999999999992</v>
      </c>
      <c r="CU77" s="17">
        <f>CT77*VLOOKUP('Données projet'!$B$13,Paramètres!$A$1:$I$89,3,0)*VLOOKUP('Données projet'!$B$13,Paramètres!$A$1:$I$89,5,0)</f>
        <v>238.86719999999997</v>
      </c>
      <c r="CV77" s="13">
        <f t="shared" si="95"/>
        <v>58.195735973104156</v>
      </c>
      <c r="CW77" s="20">
        <f t="shared" si="67"/>
        <v>517.38461348648957</v>
      </c>
      <c r="CX77" s="59">
        <f t="shared" si="68"/>
        <v>810.71794681982283</v>
      </c>
      <c r="CY77" s="59">
        <f ca="1">AVERAGE(OFFSET($CX$3,0,0,'Données projet'!$E$13+1,1))-AVERAGE(OFFSET($H$3,0,0,'Données projet'!$E$13+1,1))</f>
        <v>310.4018929413723</v>
      </c>
      <c r="CZ77" s="59">
        <f t="shared" si="96"/>
        <v>127.5231137583819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1.7382504027651795</v>
      </c>
      <c r="DH77" s="21">
        <f>EXP(-LN(2)/2)*DH76+(1-EXP(-LN(2)/2))/(LN(2)/2)*DB77*DE77*VLOOKUP('Données projet'!$B$13,Paramètres!$A$1:$I$89,3,0)*0.475*44/12</f>
        <v>2.1291507090195454E-6</v>
      </c>
      <c r="DI77" s="22">
        <f t="shared" si="69"/>
        <v>1.7382525319158886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>
        <f>DO77*VLOOKUP('Données projet'!$B$14,Paramètres!$A$1:$I$89,3,0)*VLOOKUP('Données projet'!$B$14,Paramètres!$A$1:$I$89,5,0)</f>
        <v>233.59751999999972</v>
      </c>
      <c r="DQ77" s="13">
        <f t="shared" si="97"/>
        <v>57.059845437390116</v>
      </c>
      <c r="DR77" s="20">
        <f t="shared" si="70"/>
        <v>506.22824480345389</v>
      </c>
      <c r="DS77" s="59">
        <f t="shared" si="71"/>
        <v>799.56157813678715</v>
      </c>
      <c r="DT77" s="59">
        <f ca="1">AVERAGE(OFFSET($DS$3,0,0,'Données projet'!$E$14+1,1))-AVERAGE(OFFSET($H$3,0,0,'Données projet'!$E$14+1,1))</f>
        <v>234.09142087023463</v>
      </c>
      <c r="DU77" s="59">
        <f t="shared" si="98"/>
        <v>278.990685815294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1.0207005609309077</v>
      </c>
      <c r="EB77" s="21">
        <f>EXP(-LN(2)/25)*EB76+(1-EXP(-LN(2)/25))/(LN(2)/25)*Calculateur!DW77*Calculateur!DY77*VLOOKUP('Données projet'!$B$14,Paramètres!$A$1:$I$89,3,0)*0.475*44/12</f>
        <v>4.5297728423761994</v>
      </c>
      <c r="EC77" s="21">
        <f>EXP(-LN(2)/2)*EC76+(1-EXP(-LN(2)/2))/(LN(2)/2)*DW77*DZ77*VLOOKUP('Données projet'!$B$14,Paramètres!$A$1:$I$89,3,0)*0.475*44/12</f>
        <v>5.2818345550443439E-6</v>
      </c>
      <c r="ED77" s="22">
        <f t="shared" si="72"/>
        <v>5.5504786851416616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396.00000000000011</v>
      </c>
      <c r="AJ78" s="13">
        <f>AI78*VLOOKUP('Données projet'!$B$10,Paramètres!$A$1:$I$89,3,0)*VLOOKUP('Données projet'!$B$10,Paramètres!$A$1:$I$89,5,0)</f>
        <v>216.21600000000007</v>
      </c>
      <c r="AK78" s="13">
        <f t="shared" si="89"/>
        <v>53.291623409473033</v>
      </c>
      <c r="AL78" s="20">
        <f t="shared" si="58"/>
        <v>469.39244410483235</v>
      </c>
      <c r="AM78" s="59">
        <f t="shared" si="59"/>
        <v>762.72577743816566</v>
      </c>
      <c r="AN78" s="59">
        <f ca="1">AVERAGE(OFFSET($AM$3,0,0,'Données projet'!$E$10+1,1))-AVERAGE(OFFSET($H$3,0,0,'Données projet'!$E$10+1,1))</f>
        <v>210.04871822652808</v>
      </c>
      <c r="AO78" s="59">
        <f t="shared" si="90"/>
        <v>250.17540614049324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2.9946285822688647</v>
      </c>
      <c r="AV78" s="21">
        <f>EXP(-LN(2)/25)*AV77+(1-EXP(-LN(2)/25))/(LN(2)/25)*Calculateur!AQ78*Calculateur!AS78*VLOOKUP('Données projet'!$B$10,Paramètres!$A$1:$I$89,3,0)*0.475*44/12</f>
        <v>7.9922737281288176</v>
      </c>
      <c r="AW78" s="21">
        <f>EXP(-LN(2)/2)*AW77+(1-EXP(-LN(2)/2))/(LN(2)/2)*AQ78*AT78*VLOOKUP('Données projet'!$B$10,Paramètres!$A$1:$I$89,3,0)*0.475*44/12</f>
        <v>3.6337139337353081E-6</v>
      </c>
      <c r="AX78" s="21">
        <f t="shared" si="60"/>
        <v>10.986905944111616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14.5</v>
      </c>
      <c r="BD78" s="12">
        <f>IF('Données projet'!$A$88&gt;35,BD77+BC78-BL77,IF(A78&lt;'Données projet'!$A$88,$BA$205^A78,IF(A78='Données projet'!$A$88,'Données projet'!$B$88,BD77+BC78-BL77)))</f>
        <v>533.49999999999955</v>
      </c>
      <c r="BE78" s="13">
        <f>BD78*VLOOKUP('Données projet'!$B$11,Paramètres!$A$1:$I$89,3,0)*VLOOKUP('Données projet'!$B$11,Paramètres!$A$1:$I$89,5,0)</f>
        <v>319.03299999999973</v>
      </c>
      <c r="BF78" s="13">
        <f t="shared" si="91"/>
        <v>75.152115080720222</v>
      </c>
      <c r="BG78" s="20">
        <f t="shared" si="61"/>
        <v>686.53907543225387</v>
      </c>
      <c r="BH78" s="59">
        <f t="shared" si="62"/>
        <v>979.87240876558712</v>
      </c>
      <c r="BI78" s="59">
        <f ca="1">AVERAGE(OFFSET($BH$3,0,0,'Données projet'!$E$11+1,1))-AVERAGE(OFFSET($H$3,0,0,'Données projet'!$E$11+1,1))</f>
        <v>316.58509520829671</v>
      </c>
      <c r="BJ78" s="59">
        <f t="shared" si="92"/>
        <v>240.71332110643596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1.0395893866592387</v>
      </c>
      <c r="BQ78" s="21">
        <f>EXP(-LN(2)/25)*BQ77+(1-EXP(-LN(2)/25))/(LN(2)/25)*Calculateur!BL78*Calculateur!BN78*VLOOKUP('Données projet'!$B$11,Paramètres!$A$1:$I$89,3,0)*0.475*44/12</f>
        <v>4.3845605770408431</v>
      </c>
      <c r="BR78" s="21">
        <f>EXP(-LN(2)/2)*BR77+(1-EXP(-LN(2)/2))/(LN(2)/2)*BL78*BO78*VLOOKUP('Données projet'!$B$11,Paramètres!$A$1:$I$89,3,0)*0.475*44/12</f>
        <v>3.6986966752230388E-6</v>
      </c>
      <c r="BS78" s="22">
        <f t="shared" si="63"/>
        <v>5.4241536623967566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3.9</v>
      </c>
      <c r="BY78" s="12">
        <f>IF('Données projet'!$A$114&gt;35,BY77+BX78-CG77,IF(A78&lt;'Données projet'!$A$114,$BV$205^A78,IF(A78='Données projet'!$A$114,'Données projet'!$B$114,BY77+BX78-CG77)))</f>
        <v>322.4999999999996</v>
      </c>
      <c r="BZ78" s="13">
        <f>BY78*VLOOKUP('Données projet'!$B$12,Paramètres!$A$1:$I$89,3,0)*VLOOKUP('Données projet'!$B$12,Paramètres!$A$1:$I$89,5,0)</f>
        <v>256.58099999999968</v>
      </c>
      <c r="CA78" s="13">
        <f t="shared" si="93"/>
        <v>61.993024805604399</v>
      </c>
      <c r="CB78" s="20">
        <f t="shared" si="64"/>
        <v>554.84975986976053</v>
      </c>
      <c r="CC78" s="59">
        <f t="shared" si="65"/>
        <v>848.1830932030939</v>
      </c>
      <c r="CD78" s="59">
        <f ca="1">AVERAGE(OFFSET($CC$3,0,0,'Données projet'!$E$12+1,1))-AVERAGE(OFFSET($H$3,0,0,'Données projet'!$E$12+1,1))</f>
        <v>260.20517190557814</v>
      </c>
      <c r="CE78" s="59">
        <f t="shared" si="94"/>
        <v>307.22009971147133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1.3383731907858383</v>
      </c>
      <c r="CL78" s="21">
        <f>EXP(-LN(2)/25)*CL77+(1-EXP(-LN(2)/25))/(LN(2)/25)*Calculateur!CG78*Calculateur!CI78*VLOOKUP('Données projet'!$B$12,Paramètres!$A$1:$I$89,3,0)*0.475*44/12</f>
        <v>5.8927084737917479</v>
      </c>
      <c r="CM78" s="21">
        <f>EXP(-LN(2)/2)*CM77+(1-EXP(-LN(2)/2))/(LN(2)/2)*CG78*CJ78*VLOOKUP('Données projet'!$B$12,Paramètres!$A$1:$I$89,3,0)*0.475*44/12</f>
        <v>4.0526781399966162E-6</v>
      </c>
      <c r="CN78" s="22">
        <f t="shared" si="66"/>
        <v>7.2310857172557261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10.1</v>
      </c>
      <c r="CT78" s="12">
        <f>IF('Données projet'!$A$140&gt;35,CT77+CS78-DB77,IF(A78&lt;'Données projet'!$A$140,$CQ$205^A78,IF(A78='Données projet'!$A$140,'Données projet'!$B$140,CT77+CS78-DB77)))</f>
        <v>288.49999999999994</v>
      </c>
      <c r="CU78" s="17">
        <f>CT78*VLOOKUP('Données projet'!$B$13,Paramètres!$A$1:$I$89,3,0)*VLOOKUP('Données projet'!$B$13,Paramètres!$A$1:$I$89,5,0)</f>
        <v>247.53299999999999</v>
      </c>
      <c r="CV78" s="13">
        <f t="shared" si="95"/>
        <v>60.057365417030148</v>
      </c>
      <c r="CW78" s="20">
        <f t="shared" si="67"/>
        <v>535.71988643466068</v>
      </c>
      <c r="CX78" s="59">
        <f t="shared" si="68"/>
        <v>829.05321976799405</v>
      </c>
      <c r="CY78" s="59">
        <f ca="1">AVERAGE(OFFSET($CX$3,0,0,'Données projet'!$E$13+1,1))-AVERAGE(OFFSET($H$3,0,0,'Données projet'!$E$13+1,1))</f>
        <v>310.4018929413723</v>
      </c>
      <c r="CZ78" s="59">
        <f t="shared" si="96"/>
        <v>127.5231137583819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1.6907178540909498</v>
      </c>
      <c r="DH78" s="21">
        <f>EXP(-LN(2)/2)*DH77+(1-EXP(-LN(2)/2))/(LN(2)/2)*DB78*DE78*VLOOKUP('Données projet'!$B$13,Paramètres!$A$1:$I$89,3,0)*0.475*44/12</f>
        <v>1.5055369045158662E-6</v>
      </c>
      <c r="DI78" s="22">
        <f t="shared" si="69"/>
        <v>1.6907193596278542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>
        <f>DO78*VLOOKUP('Données projet'!$B$14,Paramètres!$A$1:$I$89,3,0)*VLOOKUP('Données projet'!$B$14,Paramètres!$A$1:$I$89,5,0)</f>
        <v>236.45699999999974</v>
      </c>
      <c r="DQ78" s="13">
        <f t="shared" si="97"/>
        <v>57.676578200883128</v>
      </c>
      <c r="DR78" s="20">
        <f t="shared" si="70"/>
        <v>512.28264869987095</v>
      </c>
      <c r="DS78" s="59">
        <f t="shared" si="71"/>
        <v>805.61598203320432</v>
      </c>
      <c r="DT78" s="59">
        <f ca="1">AVERAGE(OFFSET($DS$3,0,0,'Données projet'!$E$14+1,1))-AVERAGE(OFFSET($H$3,0,0,'Données projet'!$E$14+1,1))</f>
        <v>234.09142087023463</v>
      </c>
      <c r="DU78" s="59">
        <f t="shared" si="98"/>
        <v>278.990685815294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1.0006852454969215</v>
      </c>
      <c r="EB78" s="21">
        <f>EXP(-LN(2)/25)*EB77+(1-EXP(-LN(2)/25))/(LN(2)/25)*Calculateur!DW78*Calculateur!DY78*VLOOKUP('Données projet'!$B$14,Paramètres!$A$1:$I$89,3,0)*0.475*44/12</f>
        <v>4.4059059657910211</v>
      </c>
      <c r="EC78" s="21">
        <f>EXP(-LN(2)/2)*EC77+(1-EXP(-LN(2)/2))/(LN(2)/2)*DW78*DZ78*VLOOKUP('Données projet'!$B$14,Paramètres!$A$1:$I$89,3,0)*0.475*44/12</f>
        <v>3.7348210309772868E-6</v>
      </c>
      <c r="ED78" s="22">
        <f t="shared" si="72"/>
        <v>5.4065949461089735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403.40000000000009</v>
      </c>
      <c r="AJ79" s="13">
        <f>AI79*VLOOKUP('Données projet'!$B$10,Paramètres!$A$1:$I$89,3,0)*VLOOKUP('Données projet'!$B$10,Paramètres!$A$1:$I$89,5,0)</f>
        <v>220.25640000000004</v>
      </c>
      <c r="AK79" s="13">
        <f t="shared" si="89"/>
        <v>54.170609215461226</v>
      </c>
      <c r="AL79" s="20">
        <f t="shared" si="58"/>
        <v>477.96037438359508</v>
      </c>
      <c r="AM79" s="59">
        <f t="shared" si="59"/>
        <v>771.29370771692834</v>
      </c>
      <c r="AN79" s="59">
        <f ca="1">AVERAGE(OFFSET($AM$3,0,0,'Données projet'!$E$10+1,1))-AVERAGE(OFFSET($H$3,0,0,'Données projet'!$E$10+1,1))</f>
        <v>210.04871822652808</v>
      </c>
      <c r="AO79" s="59">
        <f t="shared" si="90"/>
        <v>250.17540614049324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2.9359057423136514</v>
      </c>
      <c r="AV79" s="21">
        <f>EXP(-LN(2)/25)*AV78+(1-EXP(-LN(2)/25))/(LN(2)/25)*Calculateur!AQ79*Calculateur!AS79*VLOOKUP('Données projet'!$B$10,Paramètres!$A$1:$I$89,3,0)*0.475*44/12</f>
        <v>7.7737245827377262</v>
      </c>
      <c r="AW79" s="21">
        <f>EXP(-LN(2)/2)*AW78+(1-EXP(-LN(2)/2))/(LN(2)/2)*AQ79*AT79*VLOOKUP('Données projet'!$B$10,Paramètres!$A$1:$I$89,3,0)*0.475*44/12</f>
        <v>2.5694237634362815E-6</v>
      </c>
      <c r="AX79" s="21">
        <f t="shared" si="60"/>
        <v>10.709632894475142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14.5</v>
      </c>
      <c r="BD79" s="12">
        <f>IF('Données projet'!$A$88&gt;35,BD78+BC79-BL78,IF(A79&lt;'Données projet'!$A$88,$BA$205^A79,IF(A79='Données projet'!$A$88,'Données projet'!$B$88,BD78+BC79-BL78)))</f>
        <v>547.99999999999955</v>
      </c>
      <c r="BE79" s="13">
        <f>BD79*VLOOKUP('Données projet'!$B$11,Paramètres!$A$1:$I$89,3,0)*VLOOKUP('Données projet'!$B$11,Paramètres!$A$1:$I$89,5,0)</f>
        <v>327.70399999999978</v>
      </c>
      <c r="BF79" s="13">
        <f t="shared" si="91"/>
        <v>76.954094537214388</v>
      </c>
      <c r="BG79" s="20">
        <f t="shared" si="61"/>
        <v>704.77951465231456</v>
      </c>
      <c r="BH79" s="59">
        <f t="shared" si="62"/>
        <v>998.11284798564793</v>
      </c>
      <c r="BI79" s="59">
        <f ca="1">AVERAGE(OFFSET($BH$3,0,0,'Données projet'!$E$11+1,1))-AVERAGE(OFFSET($H$3,0,0,'Données projet'!$E$11+1,1))</f>
        <v>316.58509520829671</v>
      </c>
      <c r="BJ79" s="59">
        <f t="shared" si="92"/>
        <v>240.71332110643596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1.0192036728737661</v>
      </c>
      <c r="BQ79" s="21">
        <f>EXP(-LN(2)/25)*BQ78+(1-EXP(-LN(2)/25))/(LN(2)/25)*Calculateur!BL79*Calculateur!BN79*VLOOKUP('Données projet'!$B$11,Paramètres!$A$1:$I$89,3,0)*0.475*44/12</f>
        <v>4.2646645374876417</v>
      </c>
      <c r="BR79" s="21">
        <f>EXP(-LN(2)/2)*BR78+(1-EXP(-LN(2)/2))/(LN(2)/2)*BL79*BO79*VLOOKUP('Données projet'!$B$11,Paramètres!$A$1:$I$89,3,0)*0.475*44/12</f>
        <v>2.6153735006023484E-6</v>
      </c>
      <c r="BS79" s="22">
        <f t="shared" si="63"/>
        <v>5.2838708257349092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3.9</v>
      </c>
      <c r="BY79" s="12">
        <f>IF('Données projet'!$A$114&gt;35,BY78+BX79-CG78,IF(A79&lt;'Données projet'!$A$114,$BV$205^A79,IF(A79='Données projet'!$A$114,'Données projet'!$B$114,BY78+BX79-CG78)))</f>
        <v>326.39999999999958</v>
      </c>
      <c r="BZ79" s="13">
        <f>BY79*VLOOKUP('Données projet'!$B$12,Paramètres!$A$1:$I$89,3,0)*VLOOKUP('Données projet'!$B$12,Paramètres!$A$1:$I$89,5,0)</f>
        <v>259.68383999999969</v>
      </c>
      <c r="CA79" s="13">
        <f t="shared" si="93"/>
        <v>62.654980648867301</v>
      </c>
      <c r="CB79" s="20">
        <f t="shared" si="64"/>
        <v>561.40677929677668</v>
      </c>
      <c r="CC79" s="59">
        <f t="shared" si="65"/>
        <v>854.74011263010993</v>
      </c>
      <c r="CD79" s="59">
        <f ca="1">AVERAGE(OFFSET($CC$3,0,0,'Données projet'!$E$12+1,1))-AVERAGE(OFFSET($H$3,0,0,'Données projet'!$E$12+1,1))</f>
        <v>260.20517190557814</v>
      </c>
      <c r="CE79" s="59">
        <f t="shared" si="94"/>
        <v>307.22009971147133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1.3121285088415688</v>
      </c>
      <c r="CL79" s="21">
        <f>EXP(-LN(2)/25)*CL78+(1-EXP(-LN(2)/25))/(LN(2)/25)*Calculateur!CG79*Calculateur!CI79*VLOOKUP('Données projet'!$B$12,Paramètres!$A$1:$I$89,3,0)*0.475*44/12</f>
        <v>5.7315720506918417</v>
      </c>
      <c r="CM79" s="21">
        <f>EXP(-LN(2)/2)*CM78+(1-EXP(-LN(2)/2))/(LN(2)/2)*CG79*CJ79*VLOOKUP('Données projet'!$B$12,Paramètres!$A$1:$I$89,3,0)*0.475*44/12</f>
        <v>2.8656761947580917E-6</v>
      </c>
      <c r="CN79" s="22">
        <f t="shared" si="66"/>
        <v>7.043703425209606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10.1</v>
      </c>
      <c r="CT79" s="12">
        <f>IF('Données projet'!$A$140&gt;35,CT78+CS79-DB78,IF(A79&lt;'Données projet'!$A$140,$CQ$205^A79,IF(A79='Données projet'!$A$140,'Données projet'!$B$140,CT78+CS79-DB78)))</f>
        <v>298.59999999999997</v>
      </c>
      <c r="CU79" s="17">
        <f>CT79*VLOOKUP('Données projet'!$B$13,Paramètres!$A$1:$I$89,3,0)*VLOOKUP('Données projet'!$B$13,Paramètres!$A$1:$I$89,5,0)</f>
        <v>256.19880000000001</v>
      </c>
      <c r="CV79" s="13">
        <f t="shared" si="95"/>
        <v>61.911422506728201</v>
      </c>
      <c r="CW79" s="20">
        <f t="shared" si="67"/>
        <v>554.04197086588488</v>
      </c>
      <c r="CX79" s="59">
        <f t="shared" si="68"/>
        <v>847.37530419921814</v>
      </c>
      <c r="CY79" s="59">
        <f ca="1">AVERAGE(OFFSET($CX$3,0,0,'Données projet'!$E$13+1,1))-AVERAGE(OFFSET($H$3,0,0,'Données projet'!$E$13+1,1))</f>
        <v>310.4018929413723</v>
      </c>
      <c r="CZ79" s="59">
        <f t="shared" si="96"/>
        <v>127.5231137583819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1.644485085459845</v>
      </c>
      <c r="DH79" s="21">
        <f>EXP(-LN(2)/2)*DH78+(1-EXP(-LN(2)/2))/(LN(2)/2)*DB79*DE79*VLOOKUP('Données projet'!$B$13,Paramètres!$A$1:$I$89,3,0)*0.475*44/12</f>
        <v>1.0645753545097727E-6</v>
      </c>
      <c r="DI79" s="22">
        <f t="shared" si="69"/>
        <v>1.6444861500351995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>
        <f>DO79*VLOOKUP('Données projet'!$B$14,Paramètres!$A$1:$I$89,3,0)*VLOOKUP('Données projet'!$B$14,Paramètres!$A$1:$I$89,5,0)</f>
        <v>239.31647999999967</v>
      </c>
      <c r="DQ79" s="13">
        <f t="shared" si="97"/>
        <v>58.292443422481945</v>
      </c>
      <c r="DR79" s="20">
        <f t="shared" si="70"/>
        <v>518.33554162748874</v>
      </c>
      <c r="DS79" s="59">
        <f t="shared" si="71"/>
        <v>811.668874960822</v>
      </c>
      <c r="DT79" s="59">
        <f ca="1">AVERAGE(OFFSET($DS$3,0,0,'Données projet'!$E$14+1,1))-AVERAGE(OFFSET($H$3,0,0,'Données projet'!$E$14+1,1))</f>
        <v>234.09142087023463</v>
      </c>
      <c r="DU79" s="59">
        <f t="shared" si="98"/>
        <v>278.990685815294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0.98106241819045881</v>
      </c>
      <c r="EB79" s="21">
        <f>EXP(-LN(2)/25)*EB78+(1-EXP(-LN(2)/25))/(LN(2)/25)*Calculateur!DW79*Calculateur!DY79*VLOOKUP('Données projet'!$B$14,Paramètres!$A$1:$I$89,3,0)*0.475*44/12</f>
        <v>4.2854262354599406</v>
      </c>
      <c r="EC79" s="21">
        <f>EXP(-LN(2)/2)*EC78+(1-EXP(-LN(2)/2))/(LN(2)/2)*DW79*DZ79*VLOOKUP('Données projet'!$B$14,Paramètres!$A$1:$I$89,3,0)*0.475*44/12</f>
        <v>2.6409172775221724E-6</v>
      </c>
      <c r="ED79" s="22">
        <f t="shared" si="72"/>
        <v>5.2664912945676772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410.80000000000007</v>
      </c>
      <c r="AJ80" s="13">
        <f>AI80*VLOOKUP('Données projet'!$B$10,Paramètres!$A$1:$I$89,3,0)*VLOOKUP('Données projet'!$B$10,Paramètres!$A$1:$I$89,5,0)</f>
        <v>224.29680000000005</v>
      </c>
      <c r="AK80" s="13">
        <f t="shared" si="89"/>
        <v>55.047720057866165</v>
      </c>
      <c r="AL80" s="20">
        <f t="shared" si="58"/>
        <v>486.52503910078366</v>
      </c>
      <c r="AM80" s="59">
        <f t="shared" si="59"/>
        <v>779.85837243411697</v>
      </c>
      <c r="AN80" s="59">
        <f ca="1">AVERAGE(OFFSET($AM$3,0,0,'Données projet'!$E$10+1,1))-AVERAGE(OFFSET($H$3,0,0,'Données projet'!$E$10+1,1))</f>
        <v>210.04871822652808</v>
      </c>
      <c r="AO80" s="59">
        <f t="shared" si="90"/>
        <v>250.17540614049324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2.8783344214325641</v>
      </c>
      <c r="AV80" s="21">
        <f>EXP(-LN(2)/25)*AV79+(1-EXP(-LN(2)/25))/(LN(2)/25)*Calculateur!AQ80*Calculateur!AS80*VLOOKUP('Données projet'!$B$10,Paramètres!$A$1:$I$89,3,0)*0.475*44/12</f>
        <v>7.561151675220354</v>
      </c>
      <c r="AW80" s="21">
        <f>EXP(-LN(2)/2)*AW79+(1-EXP(-LN(2)/2))/(LN(2)/2)*AQ80*AT80*VLOOKUP('Données projet'!$B$10,Paramètres!$A$1:$I$89,3,0)*0.475*44/12</f>
        <v>1.8168569668676543E-6</v>
      </c>
      <c r="AX80" s="21">
        <f t="shared" si="60"/>
        <v>10.439487913509884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14.5</v>
      </c>
      <c r="BD80" s="12">
        <f>IF('Données projet'!$A$88&gt;35,BD79+BC80-BL79,IF(A80&lt;'Données projet'!$A$88,$BA$205^A80,IF(A80='Données projet'!$A$88,'Données projet'!$B$88,BD79+BC80-BL79)))</f>
        <v>562.49999999999955</v>
      </c>
      <c r="BE80" s="13">
        <f>BD80*VLOOKUP('Données projet'!$B$11,Paramètres!$A$1:$I$89,3,0)*VLOOKUP('Données projet'!$B$11,Paramètres!$A$1:$I$89,5,0)</f>
        <v>336.37499999999977</v>
      </c>
      <c r="BF80" s="13">
        <f t="shared" si="91"/>
        <v>78.750531883095675</v>
      </c>
      <c r="BG80" s="20">
        <f t="shared" si="61"/>
        <v>723.01030136305792</v>
      </c>
      <c r="BH80" s="59">
        <f t="shared" si="62"/>
        <v>1016.3436346963913</v>
      </c>
      <c r="BI80" s="59">
        <f ca="1">AVERAGE(OFFSET($BH$3,0,0,'Données projet'!$E$11+1,1))-AVERAGE(OFFSET($H$3,0,0,'Données projet'!$E$11+1,1))</f>
        <v>316.58509520829671</v>
      </c>
      <c r="BJ80" s="59">
        <f t="shared" si="92"/>
        <v>240.71332110643596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0.99921771050156893</v>
      </c>
      <c r="BQ80" s="21">
        <f>EXP(-LN(2)/25)*BQ79+(1-EXP(-LN(2)/25))/(LN(2)/25)*Calculateur!BL80*Calculateur!BN80*VLOOKUP('Données projet'!$B$11,Paramètres!$A$1:$I$89,3,0)*0.475*44/12</f>
        <v>4.1480470614410816</v>
      </c>
      <c r="BR80" s="21">
        <f>EXP(-LN(2)/2)*BR79+(1-EXP(-LN(2)/2))/(LN(2)/2)*BL80*BO80*VLOOKUP('Données projet'!$B$11,Paramètres!$A$1:$I$89,3,0)*0.475*44/12</f>
        <v>1.8493483376115198E-6</v>
      </c>
      <c r="BS80" s="22">
        <f t="shared" si="63"/>
        <v>5.1472666212909877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3.9</v>
      </c>
      <c r="BY80" s="12">
        <f>IF('Données projet'!$A$114&gt;35,BY79+BX80-CG79,IF(A80&lt;'Données projet'!$A$114,$BV$205^A80,IF(A80='Données projet'!$A$114,'Données projet'!$B$114,BY79+BX80-CG79)))</f>
        <v>330.29999999999956</v>
      </c>
      <c r="BZ80" s="13">
        <f>BY80*VLOOKUP('Données projet'!$B$12,Paramètres!$A$1:$I$89,3,0)*VLOOKUP('Données projet'!$B$12,Paramètres!$A$1:$I$89,5,0)</f>
        <v>262.78667999999965</v>
      </c>
      <c r="CA80" s="13">
        <f t="shared" si="93"/>
        <v>63.316016454882053</v>
      </c>
      <c r="CB80" s="20">
        <f t="shared" si="64"/>
        <v>567.96219632558564</v>
      </c>
      <c r="CC80" s="59">
        <f t="shared" si="65"/>
        <v>861.29552965891889</v>
      </c>
      <c r="CD80" s="59">
        <f ca="1">AVERAGE(OFFSET($CC$3,0,0,'Données projet'!$E$12+1,1))-AVERAGE(OFFSET($H$3,0,0,'Données projet'!$E$12+1,1))</f>
        <v>260.20517190557814</v>
      </c>
      <c r="CE80" s="59">
        <f t="shared" si="94"/>
        <v>307.22009971147133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1.2863984691025512</v>
      </c>
      <c r="CL80" s="21">
        <f>EXP(-LN(2)/25)*CL79+(1-EXP(-LN(2)/25))/(LN(2)/25)*Calculateur!CG80*Calculateur!CI80*VLOOKUP('Données projet'!$B$12,Paramètres!$A$1:$I$89,3,0)*0.475*44/12</f>
        <v>5.5748419115553984</v>
      </c>
      <c r="CM80" s="21">
        <f>EXP(-LN(2)/2)*CM79+(1-EXP(-LN(2)/2))/(LN(2)/2)*CG80*CJ80*VLOOKUP('Données projet'!$B$12,Paramètres!$A$1:$I$89,3,0)*0.475*44/12</f>
        <v>2.0263390699983081E-6</v>
      </c>
      <c r="CN80" s="22">
        <f t="shared" si="66"/>
        <v>6.8612424069970199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10.1</v>
      </c>
      <c r="CT80" s="12">
        <f>IF('Données projet'!$A$140&gt;35,CT79+CS80-DB79,IF(A80&lt;'Données projet'!$A$140,$CQ$205^A80,IF(A80='Données projet'!$A$140,'Données projet'!$B$140,CT79+CS80-DB79)))</f>
        <v>308.7</v>
      </c>
      <c r="CU80" s="17">
        <f>CT80*VLOOKUP('Données projet'!$B$13,Paramètres!$A$1:$I$89,3,0)*VLOOKUP('Données projet'!$B$13,Paramètres!$A$1:$I$89,5,0)</f>
        <v>264.8646</v>
      </c>
      <c r="CV80" s="13">
        <f t="shared" si="95"/>
        <v>63.758192735505993</v>
      </c>
      <c r="CW80" s="20">
        <f t="shared" si="67"/>
        <v>572.35136401433954</v>
      </c>
      <c r="CX80" s="59">
        <f t="shared" si="68"/>
        <v>865.68469734767291</v>
      </c>
      <c r="CY80" s="59">
        <f ca="1">AVERAGE(OFFSET($CX$3,0,0,'Données projet'!$E$13+1,1))-AVERAGE(OFFSET($H$3,0,0,'Données projet'!$E$13+1,1))</f>
        <v>310.4018929413723</v>
      </c>
      <c r="CZ80" s="59">
        <f t="shared" si="96"/>
        <v>127.5231137583819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1.5995165543182335</v>
      </c>
      <c r="DH80" s="21">
        <f>EXP(-LN(2)/2)*DH79+(1-EXP(-LN(2)/2))/(LN(2)/2)*DB80*DE80*VLOOKUP('Données projet'!$B$13,Paramètres!$A$1:$I$89,3,0)*0.475*44/12</f>
        <v>7.5276845225793311E-7</v>
      </c>
      <c r="DI80" s="22">
        <f t="shared" si="69"/>
        <v>1.5995173070866857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>
        <f>DO80*VLOOKUP('Données projet'!$B$14,Paramètres!$A$1:$I$89,3,0)*VLOOKUP('Données projet'!$B$14,Paramètres!$A$1:$I$89,5,0)</f>
        <v>242.17595999999966</v>
      </c>
      <c r="DQ80" s="13">
        <f t="shared" si="97"/>
        <v>58.907452667130812</v>
      </c>
      <c r="DR80" s="20">
        <f t="shared" si="70"/>
        <v>524.38694372858561</v>
      </c>
      <c r="DS80" s="59">
        <f t="shared" si="71"/>
        <v>817.72027706191898</v>
      </c>
      <c r="DT80" s="59">
        <f ca="1">AVERAGE(OFFSET($DS$3,0,0,'Données projet'!$E$14+1,1))-AVERAGE(OFFSET($H$3,0,0,'Données projet'!$E$14+1,1))</f>
        <v>234.09142087023463</v>
      </c>
      <c r="DU80" s="59">
        <f t="shared" si="98"/>
        <v>278.990685815294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0.96182438255873304</v>
      </c>
      <c r="EB80" s="21">
        <f>EXP(-LN(2)/25)*EB79+(1-EXP(-LN(2)/25))/(LN(2)/25)*Calculateur!DW80*Calculateur!DY80*VLOOKUP('Données projet'!$B$14,Paramètres!$A$1:$I$89,3,0)*0.475*44/12</f>
        <v>4.1682410296905177</v>
      </c>
      <c r="EC80" s="21">
        <f>EXP(-LN(2)/2)*EC79+(1-EXP(-LN(2)/2))/(LN(2)/2)*DW80*DZ80*VLOOKUP('Données projet'!$B$14,Paramètres!$A$1:$I$89,3,0)*0.475*44/12</f>
        <v>1.8674105154886436E-6</v>
      </c>
      <c r="ED80" s="22">
        <f t="shared" si="72"/>
        <v>5.1300672796597659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418.20000000000005</v>
      </c>
      <c r="AJ81" s="13">
        <f>AI81*VLOOKUP('Données projet'!$B$10,Paramètres!$A$1:$I$89,3,0)*VLOOKUP('Données projet'!$B$10,Paramètres!$A$1:$I$89,5,0)</f>
        <v>228.33720000000002</v>
      </c>
      <c r="AK81" s="13">
        <f t="shared" si="89"/>
        <v>55.922993607595103</v>
      </c>
      <c r="AL81" s="20">
        <f t="shared" si="58"/>
        <v>495.08650386656154</v>
      </c>
      <c r="AM81" s="59">
        <f t="shared" si="59"/>
        <v>788.4198371998948</v>
      </c>
      <c r="AN81" s="59">
        <f ca="1">AVERAGE(OFFSET($AM$3,0,0,'Données projet'!$E$10+1,1))-AVERAGE(OFFSET($H$3,0,0,'Données projet'!$E$10+1,1))</f>
        <v>210.04871822652808</v>
      </c>
      <c r="AO81" s="59">
        <f t="shared" si="90"/>
        <v>250.17540614049324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2.8218920390389166</v>
      </c>
      <c r="AV81" s="21">
        <f>EXP(-LN(2)/25)*AV80+(1-EXP(-LN(2)/25))/(LN(2)/25)*Calculateur!AQ81*Calculateur!AS81*VLOOKUP('Données projet'!$B$10,Paramètres!$A$1:$I$89,3,0)*0.475*44/12</f>
        <v>7.3543915850377681</v>
      </c>
      <c r="AW81" s="21">
        <f>EXP(-LN(2)/2)*AW80+(1-EXP(-LN(2)/2))/(LN(2)/2)*AQ81*AT81*VLOOKUP('Données projet'!$B$10,Paramètres!$A$1:$I$89,3,0)*0.475*44/12</f>
        <v>1.284711881718141E-6</v>
      </c>
      <c r="AX81" s="21">
        <f t="shared" si="60"/>
        <v>10.176284908788567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14.5</v>
      </c>
      <c r="BD81" s="12">
        <f>IF('Données projet'!$A$88&gt;35,BD80+BC81-BL80,IF(A81&lt;'Données projet'!$A$88,$BA$205^A81,IF(A81='Données projet'!$A$88,'Données projet'!$B$88,BD80+BC81-BL80)))</f>
        <v>576.99999999999955</v>
      </c>
      <c r="BE81" s="13">
        <f>BD81*VLOOKUP('Données projet'!$B$11,Paramètres!$A$1:$I$89,3,0)*VLOOKUP('Données projet'!$B$11,Paramètres!$A$1:$I$89,5,0)</f>
        <v>345.04599999999976</v>
      </c>
      <c r="BF81" s="13">
        <f t="shared" si="91"/>
        <v>80.541586407606928</v>
      </c>
      <c r="BG81" s="20">
        <f t="shared" si="61"/>
        <v>741.23171299324815</v>
      </c>
      <c r="BH81" s="59">
        <f t="shared" si="62"/>
        <v>1034.5650463265815</v>
      </c>
      <c r="BI81" s="59">
        <f ca="1">AVERAGE(OFFSET($BH$3,0,0,'Données projet'!$E$11+1,1))-AVERAGE(OFFSET($H$3,0,0,'Données projet'!$E$11+1,1))</f>
        <v>316.58509520829671</v>
      </c>
      <c r="BJ81" s="59">
        <f t="shared" si="92"/>
        <v>240.71332110643596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0.97962366066125717</v>
      </c>
      <c r="BQ81" s="21">
        <f>EXP(-LN(2)/25)*BQ80+(1-EXP(-LN(2)/25))/(LN(2)/25)*Calculateur!BL81*Calculateur!BN81*VLOOKUP('Données projet'!$B$11,Paramètres!$A$1:$I$89,3,0)*0.475*44/12</f>
        <v>4.034618496409661</v>
      </c>
      <c r="BR81" s="21">
        <f>EXP(-LN(2)/2)*BR80+(1-EXP(-LN(2)/2))/(LN(2)/2)*BL81*BO81*VLOOKUP('Données projet'!$B$11,Paramètres!$A$1:$I$89,3,0)*0.475*44/12</f>
        <v>1.3076867503011744E-6</v>
      </c>
      <c r="BS81" s="22">
        <f t="shared" si="63"/>
        <v>5.0142434647576684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3.9</v>
      </c>
      <c r="BY81" s="12">
        <f>IF('Données projet'!$A$114&gt;35,BY80+BX81-CG80,IF(A81&lt;'Données projet'!$A$114,$BV$205^A81,IF(A81='Données projet'!$A$114,'Données projet'!$B$114,BY80+BX81-CG80)))</f>
        <v>334.19999999999953</v>
      </c>
      <c r="BZ81" s="13">
        <f>BY81*VLOOKUP('Données projet'!$B$12,Paramètres!$A$1:$I$89,3,0)*VLOOKUP('Données projet'!$B$12,Paramètres!$A$1:$I$89,5,0)</f>
        <v>265.88951999999961</v>
      </c>
      <c r="CA81" s="13">
        <f t="shared" si="93"/>
        <v>63.97614434366357</v>
      </c>
      <c r="CB81" s="20">
        <f t="shared" si="64"/>
        <v>574.51603206521338</v>
      </c>
      <c r="CC81" s="59">
        <f t="shared" si="65"/>
        <v>867.84936539854675</v>
      </c>
      <c r="CD81" s="59">
        <f ca="1">AVERAGE(OFFSET($CC$3,0,0,'Données projet'!$E$12+1,1))-AVERAGE(OFFSET($H$3,0,0,'Données projet'!$E$12+1,1))</f>
        <v>260.20517190557814</v>
      </c>
      <c r="CE81" s="59">
        <f t="shared" si="94"/>
        <v>307.22009971147133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1.261172979749041</v>
      </c>
      <c r="CL81" s="21">
        <f>EXP(-LN(2)/25)*CL80+(1-EXP(-LN(2)/25))/(LN(2)/25)*Calculateur!CG81*Calculateur!CI81*VLOOKUP('Données projet'!$B$12,Paramètres!$A$1:$I$89,3,0)*0.475*44/12</f>
        <v>5.4223975663157216</v>
      </c>
      <c r="CM81" s="21">
        <f>EXP(-LN(2)/2)*CM80+(1-EXP(-LN(2)/2))/(LN(2)/2)*CG81*CJ81*VLOOKUP('Données projet'!$B$12,Paramètres!$A$1:$I$89,3,0)*0.475*44/12</f>
        <v>1.4328380973790459E-6</v>
      </c>
      <c r="CN81" s="22">
        <f t="shared" si="66"/>
        <v>6.6835719789028598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10.1</v>
      </c>
      <c r="CT81" s="12">
        <f>IF('Données projet'!$A$140&gt;35,CT80+CS81-DB80,IF(A81&lt;'Données projet'!$A$140,$CQ$205^A81,IF(A81='Données projet'!$A$140,'Données projet'!$B$140,CT80+CS81-DB80)))</f>
        <v>318.8</v>
      </c>
      <c r="CU81" s="17">
        <f>CT81*VLOOKUP('Données projet'!$B$13,Paramètres!$A$1:$I$89,3,0)*VLOOKUP('Données projet'!$B$13,Paramètres!$A$1:$I$89,5,0)</f>
        <v>273.53040000000004</v>
      </c>
      <c r="CV81" s="13">
        <f t="shared" si="95"/>
        <v>65.597941854849111</v>
      </c>
      <c r="CW81" s="20">
        <f t="shared" si="67"/>
        <v>590.64852873052894</v>
      </c>
      <c r="CX81" s="59">
        <f t="shared" si="68"/>
        <v>883.98186206386231</v>
      </c>
      <c r="CY81" s="59">
        <f ca="1">AVERAGE(OFFSET($CX$3,0,0,'Données projet'!$E$13+1,1))-AVERAGE(OFFSET($H$3,0,0,'Données projet'!$E$13+1,1))</f>
        <v>310.4018929413723</v>
      </c>
      <c r="CZ81" s="59">
        <f t="shared" si="96"/>
        <v>127.5231137583819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1.5557776900254816</v>
      </c>
      <c r="DH81" s="21">
        <f>EXP(-LN(2)/2)*DH80+(1-EXP(-LN(2)/2))/(LN(2)/2)*DB81*DE81*VLOOKUP('Données projet'!$B$13,Paramètres!$A$1:$I$89,3,0)*0.475*44/12</f>
        <v>5.3228767725488635E-7</v>
      </c>
      <c r="DI81" s="22">
        <f t="shared" si="69"/>
        <v>1.5557782223131589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>
        <f>DO81*VLOOKUP('Données projet'!$B$14,Paramètres!$A$1:$I$89,3,0)*VLOOKUP('Données projet'!$B$14,Paramètres!$A$1:$I$89,5,0)</f>
        <v>245.03543999999968</v>
      </c>
      <c r="DQ81" s="13">
        <f t="shared" si="97"/>
        <v>59.521617210952996</v>
      </c>
      <c r="DR81" s="20">
        <f t="shared" si="70"/>
        <v>530.43687464240918</v>
      </c>
      <c r="DS81" s="59">
        <f t="shared" si="71"/>
        <v>823.77020797574255</v>
      </c>
      <c r="DT81" s="59">
        <f ca="1">AVERAGE(OFFSET($DS$3,0,0,'Données projet'!$E$14+1,1))-AVERAGE(OFFSET($H$3,0,0,'Données projet'!$E$14+1,1))</f>
        <v>234.09142087023463</v>
      </c>
      <c r="DU81" s="59">
        <f t="shared" si="98"/>
        <v>278.990685815294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0.9429635930717023</v>
      </c>
      <c r="EB81" s="21">
        <f>EXP(-LN(2)/25)*EB80+(1-EXP(-LN(2)/25))/(LN(2)/25)*Calculateur!DW81*Calculateur!DY81*VLOOKUP('Données projet'!$B$14,Paramètres!$A$1:$I$89,3,0)*0.475*44/12</f>
        <v>4.0542602595353614</v>
      </c>
      <c r="EC81" s="21">
        <f>EXP(-LN(2)/2)*EC80+(1-EXP(-LN(2)/2))/(LN(2)/2)*DW81*DZ81*VLOOKUP('Données projet'!$B$14,Paramètres!$A$1:$I$89,3,0)*0.475*44/12</f>
        <v>1.3204586387610864E-6</v>
      </c>
      <c r="ED81" s="22">
        <f t="shared" si="72"/>
        <v>4.9972251730657025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425.6</v>
      </c>
      <c r="AJ82" s="13">
        <f>AI82*VLOOKUP('Données projet'!$B$10,Paramètres!$A$1:$I$89,3,0)*VLOOKUP('Données projet'!$B$10,Paramètres!$A$1:$I$89,5,0)</f>
        <v>232.37760000000003</v>
      </c>
      <c r="AK82" s="13">
        <f t="shared" si="89"/>
        <v>56.7964661260323</v>
      </c>
      <c r="AL82" s="20">
        <f t="shared" si="58"/>
        <v>503.64483183617295</v>
      </c>
      <c r="AM82" s="59">
        <f t="shared" si="59"/>
        <v>796.97816516950627</v>
      </c>
      <c r="AN82" s="59">
        <f ca="1">AVERAGE(OFFSET($AM$3,0,0,'Données projet'!$E$10+1,1))-AVERAGE(OFFSET($H$3,0,0,'Données projet'!$E$10+1,1))</f>
        <v>210.04871822652808</v>
      </c>
      <c r="AO82" s="59">
        <f t="shared" si="90"/>
        <v>250.17540614049324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2.7665564573375545</v>
      </c>
      <c r="AV82" s="21">
        <f>EXP(-LN(2)/25)*AV81+(1-EXP(-LN(2)/25))/(LN(2)/25)*Calculateur!AQ82*Calculateur!AS82*VLOOKUP('Données projet'!$B$10,Paramètres!$A$1:$I$89,3,0)*0.475*44/12</f>
        <v>7.1532853603942659</v>
      </c>
      <c r="AW82" s="21">
        <f>EXP(-LN(2)/2)*AW81+(1-EXP(-LN(2)/2))/(LN(2)/2)*AQ82*AT82*VLOOKUP('Données projet'!$B$10,Paramètres!$A$1:$I$89,3,0)*0.475*44/12</f>
        <v>9.0842848343382724E-7</v>
      </c>
      <c r="AX82" s="21">
        <f t="shared" si="60"/>
        <v>9.9198427261603026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14.5</v>
      </c>
      <c r="BD82" s="12">
        <f>IF('Données projet'!$A$88&gt;35,BD81+BC82-BL81,IF(A82&lt;'Données projet'!$A$88,$BA$205^A82,IF(A82='Données projet'!$A$88,'Données projet'!$B$88,BD81+BC82-BL81)))</f>
        <v>591.49999999999955</v>
      </c>
      <c r="BE82" s="13">
        <f>BD82*VLOOKUP('Données projet'!$B$11,Paramètres!$A$1:$I$89,3,0)*VLOOKUP('Données projet'!$B$11,Paramètres!$A$1:$I$89,5,0)</f>
        <v>353.71699999999976</v>
      </c>
      <c r="BF82" s="13">
        <f t="shared" si="91"/>
        <v>82.327408937870302</v>
      </c>
      <c r="BG82" s="20">
        <f t="shared" si="61"/>
        <v>759.4440122334571</v>
      </c>
      <c r="BH82" s="59">
        <f t="shared" si="62"/>
        <v>1052.7773455667905</v>
      </c>
      <c r="BI82" s="59">
        <f ca="1">AVERAGE(OFFSET($BH$3,0,0,'Données projet'!$E$11+1,1))-AVERAGE(OFFSET($H$3,0,0,'Données projet'!$E$11+1,1))</f>
        <v>316.58509520829671</v>
      </c>
      <c r="BJ82" s="59">
        <f t="shared" si="92"/>
        <v>240.71332110643596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0.96041383818712356</v>
      </c>
      <c r="BQ82" s="21">
        <f>EXP(-LN(2)/25)*BQ81+(1-EXP(-LN(2)/25))/(LN(2)/25)*Calculateur!BL82*Calculateur!BN82*VLOOKUP('Données projet'!$B$11,Paramètres!$A$1:$I$89,3,0)*0.475*44/12</f>
        <v>3.9242916414539732</v>
      </c>
      <c r="BR82" s="21">
        <f>EXP(-LN(2)/2)*BR81+(1-EXP(-LN(2)/2))/(LN(2)/2)*BL82*BO82*VLOOKUP('Données projet'!$B$11,Paramètres!$A$1:$I$89,3,0)*0.475*44/12</f>
        <v>9.2467416880576001E-7</v>
      </c>
      <c r="BS82" s="22">
        <f t="shared" si="63"/>
        <v>4.8847064043152661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3.9</v>
      </c>
      <c r="BY82" s="12">
        <f>IF('Données projet'!$A$114&gt;35,BY81+BX82-CG81,IF(A82&lt;'Données projet'!$A$114,$BV$205^A82,IF(A82='Données projet'!$A$114,'Données projet'!$B$114,BY81+BX82-CG81)))</f>
        <v>338.09999999999951</v>
      </c>
      <c r="BZ82" s="13">
        <f>BY82*VLOOKUP('Données projet'!$B$12,Paramètres!$A$1:$I$89,3,0)*VLOOKUP('Données projet'!$B$12,Paramètres!$A$1:$I$89,5,0)</f>
        <v>268.99235999999962</v>
      </c>
      <c r="CA82" s="13">
        <f t="shared" si="93"/>
        <v>64.63537613607356</v>
      </c>
      <c r="CB82" s="20">
        <f t="shared" si="64"/>
        <v>581.06830710366069</v>
      </c>
      <c r="CC82" s="59">
        <f t="shared" si="65"/>
        <v>874.40164043699406</v>
      </c>
      <c r="CD82" s="59">
        <f ca="1">AVERAGE(OFFSET($CC$3,0,0,'Données projet'!$E$12+1,1))-AVERAGE(OFFSET($H$3,0,0,'Données projet'!$E$12+1,1))</f>
        <v>260.20517190557814</v>
      </c>
      <c r="CE82" s="59">
        <f t="shared" si="94"/>
        <v>307.22009971147133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1.2364421468557238</v>
      </c>
      <c r="CL82" s="21">
        <f>EXP(-LN(2)/25)*CL81+(1-EXP(-LN(2)/25))/(LN(2)/25)*Calculateur!CG82*Calculateur!CI82*VLOOKUP('Données projet'!$B$12,Paramètres!$A$1:$I$89,3,0)*0.475*44/12</f>
        <v>5.2741218197133231</v>
      </c>
      <c r="CM82" s="21">
        <f>EXP(-LN(2)/2)*CM81+(1-EXP(-LN(2)/2))/(LN(2)/2)*CG82*CJ82*VLOOKUP('Données projet'!$B$12,Paramètres!$A$1:$I$89,3,0)*0.475*44/12</f>
        <v>1.013169534999154E-6</v>
      </c>
      <c r="CN82" s="22">
        <f t="shared" si="66"/>
        <v>6.5105649797385814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10.1</v>
      </c>
      <c r="CT82" s="12">
        <f>IF('Données projet'!$A$140&gt;35,CT81+CS82-DB81,IF(A82&lt;'Données projet'!$A$140,$CQ$205^A82,IF(A82='Données projet'!$A$140,'Données projet'!$B$140,CT81+CS82-DB81)))</f>
        <v>328.90000000000003</v>
      </c>
      <c r="CU82" s="17">
        <f>CT82*VLOOKUP('Données projet'!$B$13,Paramètres!$A$1:$I$89,3,0)*VLOOKUP('Données projet'!$B$13,Paramètres!$A$1:$I$89,5,0)</f>
        <v>282.19620000000009</v>
      </c>
      <c r="CV82" s="13">
        <f t="shared" si="95"/>
        <v>67.430917821301051</v>
      </c>
      <c r="CW82" s="20">
        <f t="shared" si="67"/>
        <v>608.93389687209947</v>
      </c>
      <c r="CX82" s="59">
        <f t="shared" si="68"/>
        <v>902.26723020543272</v>
      </c>
      <c r="CY82" s="59">
        <f ca="1">AVERAGE(OFFSET($CX$3,0,0,'Données projet'!$E$13+1,1))-AVERAGE(OFFSET($H$3,0,0,'Données projet'!$E$13+1,1))</f>
        <v>310.4018929413723</v>
      </c>
      <c r="CZ82" s="59">
        <f t="shared" si="96"/>
        <v>127.5231137583819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1.5132348672769418</v>
      </c>
      <c r="DH82" s="21">
        <f>EXP(-LN(2)/2)*DH81+(1-EXP(-LN(2)/2))/(LN(2)/2)*DB82*DE82*VLOOKUP('Données projet'!$B$13,Paramètres!$A$1:$I$89,3,0)*0.475*44/12</f>
        <v>3.7638422612896655E-7</v>
      </c>
      <c r="DI82" s="22">
        <f t="shared" si="69"/>
        <v>1.513235243661168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>
        <f>DO82*VLOOKUP('Données projet'!$B$14,Paramètres!$A$1:$I$89,3,0)*VLOOKUP('Données projet'!$B$14,Paramètres!$A$1:$I$89,5,0)</f>
        <v>247.89491999999962</v>
      </c>
      <c r="DQ82" s="13">
        <f t="shared" si="97"/>
        <v>60.134948051747941</v>
      </c>
      <c r="DR82" s="20">
        <f t="shared" si="70"/>
        <v>536.48535352346028</v>
      </c>
      <c r="DS82" s="59">
        <f t="shared" si="71"/>
        <v>829.81868685679365</v>
      </c>
      <c r="DT82" s="59">
        <f ca="1">AVERAGE(OFFSET($DS$3,0,0,'Données projet'!$E$14+1,1))-AVERAGE(OFFSET($H$3,0,0,'Données projet'!$E$14+1,1))</f>
        <v>234.09142087023463</v>
      </c>
      <c r="DU82" s="59">
        <f t="shared" si="98"/>
        <v>278.990685815294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0.92447265216256658</v>
      </c>
      <c r="EB82" s="21">
        <f>EXP(-LN(2)/25)*EB81+(1-EXP(-LN(2)/25))/(LN(2)/25)*Calculateur!DW82*Calculateur!DY82*VLOOKUP('Données projet'!$B$14,Paramètres!$A$1:$I$89,3,0)*0.475*44/12</f>
        <v>3.9433962995340859</v>
      </c>
      <c r="EC82" s="21">
        <f>EXP(-LN(2)/2)*EC81+(1-EXP(-LN(2)/2))/(LN(2)/2)*DW82*DZ82*VLOOKUP('Données projet'!$B$14,Paramètres!$A$1:$I$89,3,0)*0.475*44/12</f>
        <v>9.3370525774432201E-7</v>
      </c>
      <c r="ED82" s="22">
        <f t="shared" si="72"/>
        <v>4.8678698854019107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433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433</v>
      </c>
      <c r="AJ83" s="13">
        <f>AI83*VLOOKUP('Données projet'!$B$10,Paramètres!$A$1:$I$89,3,0)*VLOOKUP('Données projet'!$B$10,Paramètres!$A$1:$I$89,5,0)</f>
        <v>236.41799999999998</v>
      </c>
      <c r="AK83" s="13">
        <f t="shared" si="89"/>
        <v>57.668172541352746</v>
      </c>
      <c r="AL83" s="20">
        <f t="shared" si="58"/>
        <v>512.20008384285597</v>
      </c>
      <c r="AM83" s="59">
        <f t="shared" si="59"/>
        <v>805.53341717618923</v>
      </c>
      <c r="AN83" s="59">
        <f ca="1">AVERAGE(OFFSET($AM$3,0,0,'Données projet'!$E$10+1,1))-AVERAGE(OFFSET($H$3,0,0,'Données projet'!$E$10+1,1))</f>
        <v>210.04871822652808</v>
      </c>
      <c r="AO83" s="59">
        <f t="shared" si="90"/>
        <v>250.17540614049324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433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2.712305972641984</v>
      </c>
      <c r="AV83" s="21">
        <f>EXP(-LN(2)/25)*AV82+(1-EXP(-LN(2)/25))/(LN(2)/25)*Calculateur!AQ83*Calculateur!AS83*VLOOKUP('Données projet'!$B$10,Paramètres!$A$1:$I$89,3,0)*0.475*44/12</f>
        <v>6.9576783960393564</v>
      </c>
      <c r="AW83" s="21">
        <f>EXP(-LN(2)/2)*AW82+(1-EXP(-LN(2)/2))/(LN(2)/2)*AQ83*AT83*VLOOKUP('Données projet'!$B$10,Paramètres!$A$1:$I$89,3,0)*0.475*44/12</f>
        <v>6.4235594085907048E-7</v>
      </c>
      <c r="AX83" s="21">
        <f t="shared" si="60"/>
        <v>9.6699850110372818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606</v>
      </c>
      <c r="BB83" s="12">
        <f>VLOOKUP(A83,'Données projet'!$A$87:$I$107,9,0)</f>
        <v>14.5</v>
      </c>
      <c r="BC83" s="12">
        <f t="array" ref="BC83">INDEX(BB:BB,MIN(IF(ISNUMBER(BB83:BB279),ROW(BB83:BB279),"")))</f>
        <v>14.5</v>
      </c>
      <c r="BD83" s="12">
        <f>IF('Données projet'!$A$88&gt;35,BD82+BC83-BL82,IF(A83&lt;'Données projet'!$A$88,$BA$205^A83,IF(A83='Données projet'!$A$88,'Données projet'!$B$88,BD82+BC83-BL82)))</f>
        <v>605.99999999999955</v>
      </c>
      <c r="BE83" s="13">
        <f>BD83*VLOOKUP('Données projet'!$B$11,Paramètres!$A$1:$I$89,3,0)*VLOOKUP('Données projet'!$B$11,Paramètres!$A$1:$I$89,5,0)</f>
        <v>362.38799999999981</v>
      </c>
      <c r="BF83" s="13">
        <f t="shared" si="91"/>
        <v>84.108142484692749</v>
      </c>
      <c r="BG83" s="20">
        <f t="shared" si="61"/>
        <v>777.64744816083942</v>
      </c>
      <c r="BH83" s="59">
        <f t="shared" si="62"/>
        <v>1070.9807814941728</v>
      </c>
      <c r="BI83" s="59">
        <f ca="1">AVERAGE(OFFSET($BH$3,0,0,'Données projet'!$E$11+1,1))-AVERAGE(OFFSET($H$3,0,0,'Données projet'!$E$11+1,1))</f>
        <v>316.58509520829671</v>
      </c>
      <c r="BJ83" s="59">
        <f t="shared" si="92"/>
        <v>240.71332110643596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0.94158070861487297</v>
      </c>
      <c r="BQ83" s="21">
        <f>EXP(-LN(2)/25)*BQ82+(1-EXP(-LN(2)/25))/(LN(2)/25)*Calculateur!BL83*Calculateur!BN83*VLOOKUP('Données projet'!$B$11,Paramètres!$A$1:$I$89,3,0)*0.475*44/12</f>
        <v>3.8169816801488858</v>
      </c>
      <c r="BR83" s="21">
        <f>EXP(-LN(2)/2)*BR82+(1-EXP(-LN(2)/2))/(LN(2)/2)*BL83*BO83*VLOOKUP('Données projet'!$B$11,Paramètres!$A$1:$I$89,3,0)*0.475*44/12</f>
        <v>6.5384337515058731E-7</v>
      </c>
      <c r="BS83" s="22">
        <f t="shared" si="63"/>
        <v>4.7585630426071335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342</v>
      </c>
      <c r="BW83" s="12">
        <f>VLOOKUP(A83,'Données projet'!$A$113:$I$133,9,0)</f>
        <v>3.9</v>
      </c>
      <c r="BX83" s="12">
        <f t="array" ref="BX83">INDEX(BW:BW,MIN(IF(ISNUMBER(BW83:BW279),ROW(BW83:BW279),"")))</f>
        <v>3.9</v>
      </c>
      <c r="BY83" s="12">
        <f>IF('Données projet'!$A$114&gt;35,BY82+BX83-CG82,IF(A83&lt;'Données projet'!$A$114,$BV$205^A83,IF(A83='Données projet'!$A$114,'Données projet'!$B$114,BY82+BX83-CG82)))</f>
        <v>341.99999999999949</v>
      </c>
      <c r="BZ83" s="13">
        <f>BY83*VLOOKUP('Données projet'!$B$12,Paramètres!$A$1:$I$89,3,0)*VLOOKUP('Données projet'!$B$12,Paramètres!$A$1:$I$89,5,0)</f>
        <v>272.09519999999958</v>
      </c>
      <c r="CA83" s="13">
        <f t="shared" si="93"/>
        <v>65.293723364568322</v>
      </c>
      <c r="CB83" s="20">
        <f t="shared" si="64"/>
        <v>587.61904152662237</v>
      </c>
      <c r="CC83" s="59">
        <f t="shared" si="65"/>
        <v>880.95237485995563</v>
      </c>
      <c r="CD83" s="59">
        <f ca="1">AVERAGE(OFFSET($CC$3,0,0,'Données projet'!$E$12+1,1))-AVERAGE(OFFSET($H$3,0,0,'Données projet'!$E$12+1,1))</f>
        <v>260.20517190557814</v>
      </c>
      <c r="CE83" s="59">
        <f t="shared" si="94"/>
        <v>307.22009971147133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1.212196270511126</v>
      </c>
      <c r="CL83" s="21">
        <f>EXP(-LN(2)/25)*CL82+(1-EXP(-LN(2)/25))/(LN(2)/25)*Calculateur!CG83*Calculateur!CI83*VLOOKUP('Données projet'!$B$12,Paramètres!$A$1:$I$89,3,0)*0.475*44/12</f>
        <v>5.12990068119925</v>
      </c>
      <c r="CM83" s="21">
        <f>EXP(-LN(2)/2)*CM82+(1-EXP(-LN(2)/2))/(LN(2)/2)*CG83*CJ83*VLOOKUP('Données projet'!$B$12,Paramètres!$A$1:$I$89,3,0)*0.475*44/12</f>
        <v>7.1641904868952293E-7</v>
      </c>
      <c r="CN83" s="22">
        <f t="shared" si="66"/>
        <v>6.3420976681294245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339</v>
      </c>
      <c r="CR83" s="12">
        <f>VLOOKUP(A83,'Données projet'!$A$139:$I$159,9,0)</f>
        <v>10.1</v>
      </c>
      <c r="CS83" s="12">
        <f t="array" ref="CS83">INDEX(CR:CR,MIN(IF(ISNUMBER(CR83:CR279),ROW(CR83:CR279),"")))</f>
        <v>10.1</v>
      </c>
      <c r="CT83" s="12">
        <f>IF('Données projet'!$A$140&gt;35,CT82+CS83-DB82,IF(A83&lt;'Données projet'!$A$140,$CQ$205^A83,IF(A83='Données projet'!$A$140,'Données projet'!$B$140,CT82+CS83-DB82)))</f>
        <v>339.00000000000006</v>
      </c>
      <c r="CU83" s="17">
        <f>CT83*VLOOKUP('Données projet'!$B$13,Paramètres!$A$1:$I$89,3,0)*VLOOKUP('Données projet'!$B$13,Paramètres!$A$1:$I$89,5,0)</f>
        <v>290.86200000000008</v>
      </c>
      <c r="CV83" s="13">
        <f t="shared" si="95"/>
        <v>69.257352497482572</v>
      </c>
      <c r="CW83" s="20">
        <f t="shared" si="67"/>
        <v>627.20787226644893</v>
      </c>
      <c r="CX83" s="59">
        <f t="shared" si="68"/>
        <v>920.54120559978219</v>
      </c>
      <c r="CY83" s="59">
        <f ca="1">AVERAGE(OFFSET($CX$3,0,0,'Données projet'!$E$13+1,1))-AVERAGE(OFFSET($H$3,0,0,'Données projet'!$E$13+1,1))</f>
        <v>310.4018929413723</v>
      </c>
      <c r="CZ83" s="59">
        <f t="shared" si="96"/>
        <v>127.5231137583819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69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1.4718553802536907</v>
      </c>
      <c r="DH83" s="21">
        <f>EXP(-LN(2)/2)*DH82+(1-EXP(-LN(2)/2))/(LN(2)/2)*DB83*DE83*VLOOKUP('Données projet'!$B$13,Paramètres!$A$1:$I$89,3,0)*0.475*44/12</f>
        <v>2.6614383862744317E-7</v>
      </c>
      <c r="DI83" s="22">
        <f t="shared" si="69"/>
        <v>1.4718556463975292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>
        <f>DO83*VLOOKUP('Données projet'!$B$14,Paramètres!$A$1:$I$89,3,0)*VLOOKUP('Données projet'!$B$14,Paramètres!$A$1:$I$89,5,0)</f>
        <v>250.75439999999963</v>
      </c>
      <c r="DQ83" s="13">
        <f t="shared" si="97"/>
        <v>60.747455918990774</v>
      </c>
      <c r="DR83" s="20">
        <f t="shared" si="70"/>
        <v>542.53239905890825</v>
      </c>
      <c r="DS83" s="59">
        <f t="shared" si="71"/>
        <v>835.86573239224163</v>
      </c>
      <c r="DT83" s="59">
        <f ca="1">AVERAGE(OFFSET($DS$3,0,0,'Données projet'!$E$14+1,1))-AVERAGE(OFFSET($H$3,0,0,'Données projet'!$E$14+1,1))</f>
        <v>234.09142087023463</v>
      </c>
      <c r="DU83" s="59">
        <f t="shared" si="98"/>
        <v>278.990685815294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342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0.90634430732629867</v>
      </c>
      <c r="EB83" s="21">
        <f>EXP(-LN(2)/25)*EB82+(1-EXP(-LN(2)/25))/(LN(2)/25)*Calculateur!DW83*Calculateur!DY83*VLOOKUP('Données projet'!$B$14,Paramètres!$A$1:$I$89,3,0)*0.475*44/12</f>
        <v>3.8355639203491276</v>
      </c>
      <c r="EC83" s="21">
        <f>EXP(-LN(2)/2)*EC82+(1-EXP(-LN(2)/2))/(LN(2)/2)*DW83*DZ83*VLOOKUP('Données projet'!$B$14,Paramètres!$A$1:$I$89,3,0)*0.475*44/12</f>
        <v>6.6022931938054331E-7</v>
      </c>
      <c r="ED83" s="22">
        <f t="shared" si="72"/>
        <v>4.7419088879047457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210.04871822652808</v>
      </c>
      <c r="AO84" s="59">
        <f t="shared" si="90"/>
        <v>250.17540614049324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2.6591193068617653</v>
      </c>
      <c r="AV84" s="21">
        <f>EXP(-LN(2)/25)*AV83+(1-EXP(-LN(2)/25))/(LN(2)/25)*Calculateur!AQ84*Calculateur!AS84*VLOOKUP('Données projet'!$B$10,Paramètres!$A$1:$I$89,3,0)*0.475*44/12</f>
        <v>6.7674203144112557</v>
      </c>
      <c r="AW84" s="21">
        <f>EXP(-LN(2)/2)*AW83+(1-EXP(-LN(2)/2))/(LN(2)/2)*AQ84*AT84*VLOOKUP('Données projet'!$B$10,Paramètres!$A$1:$I$89,3,0)*0.475*44/12</f>
        <v>4.5421424171691362E-7</v>
      </c>
      <c r="AX84" s="21">
        <f t="shared" si="60"/>
        <v>9.4265400754872619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12.5</v>
      </c>
      <c r="BD84" s="12">
        <f>IF('Données projet'!$A$88&gt;35,BD83+BC84-BL83,IF(A84&lt;'Données projet'!$A$88,$BA$205^A84,IF(A84='Données projet'!$A$88,'Données projet'!$B$88,BD83+BC84-BL83)))</f>
        <v>524.49999999999955</v>
      </c>
      <c r="BE84" s="13">
        <f>BD84*VLOOKUP('Données projet'!$B$11,Paramètres!$A$1:$I$89,3,0)*VLOOKUP('Données projet'!$B$11,Paramètres!$A$1:$I$89,5,0)</f>
        <v>313.65099999999978</v>
      </c>
      <c r="BF84" s="13">
        <f t="shared" si="91"/>
        <v>74.030783927316818</v>
      </c>
      <c r="BG84" s="20">
        <f t="shared" si="61"/>
        <v>675.21244034007634</v>
      </c>
      <c r="BH84" s="59">
        <f t="shared" si="62"/>
        <v>968.54577367340971</v>
      </c>
      <c r="BI84" s="59">
        <f ca="1">AVERAGE(OFFSET($BH$3,0,0,'Données projet'!$E$11+1,1))-AVERAGE(OFFSET($H$3,0,0,'Données projet'!$E$11+1,1))</f>
        <v>316.58509520829671</v>
      </c>
      <c r="BJ84" s="59">
        <f t="shared" si="92"/>
        <v>240.71332110643596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0.9231168852264594</v>
      </c>
      <c r="BQ84" s="21">
        <f>EXP(-LN(2)/25)*BQ83+(1-EXP(-LN(2)/25))/(LN(2)/25)*Calculateur!BL84*Calculateur!BN84*VLOOKUP('Données projet'!$B$11,Paramètres!$A$1:$I$89,3,0)*0.475*44/12</f>
        <v>3.7126061153788719</v>
      </c>
      <c r="BR84" s="21">
        <f>EXP(-LN(2)/2)*BR83+(1-EXP(-LN(2)/2))/(LN(2)/2)*BL84*BO84*VLOOKUP('Données projet'!$B$11,Paramètres!$A$1:$I$89,3,0)*0.475*44/12</f>
        <v>4.6233708440288006E-7</v>
      </c>
      <c r="BS84" s="22">
        <f t="shared" si="63"/>
        <v>4.6357234629424156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-5.1159076974727213E-13</v>
      </c>
      <c r="BZ84" s="13">
        <f>BY84*VLOOKUP('Données projet'!$B$12,Paramètres!$A$1:$I$89,3,0)*VLOOKUP('Données projet'!$B$12,Paramètres!$A$1:$I$89,5,0)</f>
        <v>-4.0702161641092972E-13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260.20517190557814</v>
      </c>
      <c r="CE84" s="59">
        <f t="shared" si="94"/>
        <v>307.22009971147133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1.1884258410131214</v>
      </c>
      <c r="CL84" s="21">
        <f>EXP(-LN(2)/25)*CL83+(1-EXP(-LN(2)/25))/(LN(2)/25)*Calculateur!CG84*Calculateur!CI84*VLOOKUP('Données projet'!$B$12,Paramètres!$A$1:$I$89,3,0)*0.475*44/12</f>
        <v>4.9896232773021039</v>
      </c>
      <c r="CM84" s="21">
        <f>EXP(-LN(2)/2)*CM83+(1-EXP(-LN(2)/2))/(LN(2)/2)*CG84*CJ84*VLOOKUP('Données projet'!$B$12,Paramètres!$A$1:$I$89,3,0)*0.475*44/12</f>
        <v>5.0658476749957702E-7</v>
      </c>
      <c r="CN84" s="22">
        <f t="shared" si="66"/>
        <v>6.1780496248999937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9.1</v>
      </c>
      <c r="CT84" s="12">
        <f>IF('Données projet'!$A$140&gt;35,CT83+CS84-DB83,IF(A84&lt;'Données projet'!$A$140,$CQ$205^A84,IF(A84='Données projet'!$A$140,'Données projet'!$B$140,CT83+CS84-DB83)))</f>
        <v>279.10000000000008</v>
      </c>
      <c r="CU84" s="17">
        <f>CT84*VLOOKUP('Données projet'!$B$13,Paramètres!$A$1:$I$89,3,0)*VLOOKUP('Données projet'!$B$13,Paramètres!$A$1:$I$89,5,0)</f>
        <v>239.4678000000001</v>
      </c>
      <c r="CV84" s="13">
        <f t="shared" si="95"/>
        <v>58.325010269552514</v>
      </c>
      <c r="CW84" s="20">
        <f t="shared" si="67"/>
        <v>518.65581121947082</v>
      </c>
      <c r="CX84" s="59">
        <f t="shared" si="68"/>
        <v>811.98914455280419</v>
      </c>
      <c r="CY84" s="59">
        <f ca="1">AVERAGE(OFFSET($CX$3,0,0,'Données projet'!$E$13+1,1))-AVERAGE(OFFSET($H$3,0,0,'Données projet'!$E$13+1,1))</f>
        <v>310.4018929413723</v>
      </c>
      <c r="CZ84" s="59">
        <f t="shared" si="96"/>
        <v>127.5231137583819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1.4316074174791431</v>
      </c>
      <c r="DH84" s="21">
        <f>EXP(-LN(2)/2)*DH83+(1-EXP(-LN(2)/2))/(LN(2)/2)*DB84*DE84*VLOOKUP('Données projet'!$B$13,Paramètres!$A$1:$I$89,3,0)*0.475*44/12</f>
        <v>1.8819211306448328E-7</v>
      </c>
      <c r="DI84" s="22">
        <f t="shared" si="69"/>
        <v>1.4316076056712561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>
        <f>DO84*VLOOKUP('Données projet'!$B$14,Paramètres!$A$1:$I$89,3,0)*VLOOKUP('Données projet'!$B$14,Paramètres!$A$1:$I$89,5,0)</f>
        <v>-3.7509835237869992E-13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234.09142087023463</v>
      </c>
      <c r="DU84" s="59">
        <f t="shared" si="98"/>
        <v>278.990685815294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0.8885714482750714</v>
      </c>
      <c r="EB84" s="21">
        <f>EXP(-LN(2)/25)*EB83+(1-EXP(-LN(2)/25))/(LN(2)/25)*Calculateur!DW84*Calculateur!DY84*VLOOKUP('Données projet'!$B$14,Paramètres!$A$1:$I$89,3,0)*0.475*44/12</f>
        <v>3.7306802232436405</v>
      </c>
      <c r="EC84" s="21">
        <f>EXP(-LN(2)/2)*EC83+(1-EXP(-LN(2)/2))/(LN(2)/2)*DW84*DZ84*VLOOKUP('Données projet'!$B$14,Paramètres!$A$1:$I$89,3,0)*0.475*44/12</f>
        <v>4.6685262887216106E-7</v>
      </c>
      <c r="ED84" s="22">
        <f t="shared" si="72"/>
        <v>4.6192521383713405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210.04871822652808</v>
      </c>
      <c r="AO85" s="59">
        <f t="shared" si="90"/>
        <v>250.17540614049324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2.6069755991568337</v>
      </c>
      <c r="AV85" s="21">
        <f>EXP(-LN(2)/25)*AV84+(1-EXP(-LN(2)/25))/(LN(2)/25)*Calculateur!AQ85*Calculateur!AS85*VLOOKUP('Données projet'!$B$10,Paramètres!$A$1:$I$89,3,0)*0.475*44/12</f>
        <v>6.5823648500305127</v>
      </c>
      <c r="AW85" s="21">
        <f>EXP(-LN(2)/2)*AW84+(1-EXP(-LN(2)/2))/(LN(2)/2)*AQ85*AT85*VLOOKUP('Données projet'!$B$10,Paramètres!$A$1:$I$89,3,0)*0.475*44/12</f>
        <v>3.2117797042953524E-7</v>
      </c>
      <c r="AX85" s="21">
        <f t="shared" si="60"/>
        <v>9.189340770365316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12.5</v>
      </c>
      <c r="BD85" s="12">
        <f>IF('Données projet'!$A$88&gt;35,BD84+BC85-BL84,IF(A85&lt;'Données projet'!$A$88,$BA$205^A85,IF(A85='Données projet'!$A$88,'Données projet'!$B$88,BD84+BC85-BL84)))</f>
        <v>536.99999999999955</v>
      </c>
      <c r="BE85" s="13">
        <f>BD85*VLOOKUP('Données projet'!$B$11,Paramètres!$A$1:$I$89,3,0)*VLOOKUP('Données projet'!$B$11,Paramètres!$A$1:$I$89,5,0)</f>
        <v>321.12599999999975</v>
      </c>
      <c r="BF85" s="13">
        <f t="shared" si="91"/>
        <v>75.587591944000252</v>
      </c>
      <c r="BG85" s="20">
        <f t="shared" si="61"/>
        <v>690.94283930246672</v>
      </c>
      <c r="BH85" s="59">
        <f t="shared" si="62"/>
        <v>984.27617263580009</v>
      </c>
      <c r="BI85" s="59">
        <f ca="1">AVERAGE(OFFSET($BH$3,0,0,'Données projet'!$E$11+1,1))-AVERAGE(OFFSET($H$3,0,0,'Données projet'!$E$11+1,1))</f>
        <v>316.58509520829671</v>
      </c>
      <c r="BJ85" s="59">
        <f t="shared" si="92"/>
        <v>240.71332110643596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0.90501512615287238</v>
      </c>
      <c r="BQ85" s="21">
        <f>EXP(-LN(2)/25)*BQ84+(1-EXP(-LN(2)/25))/(LN(2)/25)*Calculateur!BL85*Calculateur!BN85*VLOOKUP('Données projet'!$B$11,Paramètres!$A$1:$I$89,3,0)*0.475*44/12</f>
        <v>3.6110847059163662</v>
      </c>
      <c r="BR85" s="21">
        <f>EXP(-LN(2)/2)*BR84+(1-EXP(-LN(2)/2))/(LN(2)/2)*BL85*BO85*VLOOKUP('Données projet'!$B$11,Paramètres!$A$1:$I$89,3,0)*0.475*44/12</f>
        <v>3.2692168757529371E-7</v>
      </c>
      <c r="BS85" s="22">
        <f t="shared" si="63"/>
        <v>4.5161001589909269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-5.1159076974727213E-13</v>
      </c>
      <c r="BZ85" s="13">
        <f>BY85*VLOOKUP('Données projet'!$B$12,Paramètres!$A$1:$I$89,3,0)*VLOOKUP('Données projet'!$B$12,Paramètres!$A$1:$I$89,5,0)</f>
        <v>-4.0702161641092972E-13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260.20517190557814</v>
      </c>
      <c r="CE85" s="59">
        <f t="shared" si="94"/>
        <v>307.22009971147133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1.1651215351390423</v>
      </c>
      <c r="CL85" s="21">
        <f>EXP(-LN(2)/25)*CL84+(1-EXP(-LN(2)/25))/(LN(2)/25)*Calculateur!CG85*Calculateur!CI85*VLOOKUP('Données projet'!$B$12,Paramètres!$A$1:$I$89,3,0)*0.475*44/12</f>
        <v>4.8531817663913932</v>
      </c>
      <c r="CM85" s="21">
        <f>EXP(-LN(2)/2)*CM84+(1-EXP(-LN(2)/2))/(LN(2)/2)*CG85*CJ85*VLOOKUP('Données projet'!$B$12,Paramètres!$A$1:$I$89,3,0)*0.475*44/12</f>
        <v>3.5820952434476146E-7</v>
      </c>
      <c r="CN85" s="22">
        <f t="shared" si="66"/>
        <v>6.01830365973996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9.1</v>
      </c>
      <c r="CT85" s="12">
        <f>IF('Données projet'!$A$140&gt;35,CT84+CS85-DB84,IF(A85&lt;'Données projet'!$A$140,$CQ$205^A85,IF(A85='Données projet'!$A$140,'Données projet'!$B$140,CT84+CS85-DB84)))</f>
        <v>288.2000000000001</v>
      </c>
      <c r="CU85" s="17">
        <f>CT85*VLOOKUP('Données projet'!$B$13,Paramètres!$A$1:$I$89,3,0)*VLOOKUP('Données projet'!$B$13,Paramètres!$A$1:$I$89,5,0)</f>
        <v>247.27560000000014</v>
      </c>
      <c r="CV85" s="13">
        <f t="shared" si="95"/>
        <v>60.002180078120453</v>
      </c>
      <c r="CW85" s="20">
        <f t="shared" si="67"/>
        <v>535.17546696939337</v>
      </c>
      <c r="CX85" s="59">
        <f t="shared" si="68"/>
        <v>828.50880030272674</v>
      </c>
      <c r="CY85" s="59">
        <f ca="1">AVERAGE(OFFSET($CX$3,0,0,'Données projet'!$E$13+1,1))-AVERAGE(OFFSET($H$3,0,0,'Données projet'!$E$13+1,1))</f>
        <v>310.4018929413723</v>
      </c>
      <c r="CZ85" s="59">
        <f t="shared" si="96"/>
        <v>127.5231137583819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1.3924600373632139</v>
      </c>
      <c r="DH85" s="21">
        <f>EXP(-LN(2)/2)*DH84+(1-EXP(-LN(2)/2))/(LN(2)/2)*DB85*DE85*VLOOKUP('Données projet'!$B$13,Paramètres!$A$1:$I$89,3,0)*0.475*44/12</f>
        <v>1.3307191931372159E-7</v>
      </c>
      <c r="DI85" s="22">
        <f t="shared" si="69"/>
        <v>1.3924601704351331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>
        <f>DO85*VLOOKUP('Données projet'!$B$14,Paramètres!$A$1:$I$89,3,0)*VLOOKUP('Données projet'!$B$14,Paramètres!$A$1:$I$89,5,0)</f>
        <v>-3.7509835237869992E-13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234.09142087023463</v>
      </c>
      <c r="DU85" s="59">
        <f t="shared" si="98"/>
        <v>278.990685815294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0.87114710414946506</v>
      </c>
      <c r="EB85" s="21">
        <f>EXP(-LN(2)/25)*EB84+(1-EXP(-LN(2)/25))/(LN(2)/25)*Calculateur!DW85*Calculateur!DY85*VLOOKUP('Données projet'!$B$14,Paramètres!$A$1:$I$89,3,0)*0.475*44/12</f>
        <v>3.6286645763510967</v>
      </c>
      <c r="EC85" s="21">
        <f>EXP(-LN(2)/2)*EC84+(1-EXP(-LN(2)/2))/(LN(2)/2)*DW85*DZ85*VLOOKUP('Données projet'!$B$14,Paramètres!$A$1:$I$89,3,0)*0.475*44/12</f>
        <v>3.3011465969027171E-7</v>
      </c>
      <c r="ED85" s="22">
        <f t="shared" si="72"/>
        <v>4.499812010615222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210.04871822652808</v>
      </c>
      <c r="AO86" s="59">
        <f t="shared" si="90"/>
        <v>250.17540614049324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2.5558543977554744</v>
      </c>
      <c r="AV86" s="21">
        <f>EXP(-LN(2)/25)*AV85+(1-EXP(-LN(2)/25))/(LN(2)/25)*Calculateur!AQ86*Calculateur!AS86*VLOOKUP('Données projet'!$B$10,Paramètres!$A$1:$I$89,3,0)*0.475*44/12</f>
        <v>6.4023697370549053</v>
      </c>
      <c r="AW86" s="21">
        <f>EXP(-LN(2)/2)*AW85+(1-EXP(-LN(2)/2))/(LN(2)/2)*AQ86*AT86*VLOOKUP('Données projet'!$B$10,Paramètres!$A$1:$I$89,3,0)*0.475*44/12</f>
        <v>2.2710712085845681E-7</v>
      </c>
      <c r="AX86" s="21">
        <f t="shared" si="60"/>
        <v>8.9582243619174999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12.5</v>
      </c>
      <c r="BD86" s="12">
        <f>IF('Données projet'!$A$88&gt;35,BD85+BC86-BL85,IF(A86&lt;'Données projet'!$A$88,$BA$205^A86,IF(A86='Données projet'!$A$88,'Données projet'!$B$88,BD85+BC86-BL85)))</f>
        <v>549.49999999999955</v>
      </c>
      <c r="BE86" s="13">
        <f>BD86*VLOOKUP('Données projet'!$B$11,Paramètres!$A$1:$I$89,3,0)*VLOOKUP('Données projet'!$B$11,Paramètres!$A$1:$I$89,5,0)</f>
        <v>328.60099999999977</v>
      </c>
      <c r="BF86" s="13">
        <f t="shared" si="91"/>
        <v>77.140187101009843</v>
      </c>
      <c r="BG86" s="20">
        <f t="shared" si="61"/>
        <v>706.66590086759163</v>
      </c>
      <c r="BH86" s="59">
        <f t="shared" si="62"/>
        <v>999.999234200925</v>
      </c>
      <c r="BI86" s="59">
        <f ca="1">AVERAGE(OFFSET($BH$3,0,0,'Données projet'!$E$11+1,1))-AVERAGE(OFFSET($H$3,0,0,'Données projet'!$E$11+1,1))</f>
        <v>316.58509520829671</v>
      </c>
      <c r="BJ86" s="59">
        <f t="shared" si="92"/>
        <v>240.71332110643596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0.88726833153373552</v>
      </c>
      <c r="BQ86" s="21">
        <f>EXP(-LN(2)/25)*BQ85+(1-EXP(-LN(2)/25))/(LN(2)/25)*Calculateur!BL86*Calculateur!BN86*VLOOKUP('Données projet'!$B$11,Paramètres!$A$1:$I$89,3,0)*0.475*44/12</f>
        <v>3.5123394047343917</v>
      </c>
      <c r="BR86" s="21">
        <f>EXP(-LN(2)/2)*BR85+(1-EXP(-LN(2)/2))/(LN(2)/2)*BL86*BO86*VLOOKUP('Données projet'!$B$11,Paramètres!$A$1:$I$89,3,0)*0.475*44/12</f>
        <v>2.3116854220144008E-7</v>
      </c>
      <c r="BS86" s="22">
        <f t="shared" si="63"/>
        <v>4.399607967436669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-5.1159076974727213E-13</v>
      </c>
      <c r="BZ86" s="13">
        <f>BY86*VLOOKUP('Données projet'!$B$12,Paramètres!$A$1:$I$89,3,0)*VLOOKUP('Données projet'!$B$12,Paramètres!$A$1:$I$89,5,0)</f>
        <v>-4.0702161641092972E-13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260.20517190557814</v>
      </c>
      <c r="CE86" s="59">
        <f t="shared" si="94"/>
        <v>307.22009971147133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1.1422742124889309</v>
      </c>
      <c r="CL86" s="21">
        <f>EXP(-LN(2)/25)*CL85+(1-EXP(-LN(2)/25))/(LN(2)/25)*Calculateur!CG86*Calculateur!CI86*VLOOKUP('Données projet'!$B$12,Paramètres!$A$1:$I$89,3,0)*0.475*44/12</f>
        <v>4.7204712557716837</v>
      </c>
      <c r="CM86" s="21">
        <f>EXP(-LN(2)/2)*CM85+(1-EXP(-LN(2)/2))/(LN(2)/2)*CG86*CJ86*VLOOKUP('Données projet'!$B$12,Paramètres!$A$1:$I$89,3,0)*0.475*44/12</f>
        <v>2.5329238374978851E-7</v>
      </c>
      <c r="CN86" s="22">
        <f t="shared" si="66"/>
        <v>5.8627457215529981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9.1</v>
      </c>
      <c r="CT86" s="12">
        <f>IF('Données projet'!$A$140&gt;35,CT85+CS86-DB85,IF(A86&lt;'Données projet'!$A$140,$CQ$205^A86,IF(A86='Données projet'!$A$140,'Données projet'!$B$140,CT85+CS86-DB85)))</f>
        <v>297.30000000000013</v>
      </c>
      <c r="CU86" s="17">
        <f>CT86*VLOOKUP('Données projet'!$B$13,Paramètres!$A$1:$I$89,3,0)*VLOOKUP('Données projet'!$B$13,Paramètres!$A$1:$I$89,5,0)</f>
        <v>255.08340000000013</v>
      </c>
      <c r="CV86" s="13">
        <f t="shared" si="95"/>
        <v>61.673195910218489</v>
      </c>
      <c r="CW86" s="20">
        <f t="shared" si="67"/>
        <v>551.68440454363065</v>
      </c>
      <c r="CX86" s="59">
        <f t="shared" si="68"/>
        <v>845.01773787696402</v>
      </c>
      <c r="CY86" s="59">
        <f ca="1">AVERAGE(OFFSET($CX$3,0,0,'Données projet'!$E$13+1,1))-AVERAGE(OFFSET($H$3,0,0,'Données projet'!$E$13+1,1))</f>
        <v>310.4018929413723</v>
      </c>
      <c r="CZ86" s="59">
        <f t="shared" si="96"/>
        <v>127.5231137583819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1.3543831444152259</v>
      </c>
      <c r="DH86" s="21">
        <f>EXP(-LN(2)/2)*DH85+(1-EXP(-LN(2)/2))/(LN(2)/2)*DB86*DE86*VLOOKUP('Données projet'!$B$13,Paramètres!$A$1:$I$89,3,0)*0.475*44/12</f>
        <v>9.4096056532241638E-8</v>
      </c>
      <c r="DI86" s="22">
        <f t="shared" si="69"/>
        <v>1.3543832385112824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>
        <f>DO86*VLOOKUP('Données projet'!$B$14,Paramètres!$A$1:$I$89,3,0)*VLOOKUP('Données projet'!$B$14,Paramètres!$A$1:$I$89,5,0)</f>
        <v>-3.7509835237869992E-13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234.09142087023463</v>
      </c>
      <c r="DU86" s="59">
        <f t="shared" si="98"/>
        <v>278.990685815294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0.85406444078436139</v>
      </c>
      <c r="EB86" s="21">
        <f>EXP(-LN(2)/25)*EB85+(1-EXP(-LN(2)/25))/(LN(2)/25)*Calculateur!DW86*Calculateur!DY86*VLOOKUP('Données projet'!$B$14,Paramètres!$A$1:$I$89,3,0)*0.475*44/12</f>
        <v>3.5294385526875995</v>
      </c>
      <c r="EC86" s="21">
        <f>EXP(-LN(2)/2)*EC85+(1-EXP(-LN(2)/2))/(LN(2)/2)*DW86*DZ86*VLOOKUP('Données projet'!$B$14,Paramètres!$A$1:$I$89,3,0)*0.475*44/12</f>
        <v>2.3342631443608058E-7</v>
      </c>
      <c r="ED86" s="22">
        <f t="shared" si="72"/>
        <v>4.3835032268982754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210.04871822652808</v>
      </c>
      <c r="AO87" s="59">
        <f t="shared" si="90"/>
        <v>250.17540614049324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2.5057356519327421</v>
      </c>
      <c r="AV87" s="21">
        <f>EXP(-LN(2)/25)*AV86+(1-EXP(-LN(2)/25))/(LN(2)/25)*Calculateur!AQ87*Calculateur!AS87*VLOOKUP('Données projet'!$B$10,Paramètres!$A$1:$I$89,3,0)*0.475*44/12</f>
        <v>6.2272965999091472</v>
      </c>
      <c r="AW87" s="21">
        <f>EXP(-LN(2)/2)*AW86+(1-EXP(-LN(2)/2))/(LN(2)/2)*AQ87*AT87*VLOOKUP('Données projet'!$B$10,Paramètres!$A$1:$I$89,3,0)*0.475*44/12</f>
        <v>1.6058898521476762E-7</v>
      </c>
      <c r="AX87" s="21">
        <f t="shared" si="60"/>
        <v>8.7330324124308749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12.5</v>
      </c>
      <c r="BD87" s="12">
        <f>IF('Données projet'!$A$88&gt;35,BD86+BC87-BL86,IF(A87&lt;'Données projet'!$A$88,$BA$205^A87,IF(A87='Données projet'!$A$88,'Données projet'!$B$88,BD86+BC87-BL86)))</f>
        <v>561.99999999999955</v>
      </c>
      <c r="BE87" s="13">
        <f>BD87*VLOOKUP('Données projet'!$B$11,Paramètres!$A$1:$I$89,3,0)*VLOOKUP('Données projet'!$B$11,Paramètres!$A$1:$I$89,5,0)</f>
        <v>336.07599999999979</v>
      </c>
      <c r="BF87" s="13">
        <f t="shared" si="91"/>
        <v>78.688676264452241</v>
      </c>
      <c r="BG87" s="20">
        <f t="shared" si="61"/>
        <v>722.38181116058729</v>
      </c>
      <c r="BH87" s="59">
        <f t="shared" si="62"/>
        <v>1015.7151444939207</v>
      </c>
      <c r="BI87" s="59">
        <f ca="1">AVERAGE(OFFSET($BH$3,0,0,'Données projet'!$E$11+1,1))-AVERAGE(OFFSET($H$3,0,0,'Données projet'!$E$11+1,1))</f>
        <v>316.58509520829671</v>
      </c>
      <c r="BJ87" s="59">
        <f t="shared" si="92"/>
        <v>240.71332110643596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0.86986954073260414</v>
      </c>
      <c r="BQ87" s="21">
        <f>EXP(-LN(2)/25)*BQ86+(1-EXP(-LN(2)/25))/(LN(2)/25)*Calculateur!BL87*Calculateur!BN87*VLOOKUP('Données projet'!$B$11,Paramètres!$A$1:$I$89,3,0)*0.475*44/12</f>
        <v>3.4162942990060281</v>
      </c>
      <c r="BR87" s="21">
        <f>EXP(-LN(2)/2)*BR86+(1-EXP(-LN(2)/2))/(LN(2)/2)*BL87*BO87*VLOOKUP('Données projet'!$B$11,Paramètres!$A$1:$I$89,3,0)*0.475*44/12</f>
        <v>1.6346084378764688E-7</v>
      </c>
      <c r="BS87" s="22">
        <f t="shared" si="63"/>
        <v>4.2861640031994765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-5.1159076974727213E-13</v>
      </c>
      <c r="BZ87" s="13">
        <f>BY87*VLOOKUP('Données projet'!$B$12,Paramètres!$A$1:$I$89,3,0)*VLOOKUP('Données projet'!$B$12,Paramètres!$A$1:$I$89,5,0)</f>
        <v>-4.0702161641092972E-13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260.20517190557814</v>
      </c>
      <c r="CE87" s="59">
        <f t="shared" si="94"/>
        <v>307.22009971147133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1.1198749119004974</v>
      </c>
      <c r="CL87" s="21">
        <f>EXP(-LN(2)/25)*CL86+(1-EXP(-LN(2)/25))/(LN(2)/25)*Calculateur!CG87*Calculateur!CI87*VLOOKUP('Données projet'!$B$12,Paramètres!$A$1:$I$89,3,0)*0.475*44/12</f>
        <v>4.5913897210438126</v>
      </c>
      <c r="CM87" s="21">
        <f>EXP(-LN(2)/2)*CM86+(1-EXP(-LN(2)/2))/(LN(2)/2)*CG87*CJ87*VLOOKUP('Données projet'!$B$12,Paramètres!$A$1:$I$89,3,0)*0.475*44/12</f>
        <v>1.7910476217238073E-7</v>
      </c>
      <c r="CN87" s="22">
        <f t="shared" si="66"/>
        <v>5.7112648120490723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9.1</v>
      </c>
      <c r="CT87" s="12">
        <f>IF('Données projet'!$A$140&gt;35,CT86+CS87-DB86,IF(A87&lt;'Données projet'!$A$140,$CQ$205^A87,IF(A87='Données projet'!$A$140,'Données projet'!$B$140,CT86+CS87-DB86)))</f>
        <v>306.40000000000015</v>
      </c>
      <c r="CU87" s="17">
        <f>CT87*VLOOKUP('Données projet'!$B$13,Paramètres!$A$1:$I$89,3,0)*VLOOKUP('Données projet'!$B$13,Paramètres!$A$1:$I$89,5,0)</f>
        <v>262.89120000000014</v>
      </c>
      <c r="CV87" s="13">
        <f t="shared" si="95"/>
        <v>63.338267749887194</v>
      </c>
      <c r="CW87" s="20">
        <f t="shared" si="67"/>
        <v>568.18298966438704</v>
      </c>
      <c r="CX87" s="59">
        <f t="shared" si="68"/>
        <v>861.51632299772041</v>
      </c>
      <c r="CY87" s="59">
        <f ca="1">AVERAGE(OFFSET($CX$3,0,0,'Données projet'!$E$13+1,1))-AVERAGE(OFFSET($H$3,0,0,'Données projet'!$E$13+1,1))</f>
        <v>310.4018929413723</v>
      </c>
      <c r="CZ87" s="59">
        <f t="shared" si="96"/>
        <v>127.5231137583819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1.3173474661072775</v>
      </c>
      <c r="DH87" s="21">
        <f>EXP(-LN(2)/2)*DH86+(1-EXP(-LN(2)/2))/(LN(2)/2)*DB87*DE87*VLOOKUP('Données projet'!$B$13,Paramètres!$A$1:$I$89,3,0)*0.475*44/12</f>
        <v>6.6535959656860794E-8</v>
      </c>
      <c r="DI87" s="22">
        <f t="shared" si="69"/>
        <v>1.3173475326432371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>
        <f>DO87*VLOOKUP('Données projet'!$B$14,Paramètres!$A$1:$I$89,3,0)*VLOOKUP('Données projet'!$B$14,Paramètres!$A$1:$I$89,5,0)</f>
        <v>-3.7509835237869992E-13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234.09142087023463</v>
      </c>
      <c r="DU87" s="59">
        <f t="shared" si="98"/>
        <v>278.990685815294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0.83731675802845162</v>
      </c>
      <c r="EB87" s="21">
        <f>EXP(-LN(2)/25)*EB86+(1-EXP(-LN(2)/25))/(LN(2)/25)*Calculateur!DW87*Calculateur!DY87*VLOOKUP('Données projet'!$B$14,Paramètres!$A$1:$I$89,3,0)*0.475*44/12</f>
        <v>3.4329258698592504</v>
      </c>
      <c r="EC87" s="21">
        <f>EXP(-LN(2)/2)*EC86+(1-EXP(-LN(2)/2))/(LN(2)/2)*DW87*DZ87*VLOOKUP('Données projet'!$B$14,Paramètres!$A$1:$I$89,3,0)*0.475*44/12</f>
        <v>1.6505732984513588E-7</v>
      </c>
      <c r="ED87" s="22">
        <f t="shared" si="72"/>
        <v>4.270242792945032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210.04871822652808</v>
      </c>
      <c r="AO88" s="59">
        <f t="shared" si="90"/>
        <v>250.17540614049324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2.4565997041461767</v>
      </c>
      <c r="AV88" s="21">
        <f>EXP(-LN(2)/25)*AV87+(1-EXP(-LN(2)/25))/(LN(2)/25)*Calculateur!AQ88*Calculateur!AS88*VLOOKUP('Données projet'!$B$10,Paramètres!$A$1:$I$89,3,0)*0.475*44/12</f>
        <v>6.0570108469053361</v>
      </c>
      <c r="AW88" s="21">
        <f>EXP(-LN(2)/2)*AW87+(1-EXP(-LN(2)/2))/(LN(2)/2)*AQ88*AT88*VLOOKUP('Données projet'!$B$10,Paramètres!$A$1:$I$89,3,0)*0.475*44/12</f>
        <v>1.135535604292284E-7</v>
      </c>
      <c r="AX88" s="21">
        <f t="shared" si="60"/>
        <v>8.5136106646050749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12.5</v>
      </c>
      <c r="BD88" s="12">
        <f>IF('Données projet'!$A$88&gt;35,BD87+BC88-BL87,IF(A88&lt;'Données projet'!$A$88,$BA$205^A88,IF(A88='Données projet'!$A$88,'Données projet'!$B$88,BD87+BC88-BL87)))</f>
        <v>574.49999999999955</v>
      </c>
      <c r="BE88" s="13">
        <f>BD88*VLOOKUP('Données projet'!$B$11,Paramètres!$A$1:$I$89,3,0)*VLOOKUP('Données projet'!$B$11,Paramètres!$A$1:$I$89,5,0)</f>
        <v>343.55099999999976</v>
      </c>
      <c r="BF88" s="13">
        <f t="shared" si="91"/>
        <v>80.233161275191421</v>
      </c>
      <c r="BG88" s="20">
        <f t="shared" si="61"/>
        <v>738.09074755429128</v>
      </c>
      <c r="BH88" s="59">
        <f t="shared" si="62"/>
        <v>1031.4240808876245</v>
      </c>
      <c r="BI88" s="59">
        <f ca="1">AVERAGE(OFFSET($BH$3,0,0,'Données projet'!$E$11+1,1))-AVERAGE(OFFSET($H$3,0,0,'Données projet'!$E$11+1,1))</f>
        <v>316.58509520829671</v>
      </c>
      <c r="BJ88" s="59">
        <f t="shared" si="92"/>
        <v>240.71332110643596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0.85281192960686836</v>
      </c>
      <c r="BQ88" s="21">
        <f>EXP(-LN(2)/25)*BQ87+(1-EXP(-LN(2)/25))/(LN(2)/25)*Calculateur!BL88*Calculateur!BN88*VLOOKUP('Données projet'!$B$11,Paramètres!$A$1:$I$89,3,0)*0.475*44/12</f>
        <v>3.3228755517445991</v>
      </c>
      <c r="BR88" s="21">
        <f>EXP(-LN(2)/2)*BR87+(1-EXP(-LN(2)/2))/(LN(2)/2)*BL88*BO88*VLOOKUP('Données projet'!$B$11,Paramètres!$A$1:$I$89,3,0)*0.475*44/12</f>
        <v>1.1558427110072005E-7</v>
      </c>
      <c r="BS88" s="22">
        <f t="shared" si="63"/>
        <v>4.1756875969357381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-5.1159076974727213E-13</v>
      </c>
      <c r="BZ88" s="13">
        <f>BY88*VLOOKUP('Données projet'!$B$12,Paramètres!$A$1:$I$89,3,0)*VLOOKUP('Données projet'!$B$12,Paramètres!$A$1:$I$89,5,0)</f>
        <v>-4.0702161641092972E-13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260.20517190557814</v>
      </c>
      <c r="CE88" s="59">
        <f t="shared" si="94"/>
        <v>307.22009971147133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1.0979148479343788</v>
      </c>
      <c r="CL88" s="21">
        <f>EXP(-LN(2)/25)*CL87+(1-EXP(-LN(2)/25))/(LN(2)/25)*Calculateur!CG88*Calculateur!CI88*VLOOKUP('Données projet'!$B$12,Paramètres!$A$1:$I$89,3,0)*0.475*44/12</f>
        <v>4.4658379276711777</v>
      </c>
      <c r="CM88" s="21">
        <f>EXP(-LN(2)/2)*CM87+(1-EXP(-LN(2)/2))/(LN(2)/2)*CG88*CJ88*VLOOKUP('Données projet'!$B$12,Paramètres!$A$1:$I$89,3,0)*0.475*44/12</f>
        <v>1.2664619187489426E-7</v>
      </c>
      <c r="CN88" s="22">
        <f t="shared" si="66"/>
        <v>5.5637529022517489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9.1</v>
      </c>
      <c r="CT88" s="12">
        <f>IF('Données projet'!$A$140&gt;35,CT87+CS88-DB87,IF(A88&lt;'Données projet'!$A$140,$CQ$205^A88,IF(A88='Données projet'!$A$140,'Données projet'!$B$140,CT87+CS88-DB87)))</f>
        <v>315.50000000000017</v>
      </c>
      <c r="CU88" s="17">
        <f>CT88*VLOOKUP('Données projet'!$B$13,Paramètres!$A$1:$I$89,3,0)*VLOOKUP('Données projet'!$B$13,Paramètres!$A$1:$I$89,5,0)</f>
        <v>270.69900000000018</v>
      </c>
      <c r="CV88" s="13">
        <f t="shared" si="95"/>
        <v>64.99759239921724</v>
      </c>
      <c r="CW88" s="20">
        <f t="shared" si="67"/>
        <v>584.67156509530366</v>
      </c>
      <c r="CX88" s="59">
        <f t="shared" si="68"/>
        <v>878.00489842863703</v>
      </c>
      <c r="CY88" s="59">
        <f ca="1">AVERAGE(OFFSET($CX$3,0,0,'Données projet'!$E$13+1,1))-AVERAGE(OFFSET($H$3,0,0,'Données projet'!$E$13+1,1))</f>
        <v>310.4018929413723</v>
      </c>
      <c r="CZ88" s="59">
        <f t="shared" si="96"/>
        <v>127.5231137583819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1.2813245303702816</v>
      </c>
      <c r="DH88" s="21">
        <f>EXP(-LN(2)/2)*DH87+(1-EXP(-LN(2)/2))/(LN(2)/2)*DB88*DE88*VLOOKUP('Données projet'!$B$13,Paramètres!$A$1:$I$89,3,0)*0.475*44/12</f>
        <v>4.7048028266120819E-8</v>
      </c>
      <c r="DI88" s="22">
        <f t="shared" si="69"/>
        <v>1.28132457741831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>
        <f>DO88*VLOOKUP('Données projet'!$B$14,Paramètres!$A$1:$I$89,3,0)*VLOOKUP('Données projet'!$B$14,Paramètres!$A$1:$I$89,5,0)</f>
        <v>-3.7509835237869992E-13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234.09142087023463</v>
      </c>
      <c r="DU88" s="59">
        <f t="shared" si="98"/>
        <v>278.990685815294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0.82089748711630739</v>
      </c>
      <c r="EB88" s="21">
        <f>EXP(-LN(2)/25)*EB87+(1-EXP(-LN(2)/25))/(LN(2)/25)*Calculateur!DW88*Calculateur!DY88*VLOOKUP('Données projet'!$B$14,Paramètres!$A$1:$I$89,3,0)*0.475*44/12</f>
        <v>3.3390523314182237</v>
      </c>
      <c r="EC88" s="21">
        <f>EXP(-LN(2)/2)*EC87+(1-EXP(-LN(2)/2))/(LN(2)/2)*DW88*DZ88*VLOOKUP('Données projet'!$B$14,Paramètres!$A$1:$I$89,3,0)*0.475*44/12</f>
        <v>1.167131572180403E-7</v>
      </c>
      <c r="ED88" s="22">
        <f t="shared" si="72"/>
        <v>4.1599499352476883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210.04871822652808</v>
      </c>
      <c r="AO89" s="59">
        <f t="shared" si="90"/>
        <v>250.17540614049324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2.4084272823257371</v>
      </c>
      <c r="AV89" s="21">
        <f>EXP(-LN(2)/25)*AV88+(1-EXP(-LN(2)/25))/(LN(2)/25)*Calculateur!AQ89*Calculateur!AS89*VLOOKUP('Données projet'!$B$10,Paramètres!$A$1:$I$89,3,0)*0.475*44/12</f>
        <v>5.8913815667723526</v>
      </c>
      <c r="AW89" s="21">
        <f>EXP(-LN(2)/2)*AW88+(1-EXP(-LN(2)/2))/(LN(2)/2)*AQ89*AT89*VLOOKUP('Données projet'!$B$10,Paramètres!$A$1:$I$89,3,0)*0.475*44/12</f>
        <v>8.029449260738381E-8</v>
      </c>
      <c r="AX89" s="21">
        <f t="shared" si="60"/>
        <v>8.299808929392583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12.5</v>
      </c>
      <c r="BD89" s="12">
        <f>IF('Données projet'!$A$88&gt;35,BD88+BC89-BL88,IF(A89&lt;'Données projet'!$A$88,$BA$205^A89,IF(A89='Données projet'!$A$88,'Données projet'!$B$88,BD88+BC89-BL88)))</f>
        <v>586.99999999999955</v>
      </c>
      <c r="BE89" s="13">
        <f>BD89*VLOOKUP('Données projet'!$B$11,Paramètres!$A$1:$I$89,3,0)*VLOOKUP('Données projet'!$B$11,Paramètres!$A$1:$I$89,5,0)</f>
        <v>351.02599999999978</v>
      </c>
      <c r="BF89" s="13">
        <f t="shared" si="91"/>
        <v>81.773739289271361</v>
      </c>
      <c r="BG89" s="20">
        <f t="shared" si="61"/>
        <v>753.79287926214727</v>
      </c>
      <c r="BH89" s="59">
        <f t="shared" si="62"/>
        <v>1047.1262125954806</v>
      </c>
      <c r="BI89" s="59">
        <f ca="1">AVERAGE(OFFSET($BH$3,0,0,'Données projet'!$E$11+1,1))-AVERAGE(OFFSET($H$3,0,0,'Données projet'!$E$11+1,1))</f>
        <v>316.58509520829671</v>
      </c>
      <c r="BJ89" s="59">
        <f t="shared" si="92"/>
        <v>240.71332110643596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0.83608880783119277</v>
      </c>
      <c r="BQ89" s="21">
        <f>EXP(-LN(2)/25)*BQ88+(1-EXP(-LN(2)/25))/(LN(2)/25)*Calculateur!BL89*Calculateur!BN89*VLOOKUP('Données projet'!$B$11,Paramètres!$A$1:$I$89,3,0)*0.475*44/12</f>
        <v>3.2320113450397123</v>
      </c>
      <c r="BR89" s="21">
        <f>EXP(-LN(2)/2)*BR88+(1-EXP(-LN(2)/2))/(LN(2)/2)*BL89*BO89*VLOOKUP('Données projet'!$B$11,Paramètres!$A$1:$I$89,3,0)*0.475*44/12</f>
        <v>8.1730421893823454E-8</v>
      </c>
      <c r="BS89" s="22">
        <f t="shared" si="63"/>
        <v>4.0681002346013262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-5.1159076974727213E-13</v>
      </c>
      <c r="BZ89" s="13">
        <f>BY89*VLOOKUP('Données projet'!$B$12,Paramètres!$A$1:$I$89,3,0)*VLOOKUP('Données projet'!$B$12,Paramètres!$A$1:$I$89,5,0)</f>
        <v>-4.0702161641092972E-13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260.20517190557814</v>
      </c>
      <c r="CE89" s="59">
        <f t="shared" si="94"/>
        <v>307.22009971147133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1.0763854074283192</v>
      </c>
      <c r="CL89" s="21">
        <f>EXP(-LN(2)/25)*CL88+(1-EXP(-LN(2)/25))/(LN(2)/25)*Calculateur!CG89*Calculateur!CI89*VLOOKUP('Données projet'!$B$12,Paramètres!$A$1:$I$89,3,0)*0.475*44/12</f>
        <v>4.3437193546907995</v>
      </c>
      <c r="CM89" s="21">
        <f>EXP(-LN(2)/2)*CM88+(1-EXP(-LN(2)/2))/(LN(2)/2)*CG89*CJ89*VLOOKUP('Données projet'!$B$12,Paramètres!$A$1:$I$89,3,0)*0.475*44/12</f>
        <v>8.9552381086190366E-8</v>
      </c>
      <c r="CN89" s="22">
        <f t="shared" si="66"/>
        <v>5.4201048516714998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</v>
      </c>
      <c r="CT89" s="12">
        <f>IF('Données projet'!$A$140&gt;35,CT88+CS89-DB88,IF(A89&lt;'Données projet'!$A$140,$CQ$205^A89,IF(A89='Données projet'!$A$140,'Données projet'!$B$140,CT88+CS89-DB88)))</f>
        <v>324.60000000000019</v>
      </c>
      <c r="CU89" s="17">
        <f>CT89*VLOOKUP('Données projet'!$B$13,Paramètres!$A$1:$I$89,3,0)*VLOOKUP('Données projet'!$B$13,Paramètres!$A$1:$I$89,5,0)</f>
        <v>278.50680000000017</v>
      </c>
      <c r="CV89" s="13">
        <f t="shared" si="95"/>
        <v>66.65135466191002</v>
      </c>
      <c r="CW89" s="20">
        <f t="shared" si="67"/>
        <v>601.1504527028269</v>
      </c>
      <c r="CX89" s="59">
        <f t="shared" si="68"/>
        <v>894.48378603616015</v>
      </c>
      <c r="CY89" s="59">
        <f ca="1">AVERAGE(OFFSET($CX$3,0,0,'Données projet'!$E$13+1,1))-AVERAGE(OFFSET($H$3,0,0,'Données projet'!$E$13+1,1))</f>
        <v>310.4018929413723</v>
      </c>
      <c r="CZ89" s="59">
        <f t="shared" si="96"/>
        <v>127.5231137583819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1.2462866437053777</v>
      </c>
      <c r="DH89" s="21">
        <f>EXP(-LN(2)/2)*DH88+(1-EXP(-LN(2)/2))/(LN(2)/2)*DB89*DE89*VLOOKUP('Données projet'!$B$13,Paramètres!$A$1:$I$89,3,0)*0.475*44/12</f>
        <v>3.3267979828430397E-8</v>
      </c>
      <c r="DI89" s="22">
        <f t="shared" si="69"/>
        <v>1.2462866769733576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>
        <f>DO89*VLOOKUP('Données projet'!$B$14,Paramètres!$A$1:$I$89,3,0)*VLOOKUP('Données projet'!$B$14,Paramètres!$A$1:$I$89,5,0)</f>
        <v>-3.7509835237869992E-13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234.09142087023463</v>
      </c>
      <c r="DU89" s="59">
        <f t="shared" si="98"/>
        <v>278.990685815294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0.80480018809198395</v>
      </c>
      <c r="EB89" s="21">
        <f>EXP(-LN(2)/25)*EB88+(1-EXP(-LN(2)/25))/(LN(2)/25)*Calculateur!DW89*Calculateur!DY89*VLOOKUP('Données projet'!$B$14,Paramètres!$A$1:$I$89,3,0)*0.475*44/12</f>
        <v>3.2477457698224619</v>
      </c>
      <c r="EC89" s="21">
        <f>EXP(-LN(2)/2)*EC88+(1-EXP(-LN(2)/2))/(LN(2)/2)*DW89*DZ89*VLOOKUP('Données projet'!$B$14,Paramètres!$A$1:$I$89,3,0)*0.475*44/12</f>
        <v>8.2528664922567954E-8</v>
      </c>
      <c r="ED89" s="22">
        <f t="shared" si="72"/>
        <v>4.0525460404431106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210.04871822652808</v>
      </c>
      <c r="AO90" s="59">
        <f t="shared" si="90"/>
        <v>250.17540614049324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2.3611994923149204</v>
      </c>
      <c r="AV90" s="21">
        <f>EXP(-LN(2)/25)*AV89+(1-EXP(-LN(2)/25))/(LN(2)/25)*Calculateur!AQ90*Calculateur!AS90*VLOOKUP('Données projet'!$B$10,Paramètres!$A$1:$I$89,3,0)*0.475*44/12</f>
        <v>5.7302814280146706</v>
      </c>
      <c r="AW90" s="21">
        <f>EXP(-LN(2)/2)*AW89+(1-EXP(-LN(2)/2))/(LN(2)/2)*AQ90*AT90*VLOOKUP('Données projet'!$B$10,Paramètres!$A$1:$I$89,3,0)*0.475*44/12</f>
        <v>5.6776780214614202E-8</v>
      </c>
      <c r="AX90" s="21">
        <f t="shared" si="60"/>
        <v>8.0914809771063716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12.5</v>
      </c>
      <c r="BD90" s="12">
        <f>IF('Données projet'!$A$88&gt;35,BD89+BC90-BL89,IF(A90&lt;'Données projet'!$A$88,$BA$205^A90,IF(A90='Données projet'!$A$88,'Données projet'!$B$88,BD89+BC90-BL89)))</f>
        <v>599.49999999999955</v>
      </c>
      <c r="BE90" s="13">
        <f>BD90*VLOOKUP('Données projet'!$B$11,Paramètres!$A$1:$I$89,3,0)*VLOOKUP('Données projet'!$B$11,Paramètres!$A$1:$I$89,5,0)</f>
        <v>358.50099999999975</v>
      </c>
      <c r="BF90" s="13">
        <f t="shared" si="91"/>
        <v>83.310503088522523</v>
      </c>
      <c r="BG90" s="20">
        <f t="shared" si="61"/>
        <v>769.48836787917628</v>
      </c>
      <c r="BH90" s="59">
        <f t="shared" si="62"/>
        <v>1062.8217012125097</v>
      </c>
      <c r="BI90" s="59">
        <f ca="1">AVERAGE(OFFSET($BH$3,0,0,'Données projet'!$E$11+1,1))-AVERAGE(OFFSET($H$3,0,0,'Données projet'!$E$11+1,1))</f>
        <v>316.58509520829671</v>
      </c>
      <c r="BJ90" s="59">
        <f t="shared" si="92"/>
        <v>240.71332110643596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0.81969361627344106</v>
      </c>
      <c r="BQ90" s="21">
        <f>EXP(-LN(2)/25)*BQ89+(1-EXP(-LN(2)/25))/(LN(2)/25)*Calculateur!BL90*Calculateur!BN90*VLOOKUP('Données projet'!$B$11,Paramètres!$A$1:$I$89,3,0)*0.475*44/12</f>
        <v>3.1436318248455115</v>
      </c>
      <c r="BR90" s="21">
        <f>EXP(-LN(2)/2)*BR89+(1-EXP(-LN(2)/2))/(LN(2)/2)*BL90*BO90*VLOOKUP('Données projet'!$B$11,Paramètres!$A$1:$I$89,3,0)*0.475*44/12</f>
        <v>5.779213555036004E-8</v>
      </c>
      <c r="BS90" s="22">
        <f t="shared" si="63"/>
        <v>3.9633254989110882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-5.1159076974727213E-13</v>
      </c>
      <c r="BZ90" s="13">
        <f>BY90*VLOOKUP('Données projet'!$B$12,Paramètres!$A$1:$I$89,3,0)*VLOOKUP('Données projet'!$B$12,Paramètres!$A$1:$I$89,5,0)</f>
        <v>-4.0702161641092972E-13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260.20517190557814</v>
      </c>
      <c r="CE90" s="59">
        <f t="shared" si="94"/>
        <v>307.22009971147133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1.0552781461189213</v>
      </c>
      <c r="CL90" s="21">
        <f>EXP(-LN(2)/25)*CL89+(1-EXP(-LN(2)/25))/(LN(2)/25)*Calculateur!CG90*Calculateur!CI90*VLOOKUP('Données projet'!$B$12,Paramètres!$A$1:$I$89,3,0)*0.475*44/12</f>
        <v>4.2249401205105066</v>
      </c>
      <c r="CM90" s="21">
        <f>EXP(-LN(2)/2)*CM89+(1-EXP(-LN(2)/2))/(LN(2)/2)*CG90*CJ90*VLOOKUP('Données projet'!$B$12,Paramètres!$A$1:$I$89,3,0)*0.475*44/12</f>
        <v>6.3323095937447128E-8</v>
      </c>
      <c r="CN90" s="22">
        <f t="shared" si="66"/>
        <v>5.2802183299525236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</v>
      </c>
      <c r="CT90" s="12">
        <f>IF('Données projet'!$A$140&gt;35,CT89+CS90-DB89,IF(A90&lt;'Données projet'!$A$140,$CQ$205^A90,IF(A90='Données projet'!$A$140,'Données projet'!$B$140,CT89+CS90-DB89)))</f>
        <v>333.70000000000022</v>
      </c>
      <c r="CU90" s="17">
        <f>CT90*VLOOKUP('Données projet'!$B$13,Paramètres!$A$1:$I$89,3,0)*VLOOKUP('Données projet'!$B$13,Paramètres!$A$1:$I$89,5,0)</f>
        <v>286.31460000000021</v>
      </c>
      <c r="CV90" s="13">
        <f t="shared" si="95"/>
        <v>68.29972839038507</v>
      </c>
      <c r="CW90" s="20">
        <f t="shared" si="67"/>
        <v>617.61995527992087</v>
      </c>
      <c r="CX90" s="59">
        <f t="shared" si="68"/>
        <v>910.95328861325424</v>
      </c>
      <c r="CY90" s="59">
        <f ca="1">AVERAGE(OFFSET($CX$3,0,0,'Données projet'!$E$13+1,1))-AVERAGE(OFFSET($H$3,0,0,'Données projet'!$E$13+1,1))</f>
        <v>310.4018929413723</v>
      </c>
      <c r="CZ90" s="59">
        <f t="shared" si="96"/>
        <v>127.5231137583819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1.2122068698938879</v>
      </c>
      <c r="DH90" s="21">
        <f>EXP(-LN(2)/2)*DH89+(1-EXP(-LN(2)/2))/(LN(2)/2)*DB90*DE90*VLOOKUP('Données projet'!$B$13,Paramètres!$A$1:$I$89,3,0)*0.475*44/12</f>
        <v>2.352401413306041E-8</v>
      </c>
      <c r="DI90" s="22">
        <f t="shared" si="69"/>
        <v>1.212206893417902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>
        <f>DO90*VLOOKUP('Données projet'!$B$14,Paramètres!$A$1:$I$89,3,0)*VLOOKUP('Données projet'!$B$14,Paramètres!$A$1:$I$89,5,0)</f>
        <v>-3.7509835237869992E-13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234.09142087023463</v>
      </c>
      <c r="DU90" s="59">
        <f t="shared" si="98"/>
        <v>278.990685815294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0.78901854728314458</v>
      </c>
      <c r="EB90" s="21">
        <f>EXP(-LN(2)/25)*EB89+(1-EXP(-LN(2)/25))/(LN(2)/25)*Calculateur!DW90*Calculateur!DY90*VLOOKUP('Données projet'!$B$14,Paramètres!$A$1:$I$89,3,0)*0.475*44/12</f>
        <v>3.1589359909551393</v>
      </c>
      <c r="EC90" s="21">
        <f>EXP(-LN(2)/2)*EC89+(1-EXP(-LN(2)/2))/(LN(2)/2)*DW90*DZ90*VLOOKUP('Données projet'!$B$14,Paramètres!$A$1:$I$89,3,0)*0.475*44/12</f>
        <v>5.8356578609020159E-8</v>
      </c>
      <c r="ED90" s="22">
        <f t="shared" si="72"/>
        <v>3.9479545965948626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210.04871822652808</v>
      </c>
      <c r="AO91" s="59">
        <f t="shared" si="90"/>
        <v>250.17540614049324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2.3148978104601081</v>
      </c>
      <c r="AV91" s="21">
        <f>EXP(-LN(2)/25)*AV90+(1-EXP(-LN(2)/25))/(LN(2)/25)*Calculateur!AQ91*Calculateur!AS91*VLOOKUP('Données projet'!$B$10,Paramètres!$A$1:$I$89,3,0)*0.475*44/12</f>
        <v>5.5735865810232061</v>
      </c>
      <c r="AW91" s="21">
        <f>EXP(-LN(2)/2)*AW90+(1-EXP(-LN(2)/2))/(LN(2)/2)*AQ91*AT91*VLOOKUP('Données projet'!$B$10,Paramètres!$A$1:$I$89,3,0)*0.475*44/12</f>
        <v>4.0147246303691905E-8</v>
      </c>
      <c r="AX91" s="21">
        <f t="shared" si="60"/>
        <v>7.8884844316305607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12.5</v>
      </c>
      <c r="BD91" s="12">
        <f>IF('Données projet'!$A$88&gt;35,BD90+BC91-BL90,IF(A91&lt;'Données projet'!$A$88,$BA$205^A91,IF(A91='Données projet'!$A$88,'Données projet'!$B$88,BD90+BC91-BL90)))</f>
        <v>611.99999999999955</v>
      </c>
      <c r="BE91" s="13">
        <f>BD91*VLOOKUP('Données projet'!$B$11,Paramètres!$A$1:$I$89,3,0)*VLOOKUP('Données projet'!$B$11,Paramètres!$A$1:$I$89,5,0)</f>
        <v>365.97599999999977</v>
      </c>
      <c r="BF91" s="13">
        <f t="shared" si="91"/>
        <v>84.843541364532513</v>
      </c>
      <c r="BG91" s="20">
        <f t="shared" si="61"/>
        <v>785.17736787656031</v>
      </c>
      <c r="BH91" s="59">
        <f t="shared" si="62"/>
        <v>1078.5107012098936</v>
      </c>
      <c r="BI91" s="59">
        <f ca="1">AVERAGE(OFFSET($BH$3,0,0,'Données projet'!$E$11+1,1))-AVERAGE(OFFSET($H$3,0,0,'Données projet'!$E$11+1,1))</f>
        <v>316.58509520829671</v>
      </c>
      <c r="BJ91" s="59">
        <f t="shared" si="92"/>
        <v>240.71332110643596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0.80361992442205754</v>
      </c>
      <c r="BQ91" s="21">
        <f>EXP(-LN(2)/25)*BQ90+(1-EXP(-LN(2)/25))/(LN(2)/25)*Calculateur!BL91*Calculateur!BN91*VLOOKUP('Données projet'!$B$11,Paramètres!$A$1:$I$89,3,0)*0.475*44/12</f>
        <v>3.057669047278698</v>
      </c>
      <c r="BR91" s="21">
        <f>EXP(-LN(2)/2)*BR90+(1-EXP(-LN(2)/2))/(LN(2)/2)*BL91*BO91*VLOOKUP('Données projet'!$B$11,Paramètres!$A$1:$I$89,3,0)*0.475*44/12</f>
        <v>4.0865210946911734E-8</v>
      </c>
      <c r="BS91" s="22">
        <f t="shared" si="63"/>
        <v>3.8612890125659662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-5.1159076974727213E-13</v>
      </c>
      <c r="BZ91" s="13">
        <f>BY91*VLOOKUP('Données projet'!$B$12,Paramètres!$A$1:$I$89,3,0)*VLOOKUP('Données projet'!$B$12,Paramètres!$A$1:$I$89,5,0)</f>
        <v>-4.0702161641092972E-13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260.20517190557814</v>
      </c>
      <c r="CE91" s="59">
        <f t="shared" si="94"/>
        <v>307.22009971147133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1.0345847853296426</v>
      </c>
      <c r="CL91" s="21">
        <f>EXP(-LN(2)/25)*CL90+(1-EXP(-LN(2)/25))/(LN(2)/25)*Calculateur!CG91*Calculateur!CI91*VLOOKUP('Données projet'!$B$12,Paramètres!$A$1:$I$89,3,0)*0.475*44/12</f>
        <v>4.1094089107352021</v>
      </c>
      <c r="CM91" s="21">
        <f>EXP(-LN(2)/2)*CM90+(1-EXP(-LN(2)/2))/(LN(2)/2)*CG91*CJ91*VLOOKUP('Données projet'!$B$12,Paramètres!$A$1:$I$89,3,0)*0.475*44/12</f>
        <v>4.4776190543095183E-8</v>
      </c>
      <c r="CN91" s="22">
        <f t="shared" si="66"/>
        <v>5.1439937408410357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</v>
      </c>
      <c r="CT91" s="12">
        <f>IF('Données projet'!$A$140&gt;35,CT90+CS91-DB90,IF(A91&lt;'Données projet'!$A$140,$CQ$205^A91,IF(A91='Données projet'!$A$140,'Données projet'!$B$140,CT90+CS91-DB90)))</f>
        <v>342.80000000000024</v>
      </c>
      <c r="CU91" s="17">
        <f>CT91*VLOOKUP('Données projet'!$B$13,Paramètres!$A$1:$I$89,3,0)*VLOOKUP('Données projet'!$B$13,Paramètres!$A$1:$I$89,5,0)</f>
        <v>294.1224000000002</v>
      </c>
      <c r="CV91" s="13">
        <f t="shared" si="95"/>
        <v>69.942877415457289</v>
      </c>
      <c r="CW91" s="20">
        <f t="shared" si="67"/>
        <v>634.08035816525512</v>
      </c>
      <c r="CX91" s="59">
        <f t="shared" si="68"/>
        <v>927.41369149858838</v>
      </c>
      <c r="CY91" s="59">
        <f ca="1">AVERAGE(OFFSET($CX$3,0,0,'Données projet'!$E$13+1,1))-AVERAGE(OFFSET($H$3,0,0,'Données projet'!$E$13+1,1))</f>
        <v>310.4018929413723</v>
      </c>
      <c r="CZ91" s="59">
        <f t="shared" si="96"/>
        <v>127.5231137583819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1.1790590092894508</v>
      </c>
      <c r="DH91" s="21">
        <f>EXP(-LN(2)/2)*DH90+(1-EXP(-LN(2)/2))/(LN(2)/2)*DB91*DE91*VLOOKUP('Données projet'!$B$13,Paramètres!$A$1:$I$89,3,0)*0.475*44/12</f>
        <v>1.6633989914215198E-8</v>
      </c>
      <c r="DI91" s="22">
        <f t="shared" si="69"/>
        <v>1.1790590259234408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>
        <f>DO91*VLOOKUP('Données projet'!$B$14,Paramètres!$A$1:$I$89,3,0)*VLOOKUP('Données projet'!$B$14,Paramètres!$A$1:$I$89,5,0)</f>
        <v>-3.7509835237869992E-13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234.09142087023463</v>
      </c>
      <c r="DU91" s="59">
        <f t="shared" si="98"/>
        <v>278.990685815294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0.77354637482471611</v>
      </c>
      <c r="EB91" s="21">
        <f>EXP(-LN(2)/25)*EB90+(1-EXP(-LN(2)/25))/(LN(2)/25)*Calculateur!DW91*Calculateur!DY91*VLOOKUP('Données projet'!$B$14,Paramètres!$A$1:$I$89,3,0)*0.475*44/12</f>
        <v>3.0725547201612473</v>
      </c>
      <c r="EC91" s="21">
        <f>EXP(-LN(2)/2)*EC90+(1-EXP(-LN(2)/2))/(LN(2)/2)*DW91*DZ91*VLOOKUP('Données projet'!$B$14,Paramètres!$A$1:$I$89,3,0)*0.475*44/12</f>
        <v>4.1264332461283983E-8</v>
      </c>
      <c r="ED91" s="22">
        <f t="shared" si="72"/>
        <v>3.8461011362502959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210.04871822652808</v>
      </c>
      <c r="AO92" s="59">
        <f t="shared" si="90"/>
        <v>250.17540614049324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2.2695040763452314</v>
      </c>
      <c r="AV92" s="21">
        <f>EXP(-LN(2)/25)*AV91+(1-EXP(-LN(2)/25))/(LN(2)/25)*Calculateur!AQ92*Calculateur!AS92*VLOOKUP('Données projet'!$B$10,Paramètres!$A$1:$I$89,3,0)*0.475*44/12</f>
        <v>5.4211765628629465</v>
      </c>
      <c r="AW92" s="21">
        <f>EXP(-LN(2)/2)*AW91+(1-EXP(-LN(2)/2))/(LN(2)/2)*AQ92*AT92*VLOOKUP('Données projet'!$B$10,Paramètres!$A$1:$I$89,3,0)*0.475*44/12</f>
        <v>2.8388390107307101E-8</v>
      </c>
      <c r="AX92" s="21">
        <f t="shared" si="60"/>
        <v>7.6906806675965687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12.5</v>
      </c>
      <c r="BD92" s="12">
        <f>IF('Données projet'!$A$88&gt;35,BD91+BC92-BL91,IF(A92&lt;'Données projet'!$A$88,$BA$205^A92,IF(A92='Données projet'!$A$88,'Données projet'!$B$88,BD91+BC92-BL91)))</f>
        <v>624.49999999999955</v>
      </c>
      <c r="BE92" s="13">
        <f>BD92*VLOOKUP('Données projet'!$B$11,Paramètres!$A$1:$I$89,3,0)*VLOOKUP('Données projet'!$B$11,Paramètres!$A$1:$I$89,5,0)</f>
        <v>373.45099999999979</v>
      </c>
      <c r="BF92" s="13">
        <f t="shared" si="91"/>
        <v>86.372938978761937</v>
      </c>
      <c r="BG92" s="20">
        <f t="shared" si="61"/>
        <v>800.86002705467661</v>
      </c>
      <c r="BH92" s="59">
        <f t="shared" si="62"/>
        <v>1094.19336038801</v>
      </c>
      <c r="BI92" s="59">
        <f ca="1">AVERAGE(OFFSET($BH$3,0,0,'Données projet'!$E$11+1,1))-AVERAGE(OFFSET($H$3,0,0,'Données projet'!$E$11+1,1))</f>
        <v>316.58509520829671</v>
      </c>
      <c r="BJ92" s="59">
        <f t="shared" si="92"/>
        <v>240.71332110643596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0.78786142786389568</v>
      </c>
      <c r="BQ92" s="21">
        <f>EXP(-LN(2)/25)*BQ91+(1-EXP(-LN(2)/25))/(LN(2)/25)*Calculateur!BL92*Calculateur!BN92*VLOOKUP('Données projet'!$B$11,Paramètres!$A$1:$I$89,3,0)*0.475*44/12</f>
        <v>2.9740569263850354</v>
      </c>
      <c r="BR92" s="21">
        <f>EXP(-LN(2)/2)*BR91+(1-EXP(-LN(2)/2))/(LN(2)/2)*BL92*BO92*VLOOKUP('Données projet'!$B$11,Paramètres!$A$1:$I$89,3,0)*0.475*44/12</f>
        <v>2.8896067775180023E-8</v>
      </c>
      <c r="BS92" s="22">
        <f t="shared" si="63"/>
        <v>3.7619183831449989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-5.1159076974727213E-13</v>
      </c>
      <c r="BZ92" s="13">
        <f>BY92*VLOOKUP('Données projet'!$B$12,Paramètres!$A$1:$I$89,3,0)*VLOOKUP('Données projet'!$B$12,Paramètres!$A$1:$I$89,5,0)</f>
        <v>-4.0702161641092972E-13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260.20517190557814</v>
      </c>
      <c r="CE92" s="59">
        <f t="shared" si="94"/>
        <v>307.22009971147133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1.0142972087237379</v>
      </c>
      <c r="CL92" s="21">
        <f>EXP(-LN(2)/25)*CL91+(1-EXP(-LN(2)/25))/(LN(2)/25)*Calculateur!CG92*Calculateur!CI92*VLOOKUP('Données projet'!$B$12,Paramètres!$A$1:$I$89,3,0)*0.475*44/12</f>
        <v>3.9970369079667254</v>
      </c>
      <c r="CM92" s="21">
        <f>EXP(-LN(2)/2)*CM91+(1-EXP(-LN(2)/2))/(LN(2)/2)*CG92*CJ92*VLOOKUP('Données projet'!$B$12,Paramètres!$A$1:$I$89,3,0)*0.475*44/12</f>
        <v>3.1661547968723564E-8</v>
      </c>
      <c r="CN92" s="22">
        <f t="shared" si="66"/>
        <v>5.0113341483520113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</v>
      </c>
      <c r="CT92" s="12">
        <f>IF('Données projet'!$A$140&gt;35,CT91+CS92-DB91,IF(A92&lt;'Données projet'!$A$140,$CQ$205^A92,IF(A92='Données projet'!$A$140,'Données projet'!$B$140,CT91+CS92-DB91)))</f>
        <v>351.90000000000026</v>
      </c>
      <c r="CU92" s="17">
        <f>CT92*VLOOKUP('Données projet'!$B$13,Paramètres!$A$1:$I$89,3,0)*VLOOKUP('Données projet'!$B$13,Paramètres!$A$1:$I$89,5,0)</f>
        <v>301.93020000000024</v>
      </c>
      <c r="CV92" s="13">
        <f t="shared" si="95"/>
        <v>71.580956374520341</v>
      </c>
      <c r="CW92" s="20">
        <f t="shared" si="67"/>
        <v>650.53193068562337</v>
      </c>
      <c r="CX92" s="59">
        <f t="shared" si="68"/>
        <v>943.86526401895662</v>
      </c>
      <c r="CY92" s="59">
        <f ca="1">AVERAGE(OFFSET($CX$3,0,0,'Données projet'!$E$13+1,1))-AVERAGE(OFFSET($H$3,0,0,'Données projet'!$E$13+1,1))</f>
        <v>310.4018929413723</v>
      </c>
      <c r="CZ92" s="59">
        <f t="shared" si="96"/>
        <v>127.5231137583819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1.1468175786764123</v>
      </c>
      <c r="DH92" s="21">
        <f>EXP(-LN(2)/2)*DH91+(1-EXP(-LN(2)/2))/(LN(2)/2)*DB92*DE92*VLOOKUP('Données projet'!$B$13,Paramètres!$A$1:$I$89,3,0)*0.475*44/12</f>
        <v>1.1762007066530205E-8</v>
      </c>
      <c r="DI92" s="22">
        <f t="shared" si="69"/>
        <v>1.1468175904384195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>
        <f>DO92*VLOOKUP('Données projet'!$B$14,Paramètres!$A$1:$I$89,3,0)*VLOOKUP('Données projet'!$B$14,Paramètres!$A$1:$I$89,5,0)</f>
        <v>-3.7509835237869992E-13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234.09142087023463</v>
      </c>
      <c r="DU92" s="59">
        <f t="shared" si="98"/>
        <v>278.990685815294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0.75837760223110406</v>
      </c>
      <c r="EB92" s="21">
        <f>EXP(-LN(2)/25)*EB91+(1-EXP(-LN(2)/25))/(LN(2)/25)*Calculateur!DW92*Calculateur!DY92*VLOOKUP('Données projet'!$B$14,Paramètres!$A$1:$I$89,3,0)*0.475*44/12</f>
        <v>2.9885355497598076</v>
      </c>
      <c r="EC92" s="21">
        <f>EXP(-LN(2)/2)*EC91+(1-EXP(-LN(2)/2))/(LN(2)/2)*DW92*DZ92*VLOOKUP('Données projet'!$B$14,Paramètres!$A$1:$I$89,3,0)*0.475*44/12</f>
        <v>2.9178289304510086E-8</v>
      </c>
      <c r="ED92" s="22">
        <f t="shared" si="72"/>
        <v>3.7469131811692007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210.04871822652808</v>
      </c>
      <c r="AO93" s="59">
        <f t="shared" si="90"/>
        <v>250.17540614049324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2.2250004856689034</v>
      </c>
      <c r="AV93" s="21">
        <f>EXP(-LN(2)/25)*AV92+(1-EXP(-LN(2)/25))/(LN(2)/25)*Calculateur!AQ93*Calculateur!AS93*VLOOKUP('Données projet'!$B$10,Paramètres!$A$1:$I$89,3,0)*0.475*44/12</f>
        <v>5.2729342046641738</v>
      </c>
      <c r="AW93" s="21">
        <f>EXP(-LN(2)/2)*AW92+(1-EXP(-LN(2)/2))/(LN(2)/2)*AQ93*AT93*VLOOKUP('Données projet'!$B$10,Paramètres!$A$1:$I$89,3,0)*0.475*44/12</f>
        <v>2.0073623151845953E-8</v>
      </c>
      <c r="AX93" s="21">
        <f t="shared" si="60"/>
        <v>7.4979347104066996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637</v>
      </c>
      <c r="BB93" s="12">
        <f>VLOOKUP(A93,'Données projet'!$A$87:$I$107,9,0)</f>
        <v>12.5</v>
      </c>
      <c r="BC93" s="12">
        <f t="array" ref="BC93">INDEX(BB:BB,MIN(IF(ISNUMBER(BB93:BB289),ROW(BB93:BB289),"")))</f>
        <v>12.5</v>
      </c>
      <c r="BD93" s="12">
        <f>IF('Données projet'!$A$88&gt;35,BD92+BC93-BL92,IF(A93&lt;'Données projet'!$A$88,$BA$205^A93,IF(A93='Données projet'!$A$88,'Données projet'!$B$88,BD92+BC93-BL92)))</f>
        <v>636.99999999999955</v>
      </c>
      <c r="BE93" s="13">
        <f>BD93*VLOOKUP('Données projet'!$B$11,Paramètres!$A$1:$I$89,3,0)*VLOOKUP('Données projet'!$B$11,Paramètres!$A$1:$I$89,5,0)</f>
        <v>380.92599999999976</v>
      </c>
      <c r="BF93" s="13">
        <f t="shared" si="91"/>
        <v>87.898777201244229</v>
      </c>
      <c r="BG93" s="20">
        <f t="shared" si="61"/>
        <v>816.53648695883328</v>
      </c>
      <c r="BH93" s="59">
        <f t="shared" si="62"/>
        <v>1109.8698202921667</v>
      </c>
      <c r="BI93" s="59">
        <f ca="1">AVERAGE(OFFSET($BH$3,0,0,'Données projet'!$E$11+1,1))-AVERAGE(OFFSET($H$3,0,0,'Données projet'!$E$11+1,1))</f>
        <v>316.58509520829671</v>
      </c>
      <c r="BJ93" s="59">
        <f t="shared" si="92"/>
        <v>240.71332110643596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0.77241194581150552</v>
      </c>
      <c r="BQ93" s="21">
        <f>EXP(-LN(2)/25)*BQ92+(1-EXP(-LN(2)/25))/(LN(2)/25)*Calculateur!BL93*Calculateur!BN93*VLOOKUP('Données projet'!$B$11,Paramètres!$A$1:$I$89,3,0)*0.475*44/12</f>
        <v>2.8927311833341802</v>
      </c>
      <c r="BR93" s="21">
        <f>EXP(-LN(2)/2)*BR92+(1-EXP(-LN(2)/2))/(LN(2)/2)*BL93*BO93*VLOOKUP('Données projet'!$B$11,Paramètres!$A$1:$I$89,3,0)*0.475*44/12</f>
        <v>2.043260547345587E-8</v>
      </c>
      <c r="BS93" s="22">
        <f t="shared" si="63"/>
        <v>3.6651431495782911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-5.1159076974727213E-13</v>
      </c>
      <c r="BZ93" s="13">
        <f>BY93*VLOOKUP('Données projet'!$B$12,Paramètres!$A$1:$I$89,3,0)*VLOOKUP('Données projet'!$B$12,Paramètres!$A$1:$I$89,5,0)</f>
        <v>-4.0702161641092972E-13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260.20517190557814</v>
      </c>
      <c r="CE93" s="59">
        <f t="shared" si="94"/>
        <v>307.22009971147133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0.99440745912087503</v>
      </c>
      <c r="CL93" s="21">
        <f>EXP(-LN(2)/25)*CL92+(1-EXP(-LN(2)/25))/(LN(2)/25)*Calculateur!CG93*Calculateur!CI93*VLOOKUP('Données projet'!$B$12,Paramètres!$A$1:$I$89,3,0)*0.475*44/12</f>
        <v>3.8877377235233395</v>
      </c>
      <c r="CM93" s="21">
        <f>EXP(-LN(2)/2)*CM92+(1-EXP(-LN(2)/2))/(LN(2)/2)*CG93*CJ93*VLOOKUP('Données projet'!$B$12,Paramètres!$A$1:$I$89,3,0)*0.475*44/12</f>
        <v>2.2388095271547592E-8</v>
      </c>
      <c r="CN93" s="22">
        <f t="shared" si="66"/>
        <v>4.8821452050323098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361</v>
      </c>
      <c r="CR93" s="12">
        <f>VLOOKUP(A93,'Données projet'!$A$139:$I$159,9,0)</f>
        <v>9.1</v>
      </c>
      <c r="CS93" s="12">
        <f t="array" ref="CS93">INDEX(CR:CR,MIN(IF(ISNUMBER(CR93:CR289),ROW(CR93:CR289),"")))</f>
        <v>9.1</v>
      </c>
      <c r="CT93" s="12">
        <f>IF('Données projet'!$A$140&gt;35,CT92+CS93-DB92,IF(A93&lt;'Données projet'!$A$140,$CQ$205^A93,IF(A93='Données projet'!$A$140,'Données projet'!$B$140,CT92+CS93-DB92)))</f>
        <v>361.00000000000028</v>
      </c>
      <c r="CU93" s="17">
        <f>CT93*VLOOKUP('Données projet'!$B$13,Paramètres!$A$1:$I$89,3,0)*VLOOKUP('Données projet'!$B$13,Paramètres!$A$1:$I$89,5,0)</f>
        <v>309.73800000000028</v>
      </c>
      <c r="CV93" s="13">
        <f t="shared" si="95"/>
        <v>73.214111451653608</v>
      </c>
      <c r="CW93" s="20">
        <f t="shared" si="67"/>
        <v>666.97492744496378</v>
      </c>
      <c r="CX93" s="59">
        <f t="shared" si="68"/>
        <v>960.30826077829715</v>
      </c>
      <c r="CY93" s="59">
        <f ca="1">AVERAGE(OFFSET($CX$3,0,0,'Données projet'!$E$13+1,1))-AVERAGE(OFFSET($H$3,0,0,'Données projet'!$E$13+1,1))</f>
        <v>310.4018929413723</v>
      </c>
      <c r="CZ93" s="59">
        <f t="shared" si="96"/>
        <v>127.5231137583819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67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1.1154577916789905</v>
      </c>
      <c r="DH93" s="21">
        <f>EXP(-LN(2)/2)*DH92+(1-EXP(-LN(2)/2))/(LN(2)/2)*DB93*DE93*VLOOKUP('Données projet'!$B$13,Paramètres!$A$1:$I$89,3,0)*0.475*44/12</f>
        <v>8.3169949571075992E-9</v>
      </c>
      <c r="DI93" s="22">
        <f t="shared" si="69"/>
        <v>1.1154577999959854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>
        <f>DO93*VLOOKUP('Données projet'!$B$14,Paramètres!$A$1:$I$89,3,0)*VLOOKUP('Données projet'!$B$14,Paramètres!$A$1:$I$89,5,0)</f>
        <v>-3.7509835237869992E-13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234.09142087023463</v>
      </c>
      <c r="DU93" s="59">
        <f t="shared" si="98"/>
        <v>278.990685815294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0.74350628001601504</v>
      </c>
      <c r="EB93" s="21">
        <f>EXP(-LN(2)/25)*EB92+(1-EXP(-LN(2)/25))/(LN(2)/25)*Calculateur!DW93*Calculateur!DY93*VLOOKUP('Données projet'!$B$14,Paramètres!$A$1:$I$89,3,0)*0.475*44/12</f>
        <v>2.9068138879913716</v>
      </c>
      <c r="EC93" s="21">
        <f>EXP(-LN(2)/2)*EC92+(1-EXP(-LN(2)/2))/(LN(2)/2)*DW93*DZ93*VLOOKUP('Données projet'!$B$14,Paramètres!$A$1:$I$89,3,0)*0.475*44/12</f>
        <v>2.0632166230641995E-8</v>
      </c>
      <c r="ED93" s="22">
        <f t="shared" si="72"/>
        <v>3.6503201886395527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210.04871822652808</v>
      </c>
      <c r="AO94" s="59">
        <f t="shared" si="90"/>
        <v>250.17540614049324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2.1813695832612283</v>
      </c>
      <c r="AV94" s="21">
        <f>EXP(-LN(2)/25)*AV93+(1-EXP(-LN(2)/25))/(LN(2)/25)*Calculateur!AQ94*Calculateur!AS94*VLOOKUP('Données projet'!$B$10,Paramètres!$A$1:$I$89,3,0)*0.475*44/12</f>
        <v>5.1287455415460732</v>
      </c>
      <c r="AW94" s="21">
        <f>EXP(-LN(2)/2)*AW93+(1-EXP(-LN(2)/2))/(LN(2)/2)*AQ94*AT94*VLOOKUP('Données projet'!$B$10,Paramètres!$A$1:$I$89,3,0)*0.475*44/12</f>
        <v>1.4194195053653551E-8</v>
      </c>
      <c r="AX94" s="21">
        <f t="shared" si="60"/>
        <v>7.3101151390014971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553.99999999999955</v>
      </c>
      <c r="BE94" s="13">
        <f>BD94*VLOOKUP('Données projet'!$B$11,Paramètres!$A$1:$I$89,3,0)*VLOOKUP('Données projet'!$B$11,Paramètres!$A$1:$I$89,5,0)</f>
        <v>331.29199999999975</v>
      </c>
      <c r="BF94" s="13">
        <f t="shared" si="91"/>
        <v>77.698110787752</v>
      </c>
      <c r="BG94" s="20">
        <f t="shared" si="61"/>
        <v>712.32444295533423</v>
      </c>
      <c r="BH94" s="59">
        <f t="shared" si="62"/>
        <v>1005.6577762886675</v>
      </c>
      <c r="BI94" s="59">
        <f ca="1">AVERAGE(OFFSET($BH$3,0,0,'Données projet'!$E$11+1,1))-AVERAGE(OFFSET($H$3,0,0,'Données projet'!$E$11+1,1))</f>
        <v>316.58509520829671</v>
      </c>
      <c r="BJ94" s="59">
        <f t="shared" si="92"/>
        <v>240.71332110643596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0.75726541867890917</v>
      </c>
      <c r="BQ94" s="21">
        <f>EXP(-LN(2)/25)*BQ93+(1-EXP(-LN(2)/25))/(LN(2)/25)*Calculateur!BL94*Calculateur!BN94*VLOOKUP('Données projet'!$B$11,Paramètres!$A$1:$I$89,3,0)*0.475*44/12</f>
        <v>2.8136292970037857</v>
      </c>
      <c r="BR94" s="21">
        <f>EXP(-LN(2)/2)*BR93+(1-EXP(-LN(2)/2))/(LN(2)/2)*BL94*BO94*VLOOKUP('Données projet'!$B$11,Paramètres!$A$1:$I$89,3,0)*0.475*44/12</f>
        <v>1.4448033887590015E-8</v>
      </c>
      <c r="BS94" s="22">
        <f t="shared" si="63"/>
        <v>3.5708947301307288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-5.1159076974727213E-13</v>
      </c>
      <c r="BZ94" s="13">
        <f>BY94*VLOOKUP('Données projet'!$B$12,Paramètres!$A$1:$I$89,3,0)*VLOOKUP('Données projet'!$B$12,Paramètres!$A$1:$I$89,5,0)</f>
        <v>-4.0702161641092972E-13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260.20517190557814</v>
      </c>
      <c r="CE94" s="59">
        <f t="shared" si="94"/>
        <v>307.22009971147133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0.97490773537617503</v>
      </c>
      <c r="CL94" s="21">
        <f>EXP(-LN(2)/25)*CL93+(1-EXP(-LN(2)/25))/(LN(2)/25)*Calculateur!CG94*Calculateur!CI94*VLOOKUP('Données projet'!$B$12,Paramètres!$A$1:$I$89,3,0)*0.475*44/12</f>
        <v>3.7814273310263524</v>
      </c>
      <c r="CM94" s="21">
        <f>EXP(-LN(2)/2)*CM93+(1-EXP(-LN(2)/2))/(LN(2)/2)*CG94*CJ94*VLOOKUP('Données projet'!$B$12,Paramètres!$A$1:$I$89,3,0)*0.475*44/12</f>
        <v>1.5830773984361782E-8</v>
      </c>
      <c r="CN94" s="22">
        <f t="shared" si="66"/>
        <v>4.7563350822333019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8.4</v>
      </c>
      <c r="CT94" s="12">
        <f>IF('Données projet'!$A$140&gt;35,CT93+CS94-DB93,IF(A94&lt;'Données projet'!$A$140,$CQ$205^A94,IF(A94='Données projet'!$A$140,'Données projet'!$B$140,CT93+CS94-DB93)))</f>
        <v>302.40000000000026</v>
      </c>
      <c r="CU94" s="17">
        <f>CT94*VLOOKUP('Données projet'!$B$13,Paramètres!$A$1:$I$89,3,0)*VLOOKUP('Données projet'!$B$13,Paramètres!$A$1:$I$89,5,0)</f>
        <v>259.45920000000024</v>
      </c>
      <c r="CV94" s="13">
        <f t="shared" si="95"/>
        <v>62.607087284635185</v>
      </c>
      <c r="CW94" s="20">
        <f t="shared" si="67"/>
        <v>560.93211702074007</v>
      </c>
      <c r="CX94" s="59">
        <f t="shared" si="68"/>
        <v>854.26545035407344</v>
      </c>
      <c r="CY94" s="59">
        <f ca="1">AVERAGE(OFFSET($CX$3,0,0,'Données projet'!$E$13+1,1))-AVERAGE(OFFSET($H$3,0,0,'Données projet'!$E$13+1,1))</f>
        <v>310.4018929413723</v>
      </c>
      <c r="CZ94" s="59">
        <f t="shared" si="96"/>
        <v>127.5231137583819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1.0849555397061525</v>
      </c>
      <c r="DH94" s="21">
        <f>EXP(-LN(2)/2)*DH93+(1-EXP(-LN(2)/2))/(LN(2)/2)*DB94*DE94*VLOOKUP('Données projet'!$B$13,Paramètres!$A$1:$I$89,3,0)*0.475*44/12</f>
        <v>5.8810035332651024E-9</v>
      </c>
      <c r="DI94" s="22">
        <f t="shared" si="69"/>
        <v>1.084955545587156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>
        <f>DO94*VLOOKUP('Données projet'!$B$14,Paramètres!$A$1:$I$89,3,0)*VLOOKUP('Données projet'!$B$14,Paramètres!$A$1:$I$89,5,0)</f>
        <v>-3.7509835237869992E-13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234.09142087023463</v>
      </c>
      <c r="DU94" s="59">
        <f t="shared" si="98"/>
        <v>278.990685815294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0.728926575358953</v>
      </c>
      <c r="EB94" s="21">
        <f>EXP(-LN(2)/25)*EB93+(1-EXP(-LN(2)/25))/(LN(2)/25)*Calculateur!DW94*Calculateur!DY94*VLOOKUP('Données projet'!$B$14,Paramètres!$A$1:$I$89,3,0)*0.475*44/12</f>
        <v>2.827326909361549</v>
      </c>
      <c r="EC94" s="21">
        <f>EXP(-LN(2)/2)*EC93+(1-EXP(-LN(2)/2))/(LN(2)/2)*DW94*DZ94*VLOOKUP('Données projet'!$B$14,Paramètres!$A$1:$I$89,3,0)*0.475*44/12</f>
        <v>1.4589144652255045E-8</v>
      </c>
      <c r="ED94" s="22">
        <f t="shared" si="72"/>
        <v>3.5562534993096464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210.04871822652808</v>
      </c>
      <c r="AO95" s="59">
        <f t="shared" si="90"/>
        <v>250.17540614049324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2.1385942562375448</v>
      </c>
      <c r="AV95" s="21">
        <f>EXP(-LN(2)/25)*AV94+(1-EXP(-LN(2)/25))/(LN(2)/25)*Calculateur!AQ95*Calculateur!AS95*VLOOKUP('Données projet'!$B$10,Paramètres!$A$1:$I$89,3,0)*0.475*44/12</f>
        <v>4.9884997250034901</v>
      </c>
      <c r="AW95" s="21">
        <f>EXP(-LN(2)/2)*AW94+(1-EXP(-LN(2)/2))/(LN(2)/2)*AQ95*AT95*VLOOKUP('Données projet'!$B$10,Paramètres!$A$1:$I$89,3,0)*0.475*44/12</f>
        <v>1.0036811575922976E-8</v>
      </c>
      <c r="AX95" s="21">
        <f t="shared" si="60"/>
        <v>7.1270939912778468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553.99999999999955</v>
      </c>
      <c r="BE95" s="13">
        <f>BD95*VLOOKUP('Données projet'!$B$11,Paramètres!$A$1:$I$89,3,0)*VLOOKUP('Données projet'!$B$11,Paramètres!$A$1:$I$89,5,0)</f>
        <v>331.29199999999975</v>
      </c>
      <c r="BF95" s="13">
        <f t="shared" si="91"/>
        <v>77.698110787752</v>
      </c>
      <c r="BG95" s="20">
        <f t="shared" si="61"/>
        <v>712.32444295533423</v>
      </c>
      <c r="BH95" s="59">
        <f t="shared" si="62"/>
        <v>1005.6577762886675</v>
      </c>
      <c r="BI95" s="59">
        <f ca="1">AVERAGE(OFFSET($BH$3,0,0,'Données projet'!$E$11+1,1))-AVERAGE(OFFSET($H$3,0,0,'Données projet'!$E$11+1,1))</f>
        <v>316.58509520829671</v>
      </c>
      <c r="BJ95" s="59">
        <f t="shared" si="92"/>
        <v>240.71332110643596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0.74241590570491367</v>
      </c>
      <c r="BQ95" s="21">
        <f>EXP(-LN(2)/25)*BQ94+(1-EXP(-LN(2)/25))/(LN(2)/25)*Calculateur!BL95*Calculateur!BN95*VLOOKUP('Données projet'!$B$11,Paramètres!$A$1:$I$89,3,0)*0.475*44/12</f>
        <v>2.736690455914883</v>
      </c>
      <c r="BR95" s="21">
        <f>EXP(-LN(2)/2)*BR94+(1-EXP(-LN(2)/2))/(LN(2)/2)*BL95*BO95*VLOOKUP('Données projet'!$B$11,Paramètres!$A$1:$I$89,3,0)*0.475*44/12</f>
        <v>1.0216302736727937E-8</v>
      </c>
      <c r="BS95" s="22">
        <f t="shared" si="63"/>
        <v>3.4791063718360995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-5.1159076974727213E-13</v>
      </c>
      <c r="BZ95" s="13">
        <f>BY95*VLOOKUP('Données projet'!$B$12,Paramètres!$A$1:$I$89,3,0)*VLOOKUP('Données projet'!$B$12,Paramètres!$A$1:$I$89,5,0)</f>
        <v>-4.0702161641092972E-13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260.20517190557814</v>
      </c>
      <c r="CE95" s="59">
        <f t="shared" si="94"/>
        <v>307.22009971147133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0.95579038932045146</v>
      </c>
      <c r="CL95" s="21">
        <f>EXP(-LN(2)/25)*CL94+(1-EXP(-LN(2)/25))/(LN(2)/25)*Calculateur!CG95*Calculateur!CI95*VLOOKUP('Données projet'!$B$12,Paramètres!$A$1:$I$89,3,0)*0.475*44/12</f>
        <v>3.6780240018028159</v>
      </c>
      <c r="CM95" s="21">
        <f>EXP(-LN(2)/2)*CM94+(1-EXP(-LN(2)/2))/(LN(2)/2)*CG95*CJ95*VLOOKUP('Données projet'!$B$12,Paramètres!$A$1:$I$89,3,0)*0.475*44/12</f>
        <v>1.1194047635773796E-8</v>
      </c>
      <c r="CN95" s="22">
        <f t="shared" si="66"/>
        <v>4.6338144023173147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8.4</v>
      </c>
      <c r="CT95" s="12">
        <f>IF('Données projet'!$A$140&gt;35,CT94+CS95-DB94,IF(A95&lt;'Données projet'!$A$140,$CQ$205^A95,IF(A95='Données projet'!$A$140,'Données projet'!$B$140,CT94+CS95-DB94)))</f>
        <v>310.80000000000024</v>
      </c>
      <c r="CU95" s="17">
        <f>CT95*VLOOKUP('Données projet'!$B$13,Paramètres!$A$1:$I$89,3,0)*VLOOKUP('Données projet'!$B$13,Paramètres!$A$1:$I$89,5,0)</f>
        <v>266.66640000000024</v>
      </c>
      <c r="CV95" s="13">
        <f t="shared" si="95"/>
        <v>64.141284508389418</v>
      </c>
      <c r="CW95" s="20">
        <f t="shared" si="67"/>
        <v>576.15671718544536</v>
      </c>
      <c r="CX95" s="59">
        <f t="shared" si="68"/>
        <v>869.49005051877862</v>
      </c>
      <c r="CY95" s="59">
        <f ca="1">AVERAGE(OFFSET($CX$3,0,0,'Données projet'!$E$13+1,1))-AVERAGE(OFFSET($H$3,0,0,'Données projet'!$E$13+1,1))</f>
        <v>310.4018929413723</v>
      </c>
      <c r="CZ95" s="59">
        <f t="shared" si="96"/>
        <v>127.5231137583819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1.0552873734175556</v>
      </c>
      <c r="DH95" s="21">
        <f>EXP(-LN(2)/2)*DH94+(1-EXP(-LN(2)/2))/(LN(2)/2)*DB95*DE95*VLOOKUP('Données projet'!$B$13,Paramètres!$A$1:$I$89,3,0)*0.475*44/12</f>
        <v>4.1584974785537996E-9</v>
      </c>
      <c r="DI95" s="22">
        <f t="shared" si="69"/>
        <v>1.0552873775760532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>
        <f>DO95*VLOOKUP('Données projet'!$B$14,Paramètres!$A$1:$I$89,3,0)*VLOOKUP('Données projet'!$B$14,Paramètres!$A$1:$I$89,5,0)</f>
        <v>-3.7509835237869992E-13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234.09142087023463</v>
      </c>
      <c r="DU95" s="59">
        <f t="shared" si="98"/>
        <v>278.990685815294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0.71463276981747414</v>
      </c>
      <c r="EB95" s="21">
        <f>EXP(-LN(2)/25)*EB94+(1-EXP(-LN(2)/25))/(LN(2)/25)*Calculateur!DW95*Calculateur!DY95*VLOOKUP('Données projet'!$B$14,Paramètres!$A$1:$I$89,3,0)*0.475*44/12</f>
        <v>2.7500135063423974</v>
      </c>
      <c r="EC95" s="21">
        <f>EXP(-LN(2)/2)*EC94+(1-EXP(-LN(2)/2))/(LN(2)/2)*DW95*DZ95*VLOOKUP('Données projet'!$B$14,Paramètres!$A$1:$I$89,3,0)*0.475*44/12</f>
        <v>1.0316083115320999E-8</v>
      </c>
      <c r="ED95" s="22">
        <f t="shared" si="72"/>
        <v>3.4646462864759546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210.04871822652808</v>
      </c>
      <c r="AO96" s="59">
        <f t="shared" si="90"/>
        <v>250.17540614049324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2.0966577272864226</v>
      </c>
      <c r="AV96" s="21">
        <f>EXP(-LN(2)/25)*AV95+(1-EXP(-LN(2)/25))/(LN(2)/25)*Calculateur!AQ96*Calculateur!AS96*VLOOKUP('Données projet'!$B$10,Paramètres!$A$1:$I$89,3,0)*0.475*44/12</f>
        <v>4.8520889376894702</v>
      </c>
      <c r="AW96" s="21">
        <f>EXP(-LN(2)/2)*AW95+(1-EXP(-LN(2)/2))/(LN(2)/2)*AQ96*AT96*VLOOKUP('Données projet'!$B$10,Paramètres!$A$1:$I$89,3,0)*0.475*44/12</f>
        <v>7.0970975268267753E-9</v>
      </c>
      <c r="AX96" s="21">
        <f t="shared" si="60"/>
        <v>6.94874667207299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553.99999999999955</v>
      </c>
      <c r="BE96" s="13">
        <f>BD96*VLOOKUP('Données projet'!$B$11,Paramètres!$A$1:$I$89,3,0)*VLOOKUP('Données projet'!$B$11,Paramètres!$A$1:$I$89,5,0)</f>
        <v>331.29199999999975</v>
      </c>
      <c r="BF96" s="13">
        <f t="shared" si="91"/>
        <v>77.698110787752</v>
      </c>
      <c r="BG96" s="20">
        <f t="shared" si="61"/>
        <v>712.32444295533423</v>
      </c>
      <c r="BH96" s="59">
        <f t="shared" si="62"/>
        <v>1005.6577762886675</v>
      </c>
      <c r="BI96" s="59">
        <f ca="1">AVERAGE(OFFSET($BH$3,0,0,'Données projet'!$E$11+1,1))-AVERAGE(OFFSET($H$3,0,0,'Données projet'!$E$11+1,1))</f>
        <v>316.58509520829671</v>
      </c>
      <c r="BJ96" s="59">
        <f t="shared" si="92"/>
        <v>240.71332110643596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0.72785758262302969</v>
      </c>
      <c r="BQ96" s="21">
        <f>EXP(-LN(2)/25)*BQ95+(1-EXP(-LN(2)/25))/(LN(2)/25)*Calculateur!BL96*Calculateur!BN96*VLOOKUP('Données projet'!$B$11,Paramètres!$A$1:$I$89,3,0)*0.475*44/12</f>
        <v>2.661855511481594</v>
      </c>
      <c r="BR96" s="21">
        <f>EXP(-LN(2)/2)*BR95+(1-EXP(-LN(2)/2))/(LN(2)/2)*BL96*BO96*VLOOKUP('Données projet'!$B$11,Paramètres!$A$1:$I$89,3,0)*0.475*44/12</f>
        <v>7.2240169437950083E-9</v>
      </c>
      <c r="BS96" s="22">
        <f t="shared" si="63"/>
        <v>3.3897131013286406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-5.1159076974727213E-13</v>
      </c>
      <c r="BZ96" s="13">
        <f>BY96*VLOOKUP('Données projet'!$B$12,Paramètres!$A$1:$I$89,3,0)*VLOOKUP('Données projet'!$B$12,Paramètres!$A$1:$I$89,5,0)</f>
        <v>-4.0702161641092972E-13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260.20517190557814</v>
      </c>
      <c r="CE96" s="59">
        <f t="shared" si="94"/>
        <v>307.22009971147133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0.9370479227604509</v>
      </c>
      <c r="CL96" s="21">
        <f>EXP(-LN(2)/25)*CL95+(1-EXP(-LN(2)/25))/(LN(2)/25)*Calculateur!CG96*Calculateur!CI96*VLOOKUP('Données projet'!$B$12,Paramètres!$A$1:$I$89,3,0)*0.475*44/12</f>
        <v>3.5774482420546416</v>
      </c>
      <c r="CM96" s="21">
        <f>EXP(-LN(2)/2)*CM95+(1-EXP(-LN(2)/2))/(LN(2)/2)*CG96*CJ96*VLOOKUP('Données projet'!$B$12,Paramètres!$A$1:$I$89,3,0)*0.475*44/12</f>
        <v>7.915386992180891E-9</v>
      </c>
      <c r="CN96" s="22">
        <f t="shared" si="66"/>
        <v>4.5144961727304791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8.4</v>
      </c>
      <c r="CT96" s="12">
        <f>IF('Données projet'!$A$140&gt;35,CT95+CS96-DB95,IF(A96&lt;'Données projet'!$A$140,$CQ$205^A96,IF(A96='Données projet'!$A$140,'Données projet'!$B$140,CT95+CS96-DB95)))</f>
        <v>319.20000000000022</v>
      </c>
      <c r="CU96" s="17">
        <f>CT96*VLOOKUP('Données projet'!$B$13,Paramètres!$A$1:$I$89,3,0)*VLOOKUP('Données projet'!$B$13,Paramètres!$A$1:$I$89,5,0)</f>
        <v>273.87360000000024</v>
      </c>
      <c r="CV96" s="13">
        <f t="shared" si="95"/>
        <v>65.670662194579606</v>
      </c>
      <c r="CW96" s="20">
        <f t="shared" si="67"/>
        <v>591.3729233222266</v>
      </c>
      <c r="CX96" s="59">
        <f t="shared" si="68"/>
        <v>884.70625665555986</v>
      </c>
      <c r="CY96" s="59">
        <f ca="1">AVERAGE(OFFSET($CX$3,0,0,'Données projet'!$E$13+1,1))-AVERAGE(OFFSET($H$3,0,0,'Données projet'!$E$13+1,1))</f>
        <v>310.4018929413723</v>
      </c>
      <c r="CZ96" s="59">
        <f t="shared" si="96"/>
        <v>127.5231137583819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1.0264304846963015</v>
      </c>
      <c r="DH96" s="21">
        <f>EXP(-LN(2)/2)*DH95+(1-EXP(-LN(2)/2))/(LN(2)/2)*DB96*DE96*VLOOKUP('Données projet'!$B$13,Paramètres!$A$1:$I$89,3,0)*0.475*44/12</f>
        <v>2.9405017666325512E-9</v>
      </c>
      <c r="DI96" s="22">
        <f t="shared" si="69"/>
        <v>1.0264304876368033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>
        <f>DO96*VLOOKUP('Données projet'!$B$14,Paramètres!$A$1:$I$89,3,0)*VLOOKUP('Données projet'!$B$14,Paramètres!$A$1:$I$89,5,0)</f>
        <v>-3.7509835237869992E-13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234.09142087023463</v>
      </c>
      <c r="DU96" s="59">
        <f t="shared" si="98"/>
        <v>278.990685815294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0.70061925708430317</v>
      </c>
      <c r="EB96" s="21">
        <f>EXP(-LN(2)/25)*EB95+(1-EXP(-LN(2)/25))/(LN(2)/25)*Calculateur!DW96*Calculateur!DY96*VLOOKUP('Données projet'!$B$14,Paramètres!$A$1:$I$89,3,0)*0.475*44/12</f>
        <v>2.6748142423945396</v>
      </c>
      <c r="EC96" s="21">
        <f>EXP(-LN(2)/2)*EC95+(1-EXP(-LN(2)/2))/(LN(2)/2)*DW96*DZ96*VLOOKUP('Données projet'!$B$14,Paramètres!$A$1:$I$89,3,0)*0.475*44/12</f>
        <v>7.294572326127524E-9</v>
      </c>
      <c r="ED96" s="22">
        <f t="shared" si="72"/>
        <v>3.3754335067734154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210.04871822652808</v>
      </c>
      <c r="AO97" s="59">
        <f t="shared" si="90"/>
        <v>250.17540614049324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2.055543548089275</v>
      </c>
      <c r="AV97" s="21">
        <f>EXP(-LN(2)/25)*AV96+(1-EXP(-LN(2)/25))/(LN(2)/25)*Calculateur!AQ97*Calculateur!AS97*VLOOKUP('Données projet'!$B$10,Paramètres!$A$1:$I$89,3,0)*0.475*44/12</f>
        <v>4.7194083105280837</v>
      </c>
      <c r="AW97" s="21">
        <f>EXP(-LN(2)/2)*AW96+(1-EXP(-LN(2)/2))/(LN(2)/2)*AQ97*AT97*VLOOKUP('Données projet'!$B$10,Paramètres!$A$1:$I$89,3,0)*0.475*44/12</f>
        <v>5.0184057879614881E-9</v>
      </c>
      <c r="AX97" s="21">
        <f t="shared" si="60"/>
        <v>6.7749518636357644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553.99999999999955</v>
      </c>
      <c r="BE97" s="13">
        <f>BD97*VLOOKUP('Données projet'!$B$11,Paramètres!$A$1:$I$89,3,0)*VLOOKUP('Données projet'!$B$11,Paramètres!$A$1:$I$89,5,0)</f>
        <v>331.29199999999975</v>
      </c>
      <c r="BF97" s="13">
        <f t="shared" si="91"/>
        <v>77.698110787752</v>
      </c>
      <c r="BG97" s="20">
        <f t="shared" si="61"/>
        <v>712.32444295533423</v>
      </c>
      <c r="BH97" s="59">
        <f t="shared" si="62"/>
        <v>1005.6577762886675</v>
      </c>
      <c r="BI97" s="59">
        <f ca="1">AVERAGE(OFFSET($BH$3,0,0,'Données projet'!$E$11+1,1))-AVERAGE(OFFSET($H$3,0,0,'Données projet'!$E$11+1,1))</f>
        <v>316.58509520829671</v>
      </c>
      <c r="BJ97" s="59">
        <f t="shared" si="92"/>
        <v>240.71332110643596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0.71358473937708111</v>
      </c>
      <c r="BQ97" s="21">
        <f>EXP(-LN(2)/25)*BQ96+(1-EXP(-LN(2)/25))/(LN(2)/25)*Calculateur!BL97*Calculateur!BN97*VLOOKUP('Données projet'!$B$11,Paramètres!$A$1:$I$89,3,0)*0.475*44/12</f>
        <v>2.5890669325392324</v>
      </c>
      <c r="BR97" s="21">
        <f>EXP(-LN(2)/2)*BR96+(1-EXP(-LN(2)/2))/(LN(2)/2)*BL97*BO97*VLOOKUP('Données projet'!$B$11,Paramètres!$A$1:$I$89,3,0)*0.475*44/12</f>
        <v>5.1081513683639692E-9</v>
      </c>
      <c r="BS97" s="22">
        <f t="shared" si="63"/>
        <v>3.3026516770244649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-5.1159076974727213E-13</v>
      </c>
      <c r="BZ97" s="13">
        <f>BY97*VLOOKUP('Données projet'!$B$12,Paramètres!$A$1:$I$89,3,0)*VLOOKUP('Données projet'!$B$12,Paramètres!$A$1:$I$89,5,0)</f>
        <v>-4.0702161641092972E-13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260.20517190557814</v>
      </c>
      <c r="CE97" s="59">
        <f t="shared" si="94"/>
        <v>307.22009971147133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0.91867298453791613</v>
      </c>
      <c r="CL97" s="21">
        <f>EXP(-LN(2)/25)*CL96+(1-EXP(-LN(2)/25))/(LN(2)/25)*Calculateur!CG97*Calculateur!CI97*VLOOKUP('Données projet'!$B$12,Paramètres!$A$1:$I$89,3,0)*0.475*44/12</f>
        <v>3.4796227317458306</v>
      </c>
      <c r="CM97" s="21">
        <f>EXP(-LN(2)/2)*CM96+(1-EXP(-LN(2)/2))/(LN(2)/2)*CG97*CJ97*VLOOKUP('Données projet'!$B$12,Paramètres!$A$1:$I$89,3,0)*0.475*44/12</f>
        <v>5.5970238178868979E-9</v>
      </c>
      <c r="CN97" s="22">
        <f t="shared" si="66"/>
        <v>4.3982957218807712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8.4</v>
      </c>
      <c r="CT97" s="12">
        <f>IF('Données projet'!$A$140&gt;35,CT96+CS97-DB96,IF(A97&lt;'Données projet'!$A$140,$CQ$205^A97,IF(A97='Données projet'!$A$140,'Données projet'!$B$140,CT96+CS97-DB96)))</f>
        <v>327.60000000000019</v>
      </c>
      <c r="CU97" s="17">
        <f>CT97*VLOOKUP('Données projet'!$B$13,Paramètres!$A$1:$I$89,3,0)*VLOOKUP('Données projet'!$B$13,Paramètres!$A$1:$I$89,5,0)</f>
        <v>281.08080000000018</v>
      </c>
      <c r="CV97" s="13">
        <f t="shared" si="95"/>
        <v>67.195361752546177</v>
      </c>
      <c r="CW97" s="20">
        <f t="shared" si="67"/>
        <v>606.58098171901827</v>
      </c>
      <c r="CX97" s="59">
        <f t="shared" si="68"/>
        <v>899.91431505235164</v>
      </c>
      <c r="CY97" s="59">
        <f ca="1">AVERAGE(OFFSET($CX$3,0,0,'Données projet'!$E$13+1,1))-AVERAGE(OFFSET($H$3,0,0,'Données projet'!$E$13+1,1))</f>
        <v>310.4018929413723</v>
      </c>
      <c r="CZ97" s="59">
        <f t="shared" si="96"/>
        <v>127.5231137583819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0.99836268911464787</v>
      </c>
      <c r="DH97" s="21">
        <f>EXP(-LN(2)/2)*DH96+(1-EXP(-LN(2)/2))/(LN(2)/2)*DB97*DE97*VLOOKUP('Données projet'!$B$13,Paramètres!$A$1:$I$89,3,0)*0.475*44/12</f>
        <v>2.0792487392768998E-9</v>
      </c>
      <c r="DI97" s="22">
        <f t="shared" si="69"/>
        <v>0.99836269119389665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>
        <f>DO97*VLOOKUP('Données projet'!$B$14,Paramètres!$A$1:$I$89,3,0)*VLOOKUP('Données projet'!$B$14,Paramètres!$A$1:$I$89,5,0)</f>
        <v>-3.7509835237869992E-13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234.09142087023463</v>
      </c>
      <c r="DU97" s="59">
        <f t="shared" si="98"/>
        <v>278.990685815294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0.68688054078843097</v>
      </c>
      <c r="EB97" s="21">
        <f>EXP(-LN(2)/25)*EB96+(1-EXP(-LN(2)/25))/(LN(2)/25)*Calculateur!DW97*Calculateur!DY97*VLOOKUP('Données projet'!$B$14,Paramètres!$A$1:$I$89,3,0)*0.475*44/12</f>
        <v>2.6016713062738934</v>
      </c>
      <c r="EC97" s="21">
        <f>EXP(-LN(2)/2)*EC96+(1-EXP(-LN(2)/2))/(LN(2)/2)*DW97*DZ97*VLOOKUP('Données projet'!$B$14,Paramètres!$A$1:$I$89,3,0)*0.475*44/12</f>
        <v>5.1580415576605004E-9</v>
      </c>
      <c r="ED97" s="22">
        <f t="shared" si="72"/>
        <v>3.2885518522203658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210.04871822652808</v>
      </c>
      <c r="AO98" s="59">
        <f t="shared" si="90"/>
        <v>250.17540614049324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2.0152355928690104</v>
      </c>
      <c r="AV98" s="21">
        <f>EXP(-LN(2)/25)*AV97+(1-EXP(-LN(2)/25))/(LN(2)/25)*Calculateur!AQ98*Calculateur!AS98*VLOOKUP('Données projet'!$B$10,Paramètres!$A$1:$I$89,3,0)*0.475*44/12</f>
        <v>4.5903558420937962</v>
      </c>
      <c r="AW98" s="21">
        <f>EXP(-LN(2)/2)*AW97+(1-EXP(-LN(2)/2))/(LN(2)/2)*AQ98*AT98*VLOOKUP('Données projet'!$B$10,Paramètres!$A$1:$I$89,3,0)*0.475*44/12</f>
        <v>3.5485487634133877E-9</v>
      </c>
      <c r="AX98" s="21">
        <f t="shared" si="60"/>
        <v>6.6055914385113557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553.99999999999955</v>
      </c>
      <c r="BE98" s="13">
        <f>BD98*VLOOKUP('Données projet'!$B$11,Paramètres!$A$1:$I$89,3,0)*VLOOKUP('Données projet'!$B$11,Paramètres!$A$1:$I$89,5,0)</f>
        <v>331.29199999999975</v>
      </c>
      <c r="BF98" s="13">
        <f t="shared" si="91"/>
        <v>77.698110787752</v>
      </c>
      <c r="BG98" s="20">
        <f t="shared" si="61"/>
        <v>712.32444295533423</v>
      </c>
      <c r="BH98" s="59">
        <f t="shared" si="62"/>
        <v>1005.6577762886675</v>
      </c>
      <c r="BI98" s="59">
        <f ca="1">AVERAGE(OFFSET($BH$3,0,0,'Données projet'!$E$11+1,1))-AVERAGE(OFFSET($H$3,0,0,'Données projet'!$E$11+1,1))</f>
        <v>316.58509520829671</v>
      </c>
      <c r="BJ98" s="59">
        <f t="shared" si="92"/>
        <v>240.71332110643596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0.69959177788161087</v>
      </c>
      <c r="BQ98" s="21">
        <f>EXP(-LN(2)/25)*BQ97+(1-EXP(-LN(2)/25))/(LN(2)/25)*Calculateur!BL98*Calculateur!BN98*VLOOKUP('Données projet'!$B$11,Paramètres!$A$1:$I$89,3,0)*0.475*44/12</f>
        <v>2.5182687611158343</v>
      </c>
      <c r="BR98" s="21">
        <f>EXP(-LN(2)/2)*BR97+(1-EXP(-LN(2)/2))/(LN(2)/2)*BL98*BO98*VLOOKUP('Données projet'!$B$11,Paramètres!$A$1:$I$89,3,0)*0.475*44/12</f>
        <v>3.6120084718975046E-9</v>
      </c>
      <c r="BS98" s="22">
        <f t="shared" si="63"/>
        <v>3.2178605426094538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-5.1159076974727213E-13</v>
      </c>
      <c r="BZ98" s="13">
        <f>BY98*VLOOKUP('Données projet'!$B$12,Paramètres!$A$1:$I$89,3,0)*VLOOKUP('Données projet'!$B$12,Paramètres!$A$1:$I$89,5,0)</f>
        <v>-4.0702161641092972E-13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260.20517190557814</v>
      </c>
      <c r="CE98" s="59">
        <f t="shared" si="94"/>
        <v>307.22009971147133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0.90065836764631968</v>
      </c>
      <c r="CL98" s="21">
        <f>EXP(-LN(2)/25)*CL97+(1-EXP(-LN(2)/25))/(LN(2)/25)*Calculateur!CG98*Calculateur!CI98*VLOOKUP('Données projet'!$B$12,Paramètres!$A$1:$I$89,3,0)*0.475*44/12</f>
        <v>3.3844722651608343</v>
      </c>
      <c r="CM98" s="21">
        <f>EXP(-LN(2)/2)*CM97+(1-EXP(-LN(2)/2))/(LN(2)/2)*CG98*CJ98*VLOOKUP('Données projet'!$B$12,Paramètres!$A$1:$I$89,3,0)*0.475*44/12</f>
        <v>3.9576934960904455E-9</v>
      </c>
      <c r="CN98" s="22">
        <f t="shared" si="66"/>
        <v>4.2851306367648476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8.4</v>
      </c>
      <c r="CT98" s="12">
        <f>IF('Données projet'!$A$140&gt;35,CT97+CS98-DB97,IF(A98&lt;'Données projet'!$A$140,$CQ$205^A98,IF(A98='Données projet'!$A$140,'Données projet'!$B$140,CT97+CS98-DB97)))</f>
        <v>336.00000000000017</v>
      </c>
      <c r="CU98" s="17">
        <f>CT98*VLOOKUP('Données projet'!$B$13,Paramètres!$A$1:$I$89,3,0)*VLOOKUP('Données projet'!$B$13,Paramètres!$A$1:$I$89,5,0)</f>
        <v>288.28800000000018</v>
      </c>
      <c r="CV98" s="13">
        <f t="shared" si="95"/>
        <v>68.715516926722444</v>
      </c>
      <c r="CW98" s="20">
        <f t="shared" si="67"/>
        <v>621.7811253140419</v>
      </c>
      <c r="CX98" s="59">
        <f t="shared" si="68"/>
        <v>915.11445864737516</v>
      </c>
      <c r="CY98" s="59">
        <f ca="1">AVERAGE(OFFSET($CX$3,0,0,'Données projet'!$E$13+1,1))-AVERAGE(OFFSET($H$3,0,0,'Données projet'!$E$13+1,1))</f>
        <v>310.4018929413723</v>
      </c>
      <c r="CZ98" s="59">
        <f t="shared" si="96"/>
        <v>127.5231137583819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0.97106240887919582</v>
      </c>
      <c r="DH98" s="21">
        <f>EXP(-LN(2)/2)*DH97+(1-EXP(-LN(2)/2))/(LN(2)/2)*DB98*DE98*VLOOKUP('Données projet'!$B$13,Paramètres!$A$1:$I$89,3,0)*0.475*44/12</f>
        <v>1.4702508833162756E-9</v>
      </c>
      <c r="DI98" s="22">
        <f t="shared" si="69"/>
        <v>0.97106241034944674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>
        <f>DO98*VLOOKUP('Données projet'!$B$14,Paramètres!$A$1:$I$89,3,0)*VLOOKUP('Données projet'!$B$14,Paramètres!$A$1:$I$89,5,0)</f>
        <v>-3.7509835237869992E-13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234.09142087023463</v>
      </c>
      <c r="DU98" s="59">
        <f t="shared" si="98"/>
        <v>278.990685815294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0.67341123233933131</v>
      </c>
      <c r="EB98" s="21">
        <f>EXP(-LN(2)/25)*EB97+(1-EXP(-LN(2)/25))/(LN(2)/25)*Calculateur!DW98*Calculateur!DY98*VLOOKUP('Données projet'!$B$14,Paramètres!$A$1:$I$89,3,0)*0.475*44/12</f>
        <v>2.5305284675878861</v>
      </c>
      <c r="EC98" s="21">
        <f>EXP(-LN(2)/2)*EC97+(1-EXP(-LN(2)/2))/(LN(2)/2)*DW98*DZ98*VLOOKUP('Données projet'!$B$14,Paramètres!$A$1:$I$89,3,0)*0.475*44/12</f>
        <v>3.6472861630637624E-9</v>
      </c>
      <c r="ED98" s="22">
        <f t="shared" si="72"/>
        <v>3.2039397035745036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210.04871822652808</v>
      </c>
      <c r="AO99" s="59">
        <f t="shared" si="90"/>
        <v>250.17540614049324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1.97571805206519</v>
      </c>
      <c r="AV99" s="21">
        <f>EXP(-LN(2)/25)*AV98+(1-EXP(-LN(2)/25))/(LN(2)/25)*Calculateur!AQ99*Calculateur!AS99*VLOOKUP('Données projet'!$B$10,Paramètres!$A$1:$I$89,3,0)*0.475*44/12</f>
        <v>4.464832320195419</v>
      </c>
      <c r="AW99" s="21">
        <f>EXP(-LN(2)/2)*AW98+(1-EXP(-LN(2)/2))/(LN(2)/2)*AQ99*AT99*VLOOKUP('Données projet'!$B$10,Paramètres!$A$1:$I$89,3,0)*0.475*44/12</f>
        <v>2.5092028939807441E-9</v>
      </c>
      <c r="AX99" s="21">
        <f t="shared" si="60"/>
        <v>6.4405503747698116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553.99999999999955</v>
      </c>
      <c r="BE99" s="13">
        <f>BD99*VLOOKUP('Données projet'!$B$11,Paramètres!$A$1:$I$89,3,0)*VLOOKUP('Données projet'!$B$11,Paramètres!$A$1:$I$89,5,0)</f>
        <v>331.29199999999975</v>
      </c>
      <c r="BF99" s="13">
        <f t="shared" si="91"/>
        <v>77.698110787752</v>
      </c>
      <c r="BG99" s="20">
        <f t="shared" si="61"/>
        <v>712.32444295533423</v>
      </c>
      <c r="BH99" s="59">
        <f t="shared" si="62"/>
        <v>1005.6577762886675</v>
      </c>
      <c r="BI99" s="59">
        <f ca="1">AVERAGE(OFFSET($BH$3,0,0,'Données projet'!$E$11+1,1))-AVERAGE(OFFSET($H$3,0,0,'Données projet'!$E$11+1,1))</f>
        <v>316.58509520829671</v>
      </c>
      <c r="BJ99" s="59">
        <f t="shared" si="92"/>
        <v>240.71332110643596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0.68587320982620303</v>
      </c>
      <c r="BQ99" s="21">
        <f>EXP(-LN(2)/25)*BQ98+(1-EXP(-LN(2)/25))/(LN(2)/25)*Calculateur!BL99*Calculateur!BN99*VLOOKUP('Données projet'!$B$11,Paramètres!$A$1:$I$89,3,0)*0.475*44/12</f>
        <v>2.4494065694131231</v>
      </c>
      <c r="BR99" s="21">
        <f>EXP(-LN(2)/2)*BR98+(1-EXP(-LN(2)/2))/(LN(2)/2)*BL99*BO99*VLOOKUP('Données projet'!$B$11,Paramètres!$A$1:$I$89,3,0)*0.475*44/12</f>
        <v>2.554075684181985E-9</v>
      </c>
      <c r="BS99" s="22">
        <f t="shared" si="63"/>
        <v>3.1352797817934017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-5.1159076974727213E-13</v>
      </c>
      <c r="BZ99" s="13">
        <f>BY99*VLOOKUP('Données projet'!$B$12,Paramètres!$A$1:$I$89,3,0)*VLOOKUP('Données projet'!$B$12,Paramètres!$A$1:$I$89,5,0)</f>
        <v>-4.0702161641092972E-13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260.20517190557814</v>
      </c>
      <c r="CE99" s="59">
        <f t="shared" si="94"/>
        <v>307.22009971147133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0.88299700640413603</v>
      </c>
      <c r="CL99" s="21">
        <f>EXP(-LN(2)/25)*CL98+(1-EXP(-LN(2)/25))/(LN(2)/25)*Calculateur!CG99*Calculateur!CI99*VLOOKUP('Données projet'!$B$12,Paramètres!$A$1:$I$89,3,0)*0.475*44/12</f>
        <v>3.2919236930883504</v>
      </c>
      <c r="CM99" s="21">
        <f>EXP(-LN(2)/2)*CM98+(1-EXP(-LN(2)/2))/(LN(2)/2)*CG99*CJ99*VLOOKUP('Données projet'!$B$12,Paramètres!$A$1:$I$89,3,0)*0.475*44/12</f>
        <v>2.7985119089434489E-9</v>
      </c>
      <c r="CN99" s="22">
        <f t="shared" si="66"/>
        <v>4.174920702290998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8.4</v>
      </c>
      <c r="CT99" s="12">
        <f>IF('Données projet'!$A$140&gt;35,CT98+CS99-DB98,IF(A99&lt;'Données projet'!$A$140,$CQ$205^A99,IF(A99='Données projet'!$A$140,'Données projet'!$B$140,CT98+CS99-DB98)))</f>
        <v>344.40000000000015</v>
      </c>
      <c r="CU99" s="17">
        <f>CT99*VLOOKUP('Données projet'!$B$13,Paramètres!$A$1:$I$89,3,0)*VLOOKUP('Données projet'!$B$13,Paramètres!$A$1:$I$89,5,0)</f>
        <v>295.49520000000018</v>
      </c>
      <c r="CV99" s="13">
        <f t="shared" si="95"/>
        <v>70.23125439319044</v>
      </c>
      <c r="CW99" s="20">
        <f t="shared" si="67"/>
        <v>636.97357473480702</v>
      </c>
      <c r="CX99" s="59">
        <f t="shared" si="68"/>
        <v>930.30690806814027</v>
      </c>
      <c r="CY99" s="59">
        <f ca="1">AVERAGE(OFFSET($CX$3,0,0,'Données projet'!$E$13+1,1))-AVERAGE(OFFSET($H$3,0,0,'Données projet'!$E$13+1,1))</f>
        <v>310.4018929413723</v>
      </c>
      <c r="CZ99" s="59">
        <f t="shared" si="96"/>
        <v>127.5231137583819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0.94450865624244151</v>
      </c>
      <c r="DH99" s="21">
        <f>EXP(-LN(2)/2)*DH98+(1-EXP(-LN(2)/2))/(LN(2)/2)*DB99*DE99*VLOOKUP('Données projet'!$B$13,Paramètres!$A$1:$I$89,3,0)*0.475*44/12</f>
        <v>1.0396243696384499E-9</v>
      </c>
      <c r="DI99" s="22">
        <f t="shared" si="69"/>
        <v>0.9445086572820659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>
        <f>DO99*VLOOKUP('Données projet'!$B$14,Paramètres!$A$1:$I$89,3,0)*VLOOKUP('Données projet'!$B$14,Paramètres!$A$1:$I$89,5,0)</f>
        <v>-3.7509835237869992E-13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234.09142087023463</v>
      </c>
      <c r="DU99" s="59">
        <f t="shared" si="98"/>
        <v>278.990685815294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0.66020604881345146</v>
      </c>
      <c r="EB99" s="21">
        <f>EXP(-LN(2)/25)*EB98+(1-EXP(-LN(2)/25))/(LN(2)/25)*Calculateur!DW99*Calculateur!DY99*VLOOKUP('Données projet'!$B$14,Paramètres!$A$1:$I$89,3,0)*0.475*44/12</f>
        <v>2.4613310335669869</v>
      </c>
      <c r="EC99" s="21">
        <f>EXP(-LN(2)/2)*EC98+(1-EXP(-LN(2)/2))/(LN(2)/2)*DW99*DZ99*VLOOKUP('Données projet'!$B$14,Paramètres!$A$1:$I$89,3,0)*0.475*44/12</f>
        <v>2.5790207788302506E-9</v>
      </c>
      <c r="ED99" s="22">
        <f t="shared" si="72"/>
        <v>3.1215370849594595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210.04871822652808</v>
      </c>
      <c r="AO100" s="59">
        <f t="shared" si="90"/>
        <v>250.17540614049324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1.9369754261332128</v>
      </c>
      <c r="AV100" s="21">
        <f>EXP(-LN(2)/25)*AV99+(1-EXP(-LN(2)/25))/(LN(2)/25)*Calculateur!AQ100*Calculateur!AS100*VLOOKUP('Données projet'!$B$10,Paramètres!$A$1:$I$89,3,0)*0.475*44/12</f>
        <v>4.3427412456043477</v>
      </c>
      <c r="AW100" s="21">
        <f>EXP(-LN(2)/2)*AW99+(1-EXP(-LN(2)/2))/(LN(2)/2)*AQ100*AT100*VLOOKUP('Données projet'!$B$10,Paramètres!$A$1:$I$89,3,0)*0.475*44/12</f>
        <v>1.7742743817066938E-9</v>
      </c>
      <c r="AX100" s="21">
        <f t="shared" si="60"/>
        <v>6.2797166735118344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553.99999999999955</v>
      </c>
      <c r="BE100" s="13">
        <f>BD100*VLOOKUP('Données projet'!$B$11,Paramètres!$A$1:$I$89,3,0)*VLOOKUP('Données projet'!$B$11,Paramètres!$A$1:$I$89,5,0)</f>
        <v>331.29199999999975</v>
      </c>
      <c r="BF100" s="13">
        <f t="shared" si="91"/>
        <v>77.698110787752</v>
      </c>
      <c r="BG100" s="20">
        <f t="shared" si="61"/>
        <v>712.32444295533423</v>
      </c>
      <c r="BH100" s="59">
        <f t="shared" si="62"/>
        <v>1005.6577762886675</v>
      </c>
      <c r="BI100" s="59">
        <f ca="1">AVERAGE(OFFSET($BH$3,0,0,'Données projet'!$E$11+1,1))-AVERAGE(OFFSET($H$3,0,0,'Données projet'!$E$11+1,1))</f>
        <v>316.58509520829671</v>
      </c>
      <c r="BJ100" s="59">
        <f t="shared" si="92"/>
        <v>240.71332110643596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0.67242365452286146</v>
      </c>
      <c r="BQ100" s="21">
        <f>EXP(-LN(2)/25)*BQ99+(1-EXP(-LN(2)/25))/(LN(2)/25)*Calculateur!BL100*Calculateur!BN100*VLOOKUP('Données projet'!$B$11,Paramètres!$A$1:$I$89,3,0)*0.475*44/12</f>
        <v>2.3824274179638278</v>
      </c>
      <c r="BR100" s="21">
        <f>EXP(-LN(2)/2)*BR99+(1-EXP(-LN(2)/2))/(LN(2)/2)*BL100*BO100*VLOOKUP('Données projet'!$B$11,Paramètres!$A$1:$I$89,3,0)*0.475*44/12</f>
        <v>1.8060042359487527E-9</v>
      </c>
      <c r="BS100" s="22">
        <f t="shared" si="63"/>
        <v>3.0548510742926935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-5.1159076974727213E-13</v>
      </c>
      <c r="BZ100" s="13">
        <f>BY100*VLOOKUP('Données projet'!$B$12,Paramètres!$A$1:$I$89,3,0)*VLOOKUP('Données projet'!$B$12,Paramètres!$A$1:$I$89,5,0)</f>
        <v>-4.0702161641092972E-13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260.20517190557814</v>
      </c>
      <c r="CE100" s="59">
        <f t="shared" si="94"/>
        <v>307.22009971147133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0.86568197368354494</v>
      </c>
      <c r="CL100" s="21">
        <f>EXP(-LN(2)/25)*CL99+(1-EXP(-LN(2)/25))/(LN(2)/25)*Calculateur!CG100*Calculateur!CI100*VLOOKUP('Données projet'!$B$12,Paramètres!$A$1:$I$89,3,0)*0.475*44/12</f>
        <v>3.2019058665861064</v>
      </c>
      <c r="CM100" s="21">
        <f>EXP(-LN(2)/2)*CM99+(1-EXP(-LN(2)/2))/(LN(2)/2)*CG100*CJ100*VLOOKUP('Données projet'!$B$12,Paramètres!$A$1:$I$89,3,0)*0.475*44/12</f>
        <v>1.9788467480452227E-9</v>
      </c>
      <c r="CN100" s="22">
        <f t="shared" si="66"/>
        <v>4.0675878422484981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8.4</v>
      </c>
      <c r="CT100" s="12">
        <f>IF('Données projet'!$A$140&gt;35,CT99+CS100-DB99,IF(A100&lt;'Données projet'!$A$140,$CQ$205^A100,IF(A100='Données projet'!$A$140,'Données projet'!$B$140,CT99+CS100-DB99)))</f>
        <v>352.80000000000013</v>
      </c>
      <c r="CU100" s="17">
        <f>CT100*VLOOKUP('Données projet'!$B$13,Paramètres!$A$1:$I$89,3,0)*VLOOKUP('Données projet'!$B$13,Paramètres!$A$1:$I$89,5,0)</f>
        <v>302.70240000000013</v>
      </c>
      <c r="CV100" s="13">
        <f t="shared" si="95"/>
        <v>71.742694296396621</v>
      </c>
      <c r="CW100" s="20">
        <f t="shared" si="67"/>
        <v>652.15853923289103</v>
      </c>
      <c r="CX100" s="59">
        <f t="shared" si="68"/>
        <v>945.4918725662244</v>
      </c>
      <c r="CY100" s="59">
        <f ca="1">AVERAGE(OFFSET($CX$3,0,0,'Données projet'!$E$13+1,1))-AVERAGE(OFFSET($H$3,0,0,'Données projet'!$E$13+1,1))</f>
        <v>310.4018929413723</v>
      </c>
      <c r="CZ100" s="59">
        <f t="shared" si="96"/>
        <v>127.5231137583819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0.91868101736794039</v>
      </c>
      <c r="DH100" s="21">
        <f>EXP(-LN(2)/2)*DH99+(1-EXP(-LN(2)/2))/(LN(2)/2)*DB100*DE100*VLOOKUP('Données projet'!$B$13,Paramètres!$A$1:$I$89,3,0)*0.475*44/12</f>
        <v>7.351254416581378E-10</v>
      </c>
      <c r="DI100" s="22">
        <f t="shared" si="69"/>
        <v>0.91868101810306579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>
        <f>DO100*VLOOKUP('Données projet'!$B$14,Paramètres!$A$1:$I$89,3,0)*VLOOKUP('Données projet'!$B$14,Paramètres!$A$1:$I$89,5,0)</f>
        <v>-3.7509835237869992E-13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234.09142087023463</v>
      </c>
      <c r="DU100" s="59">
        <f t="shared" si="98"/>
        <v>278.990685815294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0.64725981088214757</v>
      </c>
      <c r="EB100" s="21">
        <f>EXP(-LN(2)/25)*EB99+(1-EXP(-LN(2)/25))/(LN(2)/25)*Calculateur!DW100*Calculateur!DY100*VLOOKUP('Données projet'!$B$14,Paramètres!$A$1:$I$89,3,0)*0.475*44/12</f>
        <v>2.3940258070183242</v>
      </c>
      <c r="EC100" s="21">
        <f>EXP(-LN(2)/2)*EC99+(1-EXP(-LN(2)/2))/(LN(2)/2)*DW100*DZ100*VLOOKUP('Données projet'!$B$14,Paramètres!$A$1:$I$89,3,0)*0.475*44/12</f>
        <v>1.8236430815318816E-9</v>
      </c>
      <c r="ED100" s="22">
        <f t="shared" si="72"/>
        <v>3.0412856197241149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210.04871822652808</v>
      </c>
      <c r="AO101" s="59">
        <f t="shared" si="90"/>
        <v>250.17540614049324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1.8989925194650932</v>
      </c>
      <c r="AV101" s="21">
        <f>EXP(-LN(2)/25)*AV100+(1-EXP(-LN(2)/25))/(LN(2)/25)*Calculateur!AQ101*Calculateur!AS101*VLOOKUP('Données projet'!$B$10,Paramètres!$A$1:$I$89,3,0)*0.475*44/12</f>
        <v>4.2239887578684598</v>
      </c>
      <c r="AW101" s="21">
        <f>EXP(-LN(2)/2)*AW100+(1-EXP(-LN(2)/2))/(LN(2)/2)*AQ101*AT101*VLOOKUP('Données projet'!$B$10,Paramètres!$A$1:$I$89,3,0)*0.475*44/12</f>
        <v>1.254601446990372E-9</v>
      </c>
      <c r="AX101" s="21">
        <f t="shared" si="60"/>
        <v>6.1229812785881546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553.99999999999955</v>
      </c>
      <c r="BE101" s="13">
        <f>BD101*VLOOKUP('Données projet'!$B$11,Paramètres!$A$1:$I$89,3,0)*VLOOKUP('Données projet'!$B$11,Paramètres!$A$1:$I$89,5,0)</f>
        <v>331.29199999999975</v>
      </c>
      <c r="BF101" s="13">
        <f t="shared" si="91"/>
        <v>77.698110787752</v>
      </c>
      <c r="BG101" s="20">
        <f t="shared" si="61"/>
        <v>712.32444295533423</v>
      </c>
      <c r="BH101" s="59">
        <f t="shared" si="62"/>
        <v>1005.6577762886675</v>
      </c>
      <c r="BI101" s="59">
        <f ca="1">AVERAGE(OFFSET($BH$3,0,0,'Données projet'!$E$11+1,1))-AVERAGE(OFFSET($H$3,0,0,'Données projet'!$E$11+1,1))</f>
        <v>316.58509520829671</v>
      </c>
      <c r="BJ101" s="59">
        <f t="shared" si="92"/>
        <v>240.71332110643596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0.65923783679559966</v>
      </c>
      <c r="BQ101" s="21">
        <f>EXP(-LN(2)/25)*BQ100+(1-EXP(-LN(2)/25))/(LN(2)/25)*Calculateur!BL101*Calculateur!BN101*VLOOKUP('Données projet'!$B$11,Paramètres!$A$1:$I$89,3,0)*0.475*44/12</f>
        <v>2.3172798149331943</v>
      </c>
      <c r="BR101" s="21">
        <f>EXP(-LN(2)/2)*BR100+(1-EXP(-LN(2)/2))/(LN(2)/2)*BL101*BO101*VLOOKUP('Données projet'!$B$11,Paramètres!$A$1:$I$89,3,0)*0.475*44/12</f>
        <v>1.2770378420909927E-9</v>
      </c>
      <c r="BS101" s="22">
        <f t="shared" si="63"/>
        <v>2.9765176530058319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-5.1159076974727213E-13</v>
      </c>
      <c r="BZ101" s="13">
        <f>BY101*VLOOKUP('Données projet'!$B$12,Paramètres!$A$1:$I$89,3,0)*VLOOKUP('Données projet'!$B$12,Paramètres!$A$1:$I$89,5,0)</f>
        <v>-4.0702161641092972E-13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260.20517190557814</v>
      </c>
      <c r="CE101" s="59">
        <f t="shared" si="94"/>
        <v>307.22009971147133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0.84870647819347755</v>
      </c>
      <c r="CL101" s="21">
        <f>EXP(-LN(2)/25)*CL100+(1-EXP(-LN(2)/25))/(LN(2)/25)*Calculateur!CG101*Calculateur!CI101*VLOOKUP('Données projet'!$B$12,Paramètres!$A$1:$I$89,3,0)*0.475*44/12</f>
        <v>3.1143495822833978</v>
      </c>
      <c r="CM101" s="21">
        <f>EXP(-LN(2)/2)*CM100+(1-EXP(-LN(2)/2))/(LN(2)/2)*CG101*CJ101*VLOOKUP('Données projet'!$B$12,Paramètres!$A$1:$I$89,3,0)*0.475*44/12</f>
        <v>1.3992559544717245E-9</v>
      </c>
      <c r="CN101" s="22">
        <f t="shared" si="66"/>
        <v>3.9630560618761312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8.4</v>
      </c>
      <c r="CT101" s="12">
        <f>IF('Données projet'!$A$140&gt;35,CT100+CS101-DB100,IF(A101&lt;'Données projet'!$A$140,$CQ$205^A101,IF(A101='Données projet'!$A$140,'Données projet'!$B$140,CT100+CS101-DB100)))</f>
        <v>361.2000000000001</v>
      </c>
      <c r="CU101" s="17">
        <f>CT101*VLOOKUP('Données projet'!$B$13,Paramètres!$A$1:$I$89,3,0)*VLOOKUP('Données projet'!$B$13,Paramètres!$A$1:$I$89,5,0)</f>
        <v>309.90960000000013</v>
      </c>
      <c r="CV101" s="13">
        <f t="shared" si="95"/>
        <v>73.249950733312943</v>
      </c>
      <c r="CW101" s="20">
        <f t="shared" si="67"/>
        <v>667.33621752718682</v>
      </c>
      <c r="CX101" s="59">
        <f t="shared" si="68"/>
        <v>960.66955086052008</v>
      </c>
      <c r="CY101" s="59">
        <f ca="1">AVERAGE(OFFSET($CX$3,0,0,'Données projet'!$E$13+1,1))-AVERAGE(OFFSET($H$3,0,0,'Données projet'!$E$13+1,1))</f>
        <v>310.4018929413723</v>
      </c>
      <c r="CZ101" s="59">
        <f t="shared" si="96"/>
        <v>127.5231137583819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0.89355963663667903</v>
      </c>
      <c r="DH101" s="21">
        <f>EXP(-LN(2)/2)*DH100+(1-EXP(-LN(2)/2))/(LN(2)/2)*DB101*DE101*VLOOKUP('Données projet'!$B$13,Paramètres!$A$1:$I$89,3,0)*0.475*44/12</f>
        <v>5.1981218481922495E-10</v>
      </c>
      <c r="DI101" s="22">
        <f t="shared" si="69"/>
        <v>0.89355963715649123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>
        <f>DO101*VLOOKUP('Données projet'!$B$14,Paramètres!$A$1:$I$89,3,0)*VLOOKUP('Données projet'!$B$14,Paramètres!$A$1:$I$89,5,0)</f>
        <v>-3.7509835237869992E-13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234.09142087023463</v>
      </c>
      <c r="DU101" s="59">
        <f t="shared" si="98"/>
        <v>278.990685815294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0.63456744078025107</v>
      </c>
      <c r="EB101" s="21">
        <f>EXP(-LN(2)/25)*EB100+(1-EXP(-LN(2)/25))/(LN(2)/25)*Calculateur!DW101*Calculateur!DY101*VLOOKUP('Données projet'!$B$14,Paramètres!$A$1:$I$89,3,0)*0.475*44/12</f>
        <v>2.3285610454290624</v>
      </c>
      <c r="EC101" s="21">
        <f>EXP(-LN(2)/2)*EC100+(1-EXP(-LN(2)/2))/(LN(2)/2)*DW101*DZ101*VLOOKUP('Données projet'!$B$14,Paramètres!$A$1:$I$89,3,0)*0.475*44/12</f>
        <v>1.2895103894151255E-9</v>
      </c>
      <c r="ED101" s="22">
        <f t="shared" si="72"/>
        <v>2.9631284874988237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210.04871822652808</v>
      </c>
      <c r="AO102" s="59">
        <f t="shared" si="90"/>
        <v>250.17540614049324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1.8617544344294499</v>
      </c>
      <c r="AV102" s="21">
        <f>EXP(-LN(2)/25)*AV101+(1-EXP(-LN(2)/25))/(LN(2)/25)*Calculateur!AQ102*Calculateur!AS102*VLOOKUP('Données projet'!$B$10,Paramètres!$A$1:$I$89,3,0)*0.475*44/12</f>
        <v>4.1084835631546319</v>
      </c>
      <c r="AW102" s="21">
        <f>EXP(-LN(2)/2)*AW101+(1-EXP(-LN(2)/2))/(LN(2)/2)*AQ102*AT102*VLOOKUP('Données projet'!$B$10,Paramètres!$A$1:$I$89,3,0)*0.475*44/12</f>
        <v>8.8713719085334691E-10</v>
      </c>
      <c r="AX102" s="21">
        <f t="shared" si="60"/>
        <v>5.9702379984712195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553.99999999999955</v>
      </c>
      <c r="BE102" s="13">
        <f>BD102*VLOOKUP('Données projet'!$B$11,Paramètres!$A$1:$I$89,3,0)*VLOOKUP('Données projet'!$B$11,Paramètres!$A$1:$I$89,5,0)</f>
        <v>331.29199999999975</v>
      </c>
      <c r="BF102" s="13">
        <f t="shared" si="91"/>
        <v>77.698110787752</v>
      </c>
      <c r="BG102" s="20">
        <f t="shared" si="61"/>
        <v>712.32444295533423</v>
      </c>
      <c r="BH102" s="59">
        <f t="shared" si="62"/>
        <v>1005.6577762886675</v>
      </c>
      <c r="BI102" s="59">
        <f ca="1">AVERAGE(OFFSET($BH$3,0,0,'Données projet'!$E$11+1,1))-AVERAGE(OFFSET($H$3,0,0,'Données projet'!$E$11+1,1))</f>
        <v>316.58509520829671</v>
      </c>
      <c r="BJ102" s="59">
        <f t="shared" si="92"/>
        <v>240.71332110643596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0.6463105849114148</v>
      </c>
      <c r="BQ102" s="21">
        <f>EXP(-LN(2)/25)*BQ101+(1-EXP(-LN(2)/25))/(LN(2)/25)*Calculateur!BL102*Calculateur!BN102*VLOOKUP('Données projet'!$B$11,Paramètres!$A$1:$I$89,3,0)*0.475*44/12</f>
        <v>2.2539136765333967</v>
      </c>
      <c r="BR102" s="21">
        <f>EXP(-LN(2)/2)*BR101+(1-EXP(-LN(2)/2))/(LN(2)/2)*BL102*BO102*VLOOKUP('Données projet'!$B$11,Paramètres!$A$1:$I$89,3,0)*0.475*44/12</f>
        <v>9.0300211797437646E-10</v>
      </c>
      <c r="BS102" s="22">
        <f t="shared" si="63"/>
        <v>2.9002242623478134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-5.1159076974727213E-13</v>
      </c>
      <c r="BZ102" s="13">
        <f>BY102*VLOOKUP('Données projet'!$B$12,Paramètres!$A$1:$I$89,3,0)*VLOOKUP('Données projet'!$B$12,Paramètres!$A$1:$I$89,5,0)</f>
        <v>-4.0702161641092972E-13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260.20517190557814</v>
      </c>
      <c r="CE102" s="59">
        <f t="shared" si="94"/>
        <v>307.22009971147133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0.8320638618159405</v>
      </c>
      <c r="CL102" s="21">
        <f>EXP(-LN(2)/25)*CL101+(1-EXP(-LN(2)/25))/(LN(2)/25)*Calculateur!CG102*Calculateur!CI102*VLOOKUP('Données projet'!$B$12,Paramètres!$A$1:$I$89,3,0)*0.475*44/12</f>
        <v>3.0291875291793318</v>
      </c>
      <c r="CM102" s="21">
        <f>EXP(-LN(2)/2)*CM101+(1-EXP(-LN(2)/2))/(LN(2)/2)*CG102*CJ102*VLOOKUP('Données projet'!$B$12,Paramètres!$A$1:$I$89,3,0)*0.475*44/12</f>
        <v>9.8942337402261137E-10</v>
      </c>
      <c r="CN102" s="22">
        <f t="shared" si="66"/>
        <v>3.8612513919846956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8.4</v>
      </c>
      <c r="CT102" s="12">
        <f>IF('Données projet'!$A$140&gt;35,CT101+CS102-DB101,IF(A102&lt;'Données projet'!$A$140,$CQ$205^A102,IF(A102='Données projet'!$A$140,'Données projet'!$B$140,CT101+CS102-DB101)))</f>
        <v>369.60000000000008</v>
      </c>
      <c r="CU102" s="17">
        <f>CT102*VLOOKUP('Données projet'!$B$13,Paramètres!$A$1:$I$89,3,0)*VLOOKUP('Données projet'!$B$13,Paramètres!$A$1:$I$89,5,0)</f>
        <v>317.11680000000013</v>
      </c>
      <c r="CV102" s="13">
        <f t="shared" si="95"/>
        <v>74.753132191289879</v>
      </c>
      <c r="CW102" s="20">
        <f t="shared" si="67"/>
        <v>682.50679856649674</v>
      </c>
      <c r="CX102" s="59">
        <f t="shared" si="68"/>
        <v>975.84013189983011</v>
      </c>
      <c r="CY102" s="59">
        <f ca="1">AVERAGE(OFFSET($CX$3,0,0,'Données projet'!$E$13+1,1))-AVERAGE(OFFSET($H$3,0,0,'Données projet'!$E$13+1,1))</f>
        <v>310.4018929413723</v>
      </c>
      <c r="CZ102" s="59">
        <f t="shared" si="96"/>
        <v>127.5231137583819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0.86912520138258997</v>
      </c>
      <c r="DH102" s="21">
        <f>EXP(-LN(2)/2)*DH101+(1-EXP(-LN(2)/2))/(LN(2)/2)*DB102*DE102*VLOOKUP('Données projet'!$B$13,Paramètres!$A$1:$I$89,3,0)*0.475*44/12</f>
        <v>3.675627208290689E-10</v>
      </c>
      <c r="DI102" s="22">
        <f t="shared" si="69"/>
        <v>0.86912520175015273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>
        <f>DO102*VLOOKUP('Données projet'!$B$14,Paramètres!$A$1:$I$89,3,0)*VLOOKUP('Données projet'!$B$14,Paramètres!$A$1:$I$89,5,0)</f>
        <v>-3.7509835237869992E-13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234.09142087023463</v>
      </c>
      <c r="DU102" s="59">
        <f t="shared" si="98"/>
        <v>278.990685815294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0.62212396031447137</v>
      </c>
      <c r="EB102" s="21">
        <f>EXP(-LN(2)/25)*EB101+(1-EXP(-LN(2)/25))/(LN(2)/25)*Calculateur!DW102*Calculateur!DY102*VLOOKUP('Données projet'!$B$14,Paramètres!$A$1:$I$89,3,0)*0.475*44/12</f>
        <v>2.2648864211881015</v>
      </c>
      <c r="EC102" s="21">
        <f>EXP(-LN(2)/2)*EC101+(1-EXP(-LN(2)/2))/(LN(2)/2)*DW102*DZ102*VLOOKUP('Données projet'!$B$14,Paramètres!$A$1:$I$89,3,0)*0.475*44/12</f>
        <v>9.1182154076594091E-10</v>
      </c>
      <c r="ED102" s="22">
        <f t="shared" si="72"/>
        <v>2.8870103824143944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210.04871822652808</v>
      </c>
      <c r="AO103" s="59">
        <f t="shared" si="90"/>
        <v>250.17540614049324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1.8252465655283663</v>
      </c>
      <c r="AV103" s="21">
        <f>EXP(-LN(2)/25)*AV102+(1-EXP(-LN(2)/25))/(LN(2)/25)*Calculateur!AQ103*Calculateur!AS103*VLOOKUP('Données projet'!$B$10,Paramètres!$A$1:$I$89,3,0)*0.475*44/12</f>
        <v>3.9961368640644079</v>
      </c>
      <c r="AW103" s="21">
        <f>EXP(-LN(2)/2)*AW102+(1-EXP(-LN(2)/2))/(LN(2)/2)*AQ103*AT103*VLOOKUP('Données projet'!$B$10,Paramètres!$A$1:$I$89,3,0)*0.475*44/12</f>
        <v>6.2730072349518602E-10</v>
      </c>
      <c r="AX103" s="21">
        <f t="shared" si="60"/>
        <v>5.8213834302200755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553.99999999999955</v>
      </c>
      <c r="BE103" s="13">
        <f>BD103*VLOOKUP('Données projet'!$B$11,Paramètres!$A$1:$I$89,3,0)*VLOOKUP('Données projet'!$B$11,Paramètres!$A$1:$I$89,5,0)</f>
        <v>331.29199999999975</v>
      </c>
      <c r="BF103" s="13">
        <f t="shared" si="91"/>
        <v>77.698110787752</v>
      </c>
      <c r="BG103" s="20">
        <f t="shared" si="61"/>
        <v>712.32444295533423</v>
      </c>
      <c r="BH103" s="59">
        <f t="shared" si="62"/>
        <v>1005.6577762886675</v>
      </c>
      <c r="BI103" s="59">
        <f ca="1">AVERAGE(OFFSET($BH$3,0,0,'Données projet'!$E$11+1,1))-AVERAGE(OFFSET($H$3,0,0,'Données projet'!$E$11+1,1))</f>
        <v>316.58509520829671</v>
      </c>
      <c r="BJ103" s="59">
        <f t="shared" si="92"/>
        <v>240.71332110643596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0.63363682855183368</v>
      </c>
      <c r="BQ103" s="21">
        <f>EXP(-LN(2)/25)*BQ102+(1-EXP(-LN(2)/25))/(LN(2)/25)*Calculateur!BL103*Calculateur!BN103*VLOOKUP('Données projet'!$B$11,Paramètres!$A$1:$I$89,3,0)*0.475*44/12</f>
        <v>2.192280288520422</v>
      </c>
      <c r="BR103" s="21">
        <f>EXP(-LN(2)/2)*BR102+(1-EXP(-LN(2)/2))/(LN(2)/2)*BL103*BO103*VLOOKUP('Données projet'!$B$11,Paramètres!$A$1:$I$89,3,0)*0.475*44/12</f>
        <v>6.3851892104549646E-10</v>
      </c>
      <c r="BS103" s="22">
        <f t="shared" si="63"/>
        <v>2.8259171177107745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-5.1159076974727213E-13</v>
      </c>
      <c r="BZ103" s="13">
        <f>BY103*VLOOKUP('Données projet'!$B$12,Paramètres!$A$1:$I$89,3,0)*VLOOKUP('Données projet'!$B$12,Paramètres!$A$1:$I$89,5,0)</f>
        <v>-4.0702161641092972E-13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260.20517190557814</v>
      </c>
      <c r="CE103" s="59">
        <f t="shared" si="94"/>
        <v>307.22009971147133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0.81574759699457322</v>
      </c>
      <c r="CL103" s="21">
        <f>EXP(-LN(2)/25)*CL102+(1-EXP(-LN(2)/25))/(LN(2)/25)*Calculateur!CG103*Calculateur!CI103*VLOOKUP('Données projet'!$B$12,Paramètres!$A$1:$I$89,3,0)*0.475*44/12</f>
        <v>2.9463542368958739</v>
      </c>
      <c r="CM103" s="21">
        <f>EXP(-LN(2)/2)*CM102+(1-EXP(-LN(2)/2))/(LN(2)/2)*CG103*CJ103*VLOOKUP('Données projet'!$B$12,Paramètres!$A$1:$I$89,3,0)*0.475*44/12</f>
        <v>6.9962797723586224E-10</v>
      </c>
      <c r="CN103" s="22">
        <f t="shared" si="66"/>
        <v>3.7621018345900752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378</v>
      </c>
      <c r="CR103" s="12">
        <f>VLOOKUP(A103,'Données projet'!$A$139:$I$159,9,0)</f>
        <v>8.4</v>
      </c>
      <c r="CS103" s="12">
        <f t="array" ref="CS103">INDEX(CR:CR,MIN(IF(ISNUMBER(CR103:CR299),ROW(CR103:CR299),"")))</f>
        <v>8.4</v>
      </c>
      <c r="CT103" s="12">
        <f>IF('Données projet'!$A$140&gt;35,CT102+CS103-DB102,IF(A103&lt;'Données projet'!$A$140,$CQ$205^A103,IF(A103='Données projet'!$A$140,'Données projet'!$B$140,CT102+CS103-DB102)))</f>
        <v>378.00000000000006</v>
      </c>
      <c r="CU103" s="17">
        <f>CT103*VLOOKUP('Données projet'!$B$13,Paramètres!$A$1:$I$89,3,0)*VLOOKUP('Données projet'!$B$13,Paramètres!$A$1:$I$89,5,0)</f>
        <v>324.32400000000007</v>
      </c>
      <c r="CV103" s="13">
        <f t="shared" si="95"/>
        <v>76.25234194498276</v>
      </c>
      <c r="CW103" s="20">
        <f t="shared" si="67"/>
        <v>697.67046222084502</v>
      </c>
      <c r="CX103" s="59">
        <f t="shared" si="68"/>
        <v>991.0037955541784</v>
      </c>
      <c r="CY103" s="59">
        <f ca="1">AVERAGE(OFFSET($CX$3,0,0,'Données projet'!$E$13+1,1))-AVERAGE(OFFSET($H$3,0,0,'Données projet'!$E$13+1,1))</f>
        <v>310.4018929413723</v>
      </c>
      <c r="CZ103" s="59">
        <f t="shared" si="96"/>
        <v>127.5231137583819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63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0.84535892704547511</v>
      </c>
      <c r="DH103" s="21">
        <f>EXP(-LN(2)/2)*DH102+(1-EXP(-LN(2)/2))/(LN(2)/2)*DB103*DE103*VLOOKUP('Données projet'!$B$13,Paramètres!$A$1:$I$89,3,0)*0.475*44/12</f>
        <v>2.5990609240961248E-10</v>
      </c>
      <c r="DI103" s="22">
        <f t="shared" si="69"/>
        <v>0.8453589273053812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>
        <f>DO103*VLOOKUP('Données projet'!$B$14,Paramètres!$A$1:$I$89,3,0)*VLOOKUP('Données projet'!$B$14,Paramètres!$A$1:$I$89,5,0)</f>
        <v>-3.7509835237869992E-13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234.09142087023463</v>
      </c>
      <c r="DU103" s="59">
        <f t="shared" si="98"/>
        <v>278.990685815294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0.60992448891085205</v>
      </c>
      <c r="EB103" s="21">
        <f>EXP(-LN(2)/25)*EB102+(1-EXP(-LN(2)/25))/(LN(2)/25)*Calculateur!DW103*Calculateur!DY103*VLOOKUP('Données projet'!$B$14,Paramètres!$A$1:$I$89,3,0)*0.475*44/12</f>
        <v>2.2029529828955123</v>
      </c>
      <c r="EC103" s="21">
        <f>EXP(-LN(2)/2)*EC102+(1-EXP(-LN(2)/2))/(LN(2)/2)*DW103*DZ103*VLOOKUP('Données projet'!$B$14,Paramètres!$A$1:$I$89,3,0)*0.475*44/12</f>
        <v>6.4475519470756286E-10</v>
      </c>
      <c r="ED103" s="22">
        <f t="shared" si="72"/>
        <v>2.8128774724511199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210.04871822652808</v>
      </c>
      <c r="AO104" s="59">
        <f t="shared" si="90"/>
        <v>250.17540614049324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1.7894545936688318</v>
      </c>
      <c r="AV104" s="21">
        <f>EXP(-LN(2)/25)*AV103+(1-EXP(-LN(2)/25))/(LN(2)/25)*Calculateur!AQ104*Calculateur!AS104*VLOOKUP('Données projet'!$B$10,Paramètres!$A$1:$I$89,3,0)*0.475*44/12</f>
        <v>3.8868622913688622</v>
      </c>
      <c r="AW104" s="21">
        <f>EXP(-LN(2)/2)*AW103+(1-EXP(-LN(2)/2))/(LN(2)/2)*AQ104*AT104*VLOOKUP('Données projet'!$B$10,Paramètres!$A$1:$I$89,3,0)*0.475*44/12</f>
        <v>4.4356859542667346E-10</v>
      </c>
      <c r="AX104" s="21">
        <f t="shared" si="60"/>
        <v>5.6763168854812625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553.99999999999955</v>
      </c>
      <c r="BE104" s="13">
        <f>BD104*VLOOKUP('Données projet'!$B$11,Paramètres!$A$1:$I$89,3,0)*VLOOKUP('Données projet'!$B$11,Paramètres!$A$1:$I$89,5,0)</f>
        <v>331.29199999999975</v>
      </c>
      <c r="BF104" s="13">
        <f t="shared" si="91"/>
        <v>77.698110787752</v>
      </c>
      <c r="BG104" s="20">
        <f t="shared" si="61"/>
        <v>712.32444295533423</v>
      </c>
      <c r="BH104" s="59">
        <f t="shared" si="62"/>
        <v>1005.6577762886675</v>
      </c>
      <c r="BI104" s="59">
        <f ca="1">AVERAGE(OFFSET($BH$3,0,0,'Données projet'!$E$11+1,1))-AVERAGE(OFFSET($H$3,0,0,'Données projet'!$E$11+1,1))</f>
        <v>316.58509520829671</v>
      </c>
      <c r="BJ104" s="59">
        <f t="shared" si="92"/>
        <v>240.71332110643596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0.62121159682423588</v>
      </c>
      <c r="BQ104" s="21">
        <f>EXP(-LN(2)/25)*BQ103+(1-EXP(-LN(2)/25))/(LN(2)/25)*Calculateur!BL104*Calculateur!BN104*VLOOKUP('Données projet'!$B$11,Paramètres!$A$1:$I$89,3,0)*0.475*44/12</f>
        <v>2.1323322687438213</v>
      </c>
      <c r="BR104" s="21">
        <f>EXP(-LN(2)/2)*BR103+(1-EXP(-LN(2)/2))/(LN(2)/2)*BL104*BO104*VLOOKUP('Données projet'!$B$11,Paramètres!$A$1:$I$89,3,0)*0.475*44/12</f>
        <v>4.5150105898718833E-10</v>
      </c>
      <c r="BS104" s="22">
        <f t="shared" si="63"/>
        <v>2.7535438660195584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-5.1159076974727213E-13</v>
      </c>
      <c r="BZ104" s="13">
        <f>BY104*VLOOKUP('Données projet'!$B$12,Paramètres!$A$1:$I$89,3,0)*VLOOKUP('Données projet'!$B$12,Paramètres!$A$1:$I$89,5,0)</f>
        <v>-4.0702161641092972E-13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260.20517190557814</v>
      </c>
      <c r="CE104" s="59">
        <f t="shared" si="94"/>
        <v>307.22009971147133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0.7997512841744141</v>
      </c>
      <c r="CL104" s="21">
        <f>EXP(-LN(2)/25)*CL103+(1-EXP(-LN(2)/25))/(LN(2)/25)*Calculateur!CG104*Calculateur!CI104*VLOOKUP('Données projet'!$B$12,Paramètres!$A$1:$I$89,3,0)*0.475*44/12</f>
        <v>2.8657860253459209</v>
      </c>
      <c r="CM104" s="21">
        <f>EXP(-LN(2)/2)*CM103+(1-EXP(-LN(2)/2))/(LN(2)/2)*CG104*CJ104*VLOOKUP('Données projet'!$B$12,Paramètres!$A$1:$I$89,3,0)*0.475*44/12</f>
        <v>4.9471168701130569E-10</v>
      </c>
      <c r="CN104" s="22">
        <f t="shared" si="66"/>
        <v>3.665537310015047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7.6</v>
      </c>
      <c r="CT104" s="12">
        <f>IF('Données projet'!$A$140&gt;35,CT103+CS104-DB103,IF(A104&lt;'Données projet'!$A$140,$CQ$205^A104,IF(A104='Données projet'!$A$140,'Données projet'!$B$140,CT103+CS104-DB103)))</f>
        <v>322.60000000000008</v>
      </c>
      <c r="CU104" s="17">
        <f>CT104*VLOOKUP('Données projet'!$B$13,Paramètres!$A$1:$I$89,3,0)*VLOOKUP('Données projet'!$B$13,Paramètres!$A$1:$I$89,5,0)</f>
        <v>276.7908000000001</v>
      </c>
      <c r="CV104" s="13">
        <f t="shared" si="95"/>
        <v>66.288358331926389</v>
      </c>
      <c r="CW104" s="20">
        <f t="shared" si="67"/>
        <v>597.52953409477198</v>
      </c>
      <c r="CX104" s="59">
        <f t="shared" si="68"/>
        <v>890.86286742810535</v>
      </c>
      <c r="CY104" s="59">
        <f ca="1">AVERAGE(OFFSET($CX$3,0,0,'Données projet'!$E$13+1,1))-AVERAGE(OFFSET($H$3,0,0,'Données projet'!$E$13+1,1))</f>
        <v>310.4018929413723</v>
      </c>
      <c r="CZ104" s="59">
        <f t="shared" si="96"/>
        <v>127.5231137583819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0.8222425427299227</v>
      </c>
      <c r="DH104" s="21">
        <f>EXP(-LN(2)/2)*DH103+(1-EXP(-LN(2)/2))/(LN(2)/2)*DB104*DE104*VLOOKUP('Données projet'!$B$13,Paramètres!$A$1:$I$89,3,0)*0.475*44/12</f>
        <v>1.8378136041453445E-10</v>
      </c>
      <c r="DI104" s="22">
        <f t="shared" si="69"/>
        <v>0.82224254291370402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>
        <f>DO104*VLOOKUP('Données projet'!$B$14,Paramètres!$A$1:$I$89,3,0)*VLOOKUP('Données projet'!$B$14,Paramètres!$A$1:$I$89,5,0)</f>
        <v>-3.7509835237869992E-13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234.09142087023463</v>
      </c>
      <c r="DU104" s="59">
        <f t="shared" si="98"/>
        <v>278.990685815294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0.59796424170051488</v>
      </c>
      <c r="EB104" s="21">
        <f>EXP(-LN(2)/25)*EB103+(1-EXP(-LN(2)/25))/(LN(2)/25)*Calculateur!DW104*Calculateur!DY104*VLOOKUP('Données projet'!$B$14,Paramètres!$A$1:$I$89,3,0)*0.475*44/12</f>
        <v>2.1427131177299721</v>
      </c>
      <c r="EC104" s="21">
        <f>EXP(-LN(2)/2)*EC103+(1-EXP(-LN(2)/2))/(LN(2)/2)*DW104*DZ104*VLOOKUP('Données projet'!$B$14,Paramètres!$A$1:$I$89,3,0)*0.475*44/12</f>
        <v>4.5591077038297051E-10</v>
      </c>
      <c r="ED104" s="22">
        <f t="shared" si="72"/>
        <v>2.7406773598863978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210.04871822652808</v>
      </c>
      <c r="AO105" s="59">
        <f t="shared" si="90"/>
        <v>250.17540614049324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1.7543644805465155</v>
      </c>
      <c r="AV105" s="21">
        <f>EXP(-LN(2)/25)*AV104+(1-EXP(-LN(2)/25))/(LN(2)/25)*Calculateur!AQ105*Calculateur!AS105*VLOOKUP('Données projet'!$B$10,Paramètres!$A$1:$I$89,3,0)*0.475*44/12</f>
        <v>3.7805758376101761</v>
      </c>
      <c r="AW105" s="21">
        <f>EXP(-LN(2)/2)*AW104+(1-EXP(-LN(2)/2))/(LN(2)/2)*AQ105*AT105*VLOOKUP('Données projet'!$B$10,Paramètres!$A$1:$I$89,3,0)*0.475*44/12</f>
        <v>3.1365036174759301E-10</v>
      </c>
      <c r="AX105" s="21">
        <f t="shared" si="60"/>
        <v>5.5349403184703423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553.99999999999955</v>
      </c>
      <c r="BE105" s="13">
        <f>BD105*VLOOKUP('Données projet'!$B$11,Paramètres!$A$1:$I$89,3,0)*VLOOKUP('Données projet'!$B$11,Paramètres!$A$1:$I$89,5,0)</f>
        <v>331.29199999999975</v>
      </c>
      <c r="BF105" s="13">
        <f t="shared" si="91"/>
        <v>77.698110787752</v>
      </c>
      <c r="BG105" s="20">
        <f t="shared" si="61"/>
        <v>712.32444295533423</v>
      </c>
      <c r="BH105" s="59">
        <f t="shared" si="62"/>
        <v>1005.6577762886675</v>
      </c>
      <c r="BI105" s="59">
        <f ca="1">AVERAGE(OFFSET($BH$3,0,0,'Données projet'!$E$11+1,1))-AVERAGE(OFFSET($H$3,0,0,'Données projet'!$E$11+1,1))</f>
        <v>316.58509520829671</v>
      </c>
      <c r="BJ105" s="59">
        <f t="shared" si="92"/>
        <v>240.71332110643596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0.60903001631217324</v>
      </c>
      <c r="BQ105" s="21">
        <f>EXP(-LN(2)/25)*BQ104+(1-EXP(-LN(2)/25))/(LN(2)/25)*Calculateur!BL105*Calculateur!BN105*VLOOKUP('Données projet'!$B$11,Paramètres!$A$1:$I$89,3,0)*0.475*44/12</f>
        <v>2.0740235307205408</v>
      </c>
      <c r="BR105" s="21">
        <f>EXP(-LN(2)/2)*BR104+(1-EXP(-LN(2)/2))/(LN(2)/2)*BL105*BO105*VLOOKUP('Données projet'!$B$11,Paramètres!$A$1:$I$89,3,0)*0.475*44/12</f>
        <v>3.1925946052274828E-10</v>
      </c>
      <c r="BS105" s="22">
        <f t="shared" si="63"/>
        <v>2.6830535473519732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-5.1159076974727213E-13</v>
      </c>
      <c r="BZ105" s="13">
        <f>BY105*VLOOKUP('Données projet'!$B$12,Paramètres!$A$1:$I$89,3,0)*VLOOKUP('Données projet'!$B$12,Paramètres!$A$1:$I$89,5,0)</f>
        <v>-4.0702161641092972E-13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260.20517190557814</v>
      </c>
      <c r="CE105" s="59">
        <f t="shared" si="94"/>
        <v>307.22009971147133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0.78406864929187092</v>
      </c>
      <c r="CL105" s="21">
        <f>EXP(-LN(2)/25)*CL104+(1-EXP(-LN(2)/25))/(LN(2)/25)*Calculateur!CG105*Calculateur!CI105*VLOOKUP('Données projet'!$B$12,Paramètres!$A$1:$I$89,3,0)*0.475*44/12</f>
        <v>2.7874209557776992</v>
      </c>
      <c r="CM105" s="21">
        <f>EXP(-LN(2)/2)*CM104+(1-EXP(-LN(2)/2))/(LN(2)/2)*CG105*CJ105*VLOOKUP('Données projet'!$B$12,Paramètres!$A$1:$I$89,3,0)*0.475*44/12</f>
        <v>3.4981398861793112E-10</v>
      </c>
      <c r="CN105" s="22">
        <f t="shared" si="66"/>
        <v>3.5714896054193841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7.6</v>
      </c>
      <c r="CT105" s="12">
        <f>IF('Données projet'!$A$140&gt;35,CT104+CS105-DB104,IF(A105&lt;'Données projet'!$A$140,$CQ$205^A105,IF(A105='Données projet'!$A$140,'Données projet'!$B$140,CT104+CS105-DB104)))</f>
        <v>330.2000000000001</v>
      </c>
      <c r="CU105" s="17">
        <f>CT105*VLOOKUP('Données projet'!$B$13,Paramètres!$A$1:$I$89,3,0)*VLOOKUP('Données projet'!$B$13,Paramètres!$A$1:$I$89,5,0)</f>
        <v>283.31160000000011</v>
      </c>
      <c r="CV105" s="13">
        <f t="shared" si="95"/>
        <v>67.666365540271329</v>
      </c>
      <c r="CW105" s="20">
        <f t="shared" si="67"/>
        <v>611.28662331597275</v>
      </c>
      <c r="CX105" s="59">
        <f t="shared" si="68"/>
        <v>904.619956649306</v>
      </c>
      <c r="CY105" s="59">
        <f ca="1">AVERAGE(OFFSET($CX$3,0,0,'Données projet'!$E$13+1,1))-AVERAGE(OFFSET($H$3,0,0,'Données projet'!$E$13+1,1))</f>
        <v>310.4018929413723</v>
      </c>
      <c r="CZ105" s="59">
        <f t="shared" si="96"/>
        <v>127.5231137583819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0.79975827715911685</v>
      </c>
      <c r="DH105" s="21">
        <f>EXP(-LN(2)/2)*DH104+(1-EXP(-LN(2)/2))/(LN(2)/2)*DB105*DE105*VLOOKUP('Données projet'!$B$13,Paramètres!$A$1:$I$89,3,0)*0.475*44/12</f>
        <v>1.2995304620480624E-10</v>
      </c>
      <c r="DI105" s="22">
        <f t="shared" si="69"/>
        <v>0.7997582772890699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>
        <f>DO105*VLOOKUP('Données projet'!$B$14,Paramètres!$A$1:$I$89,3,0)*VLOOKUP('Données projet'!$B$14,Paramètres!$A$1:$I$89,5,0)</f>
        <v>-3.7509835237869992E-13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234.09142087023463</v>
      </c>
      <c r="DU105" s="59">
        <f t="shared" si="98"/>
        <v>278.990685815294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0.58623852764294193</v>
      </c>
      <c r="EB105" s="21">
        <f>EXP(-LN(2)/25)*EB104+(1-EXP(-LN(2)/25))/(LN(2)/25)*Calculateur!DW105*Calculateur!DY105*VLOOKUP('Données projet'!$B$14,Paramètres!$A$1:$I$89,3,0)*0.475*44/12</f>
        <v>2.0841205148452602</v>
      </c>
      <c r="EC105" s="21">
        <f>EXP(-LN(2)/2)*EC104+(1-EXP(-LN(2)/2))/(LN(2)/2)*DW105*DZ105*VLOOKUP('Données projet'!$B$14,Paramètres!$A$1:$I$89,3,0)*0.475*44/12</f>
        <v>3.2237759735378148E-10</v>
      </c>
      <c r="ED105" s="22">
        <f t="shared" si="72"/>
        <v>2.6703590428105799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210.04871822652808</v>
      </c>
      <c r="AO106" s="59">
        <f t="shared" si="90"/>
        <v>250.17540614049324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1.7199624631396722</v>
      </c>
      <c r="AV106" s="21">
        <f>EXP(-LN(2)/25)*AV105+(1-EXP(-LN(2)/25))/(LN(2)/25)*Calculateur!AQ106*Calculateur!AS106*VLOOKUP('Données projet'!$B$10,Paramètres!$A$1:$I$89,3,0)*0.475*44/12</f>
        <v>3.6771957925188832</v>
      </c>
      <c r="AW106" s="21">
        <f>EXP(-LN(2)/2)*AW105+(1-EXP(-LN(2)/2))/(LN(2)/2)*AQ106*AT106*VLOOKUP('Données projet'!$B$10,Paramètres!$A$1:$I$89,3,0)*0.475*44/12</f>
        <v>2.2178429771333673E-10</v>
      </c>
      <c r="AX106" s="21">
        <f t="shared" si="60"/>
        <v>5.3971582558803393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553.99999999999955</v>
      </c>
      <c r="BE106" s="13">
        <f>BD106*VLOOKUP('Données projet'!$B$11,Paramètres!$A$1:$I$89,3,0)*VLOOKUP('Données projet'!$B$11,Paramètres!$A$1:$I$89,5,0)</f>
        <v>331.29199999999975</v>
      </c>
      <c r="BF106" s="13">
        <f t="shared" si="91"/>
        <v>77.698110787752</v>
      </c>
      <c r="BG106" s="20">
        <f t="shared" si="61"/>
        <v>712.32444295533423</v>
      </c>
      <c r="BH106" s="59">
        <f t="shared" si="62"/>
        <v>1005.6577762886675</v>
      </c>
      <c r="BI106" s="59">
        <f ca="1">AVERAGE(OFFSET($BH$3,0,0,'Données projet'!$E$11+1,1))-AVERAGE(OFFSET($H$3,0,0,'Données projet'!$E$11+1,1))</f>
        <v>316.58509520829671</v>
      </c>
      <c r="BJ106" s="59">
        <f t="shared" si="92"/>
        <v>240.71332110643596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0.59708730916392172</v>
      </c>
      <c r="BQ106" s="21">
        <f>EXP(-LN(2)/25)*BQ105+(1-EXP(-LN(2)/25))/(LN(2)/25)*Calculateur!BL106*Calculateur!BN106*VLOOKUP('Données projet'!$B$11,Paramètres!$A$1:$I$89,3,0)*0.475*44/12</f>
        <v>2.0173092482048305</v>
      </c>
      <c r="BR106" s="21">
        <f>EXP(-LN(2)/2)*BR105+(1-EXP(-LN(2)/2))/(LN(2)/2)*BL106*BO106*VLOOKUP('Données projet'!$B$11,Paramètres!$A$1:$I$89,3,0)*0.475*44/12</f>
        <v>2.2575052949359419E-10</v>
      </c>
      <c r="BS106" s="22">
        <f t="shared" si="63"/>
        <v>2.6143965575945027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-5.1159076974727213E-13</v>
      </c>
      <c r="BZ106" s="13">
        <f>BY106*VLOOKUP('Données projet'!$B$12,Paramètres!$A$1:$I$89,3,0)*VLOOKUP('Données projet'!$B$12,Paramètres!$A$1:$I$89,5,0)</f>
        <v>-4.0702161641092972E-13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260.20517190557814</v>
      </c>
      <c r="CE106" s="59">
        <f t="shared" si="94"/>
        <v>307.22009971147133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0.76869354131391165</v>
      </c>
      <c r="CL106" s="21">
        <f>EXP(-LN(2)/25)*CL105+(1-EXP(-LN(2)/25))/(LN(2)/25)*Calculateur!CG106*Calculateur!CI106*VLOOKUP('Données projet'!$B$12,Paramètres!$A$1:$I$89,3,0)*0.475*44/12</f>
        <v>2.7111987831578608</v>
      </c>
      <c r="CM106" s="21">
        <f>EXP(-LN(2)/2)*CM105+(1-EXP(-LN(2)/2))/(LN(2)/2)*CG106*CJ106*VLOOKUP('Données projet'!$B$12,Paramètres!$A$1:$I$89,3,0)*0.475*44/12</f>
        <v>2.4735584350565284E-10</v>
      </c>
      <c r="CN106" s="22">
        <f t="shared" si="66"/>
        <v>3.4798923247191285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7.6</v>
      </c>
      <c r="CT106" s="12">
        <f>IF('Données projet'!$A$140&gt;35,CT105+CS106-DB105,IF(A106&lt;'Données projet'!$A$140,$CQ$205^A106,IF(A106='Données projet'!$A$140,'Données projet'!$B$140,CT105+CS106-DB105)))</f>
        <v>337.80000000000013</v>
      </c>
      <c r="CU106" s="17">
        <f>CT106*VLOOKUP('Données projet'!$B$13,Paramètres!$A$1:$I$89,3,0)*VLOOKUP('Données projet'!$B$13,Paramètres!$A$1:$I$89,5,0)</f>
        <v>289.83240000000012</v>
      </c>
      <c r="CV106" s="13">
        <f t="shared" si="95"/>
        <v>69.040685521472909</v>
      </c>
      <c r="CW106" s="20">
        <f t="shared" si="67"/>
        <v>625.03729061656554</v>
      </c>
      <c r="CX106" s="59">
        <f t="shared" si="68"/>
        <v>918.3706239498988</v>
      </c>
      <c r="CY106" s="59">
        <f ca="1">AVERAGE(OFFSET($CX$3,0,0,'Données projet'!$E$13+1,1))-AVERAGE(OFFSET($H$3,0,0,'Données projet'!$E$13+1,1))</f>
        <v>310.4018929413723</v>
      </c>
      <c r="CZ106" s="59">
        <f t="shared" si="96"/>
        <v>127.5231137583819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0.77788884501274091</v>
      </c>
      <c r="DH106" s="21">
        <f>EXP(-LN(2)/2)*DH105+(1-EXP(-LN(2)/2))/(LN(2)/2)*DB106*DE106*VLOOKUP('Données projet'!$B$13,Paramètres!$A$1:$I$89,3,0)*0.475*44/12</f>
        <v>9.1890680207267225E-11</v>
      </c>
      <c r="DI106" s="22">
        <f t="shared" si="69"/>
        <v>0.77788884510463163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>
        <f>DO106*VLOOKUP('Données projet'!$B$14,Paramètres!$A$1:$I$89,3,0)*VLOOKUP('Données projet'!$B$14,Paramètres!$A$1:$I$89,5,0)</f>
        <v>-3.7509835237869992E-13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234.09142087023463</v>
      </c>
      <c r="DU106" s="59">
        <f t="shared" si="98"/>
        <v>278.990685815294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0.5747427476860586</v>
      </c>
      <c r="EB106" s="21">
        <f>EXP(-LN(2)/25)*EB105+(1-EXP(-LN(2)/25))/(LN(2)/25)*Calculateur!DW106*Calculateur!DY106*VLOOKUP('Données projet'!$B$14,Paramètres!$A$1:$I$89,3,0)*0.475*44/12</f>
        <v>2.027130129767682</v>
      </c>
      <c r="EC106" s="21">
        <f>EXP(-LN(2)/2)*EC105+(1-EXP(-LN(2)/2))/(LN(2)/2)*DW106*DZ106*VLOOKUP('Données projet'!$B$14,Paramètres!$A$1:$I$89,3,0)*0.475*44/12</f>
        <v>2.2795538519148531E-10</v>
      </c>
      <c r="ED106" s="22">
        <f t="shared" si="72"/>
        <v>2.601872877681696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210.04871822652808</v>
      </c>
      <c r="AO107" s="59">
        <f t="shared" si="90"/>
        <v>250.17540614049324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1.6862350483110182</v>
      </c>
      <c r="AV107" s="21">
        <f>EXP(-LN(2)/25)*AV106+(1-EXP(-LN(2)/25))/(LN(2)/25)*Calculateur!AQ107*Calculateur!AS107*VLOOKUP('Données projet'!$B$10,Paramètres!$A$1:$I$89,3,0)*0.475*44/12</f>
        <v>3.5766426801971321</v>
      </c>
      <c r="AW107" s="21">
        <f>EXP(-LN(2)/2)*AW106+(1-EXP(-LN(2)/2))/(LN(2)/2)*AQ107*AT107*VLOOKUP('Données projet'!$B$10,Paramètres!$A$1:$I$89,3,0)*0.475*44/12</f>
        <v>1.568251808737965E-10</v>
      </c>
      <c r="AX107" s="21">
        <f t="shared" si="60"/>
        <v>5.2628777286649751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553.99999999999955</v>
      </c>
      <c r="BE107" s="13">
        <f>BD107*VLOOKUP('Données projet'!$B$11,Paramètres!$A$1:$I$89,3,0)*VLOOKUP('Données projet'!$B$11,Paramètres!$A$1:$I$89,5,0)</f>
        <v>331.29199999999975</v>
      </c>
      <c r="BF107" s="13">
        <f t="shared" si="91"/>
        <v>77.698110787752</v>
      </c>
      <c r="BG107" s="20">
        <f t="shared" si="61"/>
        <v>712.32444295533423</v>
      </c>
      <c r="BH107" s="59">
        <f t="shared" si="62"/>
        <v>1005.6577762886675</v>
      </c>
      <c r="BI107" s="59">
        <f ca="1">AVERAGE(OFFSET($BH$3,0,0,'Données projet'!$E$11+1,1))-AVERAGE(OFFSET($H$3,0,0,'Données projet'!$E$11+1,1))</f>
        <v>316.58509520829671</v>
      </c>
      <c r="BJ107" s="59">
        <f t="shared" si="92"/>
        <v>240.71332110643596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0.58537879121851533</v>
      </c>
      <c r="BQ107" s="21">
        <f>EXP(-LN(2)/25)*BQ106+(1-EXP(-LN(2)/25))/(LN(2)/25)*Calculateur!BL107*Calculateur!BN107*VLOOKUP('Données projet'!$B$11,Paramètres!$A$1:$I$89,3,0)*0.475*44/12</f>
        <v>1.9621458207269866</v>
      </c>
      <c r="BR107" s="21">
        <f>EXP(-LN(2)/2)*BR106+(1-EXP(-LN(2)/2))/(LN(2)/2)*BL107*BO107*VLOOKUP('Données projet'!$B$11,Paramètres!$A$1:$I$89,3,0)*0.475*44/12</f>
        <v>1.5962973026137417E-10</v>
      </c>
      <c r="BS107" s="22">
        <f t="shared" si="63"/>
        <v>2.5475246121051316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-5.1159076974727213E-13</v>
      </c>
      <c r="BZ107" s="13">
        <f>BY107*VLOOKUP('Données projet'!$B$12,Paramètres!$A$1:$I$89,3,0)*VLOOKUP('Données projet'!$B$12,Paramètres!$A$1:$I$89,5,0)</f>
        <v>-4.0702161641092972E-13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260.20517190557814</v>
      </c>
      <c r="CE107" s="59">
        <f t="shared" si="94"/>
        <v>307.22009971147133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0.75361992982551029</v>
      </c>
      <c r="CL107" s="21">
        <f>EXP(-LN(2)/25)*CL106+(1-EXP(-LN(2)/25))/(LN(2)/25)*Calculateur!CG107*Calculateur!CI107*VLOOKUP('Données projet'!$B$12,Paramètres!$A$1:$I$89,3,0)*0.475*44/12</f>
        <v>2.6370609098566615</v>
      </c>
      <c r="CM107" s="21">
        <f>EXP(-LN(2)/2)*CM106+(1-EXP(-LN(2)/2))/(LN(2)/2)*CG107*CJ107*VLOOKUP('Données projet'!$B$12,Paramètres!$A$1:$I$89,3,0)*0.475*44/12</f>
        <v>1.7490699430896556E-10</v>
      </c>
      <c r="CN107" s="22">
        <f t="shared" si="66"/>
        <v>3.3906808398570791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7.6</v>
      </c>
      <c r="CT107" s="12">
        <f>IF('Données projet'!$A$140&gt;35,CT106+CS107-DB106,IF(A107&lt;'Données projet'!$A$140,$CQ$205^A107,IF(A107='Données projet'!$A$140,'Données projet'!$B$140,CT106+CS107-DB106)))</f>
        <v>345.40000000000015</v>
      </c>
      <c r="CU107" s="17">
        <f>CT107*VLOOKUP('Données projet'!$B$13,Paramètres!$A$1:$I$89,3,0)*VLOOKUP('Données projet'!$B$13,Paramètres!$A$1:$I$89,5,0)</f>
        <v>296.35320000000013</v>
      </c>
      <c r="CV107" s="13">
        <f t="shared" si="95"/>
        <v>70.411410783502902</v>
      </c>
      <c r="CW107" s="20">
        <f t="shared" si="67"/>
        <v>638.78169711460112</v>
      </c>
      <c r="CX107" s="59">
        <f t="shared" si="68"/>
        <v>932.11503044793449</v>
      </c>
      <c r="CY107" s="59">
        <f ca="1">AVERAGE(OFFSET($CX$3,0,0,'Données projet'!$E$13+1,1))-AVERAGE(OFFSET($H$3,0,0,'Données projet'!$E$13+1,1))</f>
        <v>310.4018929413723</v>
      </c>
      <c r="CZ107" s="59">
        <f t="shared" si="96"/>
        <v>127.5231137583819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0.756617433638471</v>
      </c>
      <c r="DH107" s="21">
        <f>EXP(-LN(2)/2)*DH106+(1-EXP(-LN(2)/2))/(LN(2)/2)*DB107*DE107*VLOOKUP('Données projet'!$B$13,Paramètres!$A$1:$I$89,3,0)*0.475*44/12</f>
        <v>6.4976523102403119E-11</v>
      </c>
      <c r="DI107" s="22">
        <f t="shared" si="69"/>
        <v>0.75661743370344747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>
        <f>DO107*VLOOKUP('Données projet'!$B$14,Paramètres!$A$1:$I$89,3,0)*VLOOKUP('Données projet'!$B$14,Paramètres!$A$1:$I$89,5,0)</f>
        <v>-3.7509835237869992E-13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234.09142087023463</v>
      </c>
      <c r="DU107" s="59">
        <f t="shared" si="98"/>
        <v>278.990685815294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0.56347239296239626</v>
      </c>
      <c r="EB107" s="21">
        <f>EXP(-LN(2)/25)*EB106+(1-EXP(-LN(2)/25))/(LN(2)/25)*Calculateur!DW107*Calculateur!DY107*VLOOKUP('Données projet'!$B$14,Paramètres!$A$1:$I$89,3,0)*0.475*44/12</f>
        <v>1.9716981497670443</v>
      </c>
      <c r="EC107" s="21">
        <f>EXP(-LN(2)/2)*EC106+(1-EXP(-LN(2)/2))/(LN(2)/2)*DW107*DZ107*VLOOKUP('Données projet'!$B$14,Paramètres!$A$1:$I$89,3,0)*0.475*44/12</f>
        <v>1.6118879867689077E-10</v>
      </c>
      <c r="ED107" s="22">
        <f t="shared" si="72"/>
        <v>2.5351705428906293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210.04871822652808</v>
      </c>
      <c r="AO108" s="59">
        <f t="shared" si="90"/>
        <v>250.17540614049324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1.6531690075154626</v>
      </c>
      <c r="AV108" s="21">
        <f>EXP(-LN(2)/25)*AV107+(1-EXP(-LN(2)/25))/(LN(2)/25)*Calculateur!AQ108*Calculateur!AS108*VLOOKUP('Données projet'!$B$10,Paramètres!$A$1:$I$89,3,0)*0.475*44/12</f>
        <v>3.4788391980196773</v>
      </c>
      <c r="AW108" s="21">
        <f>EXP(-LN(2)/2)*AW107+(1-EXP(-LN(2)/2))/(LN(2)/2)*AQ108*AT108*VLOOKUP('Données projet'!$B$10,Paramètres!$A$1:$I$89,3,0)*0.475*44/12</f>
        <v>1.1089214885666836E-10</v>
      </c>
      <c r="AX108" s="21">
        <f t="shared" si="60"/>
        <v>5.1320082056460317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553.99999999999955</v>
      </c>
      <c r="BE108" s="13">
        <f>BD108*VLOOKUP('Données projet'!$B$11,Paramètres!$A$1:$I$89,3,0)*VLOOKUP('Données projet'!$B$11,Paramètres!$A$1:$I$89,5,0)</f>
        <v>331.29199999999975</v>
      </c>
      <c r="BF108" s="13">
        <f t="shared" si="91"/>
        <v>77.698110787752</v>
      </c>
      <c r="BG108" s="20">
        <f t="shared" si="61"/>
        <v>712.32444295533423</v>
      </c>
      <c r="BH108" s="59">
        <f t="shared" si="62"/>
        <v>1005.6577762886675</v>
      </c>
      <c r="BI108" s="59">
        <f ca="1">AVERAGE(OFFSET($BH$3,0,0,'Données projet'!$E$11+1,1))-AVERAGE(OFFSET($H$3,0,0,'Données projet'!$E$11+1,1))</f>
        <v>316.58509520829671</v>
      </c>
      <c r="BJ108" s="59">
        <f t="shared" si="92"/>
        <v>240.71332110643596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0.5738998701685275</v>
      </c>
      <c r="BQ108" s="21">
        <f>EXP(-LN(2)/25)*BQ107+(1-EXP(-LN(2)/25))/(LN(2)/25)*Calculateur!BL108*Calculateur!BN108*VLOOKUP('Données projet'!$B$11,Paramètres!$A$1:$I$89,3,0)*0.475*44/12</f>
        <v>1.9084908400744429</v>
      </c>
      <c r="BR108" s="21">
        <f>EXP(-LN(2)/2)*BR107+(1-EXP(-LN(2)/2))/(LN(2)/2)*BL108*BO108*VLOOKUP('Données projet'!$B$11,Paramètres!$A$1:$I$89,3,0)*0.475*44/12</f>
        <v>1.1287526474679711E-10</v>
      </c>
      <c r="BS108" s="22">
        <f t="shared" si="63"/>
        <v>2.4823907103558458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-5.1159076974727213E-13</v>
      </c>
      <c r="BZ108" s="13">
        <f>BY108*VLOOKUP('Données projet'!$B$12,Paramètres!$A$1:$I$89,3,0)*VLOOKUP('Données projet'!$B$12,Paramètres!$A$1:$I$89,5,0)</f>
        <v>-4.0702161641092972E-13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260.20517190557814</v>
      </c>
      <c r="CE108" s="59">
        <f t="shared" si="94"/>
        <v>307.22009971147133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0.73884190266440131</v>
      </c>
      <c r="CL108" s="21">
        <f>EXP(-LN(2)/25)*CL107+(1-EXP(-LN(2)/25))/(LN(2)/25)*Calculateur!CG108*Calculateur!CI108*VLOOKUP('Données projet'!$B$12,Paramètres!$A$1:$I$89,3,0)*0.475*44/12</f>
        <v>2.564950340599625</v>
      </c>
      <c r="CM108" s="21">
        <f>EXP(-LN(2)/2)*CM107+(1-EXP(-LN(2)/2))/(LN(2)/2)*CG108*CJ108*VLOOKUP('Données projet'!$B$12,Paramètres!$A$1:$I$89,3,0)*0.475*44/12</f>
        <v>1.2367792175282642E-10</v>
      </c>
      <c r="CN108" s="22">
        <f t="shared" si="66"/>
        <v>3.3037922433877043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7.6</v>
      </c>
      <c r="CT108" s="12">
        <f>IF('Données projet'!$A$140&gt;35,CT107+CS108-DB107,IF(A108&lt;'Données projet'!$A$140,$CQ$205^A108,IF(A108='Données projet'!$A$140,'Données projet'!$B$140,CT107+CS108-DB107)))</f>
        <v>353.00000000000017</v>
      </c>
      <c r="CU108" s="17">
        <f>CT108*VLOOKUP('Données projet'!$B$13,Paramètres!$A$1:$I$89,3,0)*VLOOKUP('Données projet'!$B$13,Paramètres!$A$1:$I$89,5,0)</f>
        <v>302.87400000000019</v>
      </c>
      <c r="CV108" s="13">
        <f t="shared" si="95"/>
        <v>71.778629530876074</v>
      </c>
      <c r="CW108" s="20">
        <f t="shared" si="67"/>
        <v>652.51999643294278</v>
      </c>
      <c r="CX108" s="59">
        <f t="shared" si="68"/>
        <v>945.85332976627615</v>
      </c>
      <c r="CY108" s="59">
        <f ca="1">AVERAGE(OFFSET($CX$3,0,0,'Données projet'!$E$13+1,1))-AVERAGE(OFFSET($H$3,0,0,'Données projet'!$E$13+1,1))</f>
        <v>310.4018929413723</v>
      </c>
      <c r="CZ108" s="59">
        <f t="shared" si="96"/>
        <v>127.5231137583819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0.73592769012684545</v>
      </c>
      <c r="DH108" s="21">
        <f>EXP(-LN(2)/2)*DH107+(1-EXP(-LN(2)/2))/(LN(2)/2)*DB108*DE108*VLOOKUP('Données projet'!$B$13,Paramètres!$A$1:$I$89,3,0)*0.475*44/12</f>
        <v>4.5945340103633612E-11</v>
      </c>
      <c r="DI108" s="22">
        <f t="shared" si="69"/>
        <v>0.7359276901727908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>
        <f>DO108*VLOOKUP('Données projet'!$B$14,Paramètres!$A$1:$I$89,3,0)*VLOOKUP('Données projet'!$B$14,Paramètres!$A$1:$I$89,5,0)</f>
        <v>-3.7509835237869992E-13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234.09142087023463</v>
      </c>
      <c r="DU108" s="59">
        <f t="shared" si="98"/>
        <v>278.990685815294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0.55242304302062739</v>
      </c>
      <c r="EB108" s="21">
        <f>EXP(-LN(2)/25)*EB107+(1-EXP(-LN(2)/25))/(LN(2)/25)*Calculateur!DW108*Calculateur!DY108*VLOOKUP('Données projet'!$B$14,Paramètres!$A$1:$I$89,3,0)*0.475*44/12</f>
        <v>1.9177819601745651</v>
      </c>
      <c r="EC108" s="21">
        <f>EXP(-LN(2)/2)*EC107+(1-EXP(-LN(2)/2))/(LN(2)/2)*DW108*DZ108*VLOOKUP('Données projet'!$B$14,Paramètres!$A$1:$I$89,3,0)*0.475*44/12</f>
        <v>1.1397769259574267E-10</v>
      </c>
      <c r="ED108" s="22">
        <f t="shared" si="72"/>
        <v>2.4702050033091703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210.04871822652808</v>
      </c>
      <c r="AO109" s="59">
        <f t="shared" si="90"/>
        <v>250.17540614049324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1.6207513716116142</v>
      </c>
      <c r="AV109" s="21">
        <f>EXP(-LN(2)/25)*AV108+(1-EXP(-LN(2)/25))/(LN(2)/25)*Calculateur!AQ109*Calculateur!AS109*VLOOKUP('Données projet'!$B$10,Paramètres!$A$1:$I$89,3,0)*0.475*44/12</f>
        <v>3.383710157205627</v>
      </c>
      <c r="AW109" s="21">
        <f>EXP(-LN(2)/2)*AW108+(1-EXP(-LN(2)/2))/(LN(2)/2)*AQ109*AT109*VLOOKUP('Données projet'!$B$10,Paramètres!$A$1:$I$89,3,0)*0.475*44/12</f>
        <v>7.8412590436898252E-11</v>
      </c>
      <c r="AX109" s="21">
        <f t="shared" si="60"/>
        <v>5.0044615288956544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553.99999999999955</v>
      </c>
      <c r="BE109" s="13">
        <f>BD109*VLOOKUP('Données projet'!$B$11,Paramètres!$A$1:$I$89,3,0)*VLOOKUP('Données projet'!$B$11,Paramètres!$A$1:$I$89,5,0)</f>
        <v>331.29199999999975</v>
      </c>
      <c r="BF109" s="13">
        <f t="shared" si="91"/>
        <v>77.698110787752</v>
      </c>
      <c r="BG109" s="20">
        <f t="shared" si="61"/>
        <v>712.32444295533423</v>
      </c>
      <c r="BH109" s="59">
        <f t="shared" si="62"/>
        <v>1005.6577762886675</v>
      </c>
      <c r="BI109" s="59">
        <f ca="1">AVERAGE(OFFSET($BH$3,0,0,'Données projet'!$E$11+1,1))-AVERAGE(OFFSET($H$3,0,0,'Données projet'!$E$11+1,1))</f>
        <v>316.58509520829671</v>
      </c>
      <c r="BJ109" s="59">
        <f t="shared" si="92"/>
        <v>240.71332110643596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0.5626460437588795</v>
      </c>
      <c r="BQ109" s="21">
        <f>EXP(-LN(2)/25)*BQ108+(1-EXP(-LN(2)/25))/(LN(2)/25)*Calculateur!BL109*Calculateur!BN109*VLOOKUP('Données projet'!$B$11,Paramètres!$A$1:$I$89,3,0)*0.475*44/12</f>
        <v>1.8563030576894359</v>
      </c>
      <c r="BR109" s="21">
        <f>EXP(-LN(2)/2)*BR108+(1-EXP(-LN(2)/2))/(LN(2)/2)*BL109*BO109*VLOOKUP('Données projet'!$B$11,Paramètres!$A$1:$I$89,3,0)*0.475*44/12</f>
        <v>7.9814865130687096E-11</v>
      </c>
      <c r="BS109" s="22">
        <f t="shared" si="63"/>
        <v>2.4189491015281304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-5.1159076974727213E-13</v>
      </c>
      <c r="BZ109" s="13">
        <f>BY109*VLOOKUP('Données projet'!$B$12,Paramètres!$A$1:$I$89,3,0)*VLOOKUP('Données projet'!$B$12,Paramètres!$A$1:$I$89,5,0)</f>
        <v>-4.0702161641092972E-13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260.20517190557814</v>
      </c>
      <c r="CE109" s="59">
        <f t="shared" si="94"/>
        <v>307.22009971147133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0.72435366360221509</v>
      </c>
      <c r="CL109" s="21">
        <f>EXP(-LN(2)/25)*CL108+(1-EXP(-LN(2)/25))/(LN(2)/25)*Calculateur!CG109*Calculateur!CI109*VLOOKUP('Données projet'!$B$12,Paramètres!$A$1:$I$89,3,0)*0.475*44/12</f>
        <v>2.4948116386510519</v>
      </c>
      <c r="CM109" s="21">
        <f>EXP(-LN(2)/2)*CM108+(1-EXP(-LN(2)/2))/(LN(2)/2)*CG109*CJ109*VLOOKUP('Données projet'!$B$12,Paramètres!$A$1:$I$89,3,0)*0.475*44/12</f>
        <v>8.7453497154482779E-11</v>
      </c>
      <c r="CN109" s="22">
        <f t="shared" si="66"/>
        <v>3.2191653023407207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7.6</v>
      </c>
      <c r="CT109" s="12">
        <f>IF('Données projet'!$A$140&gt;35,CT108+CS109-DB108,IF(A109&lt;'Données projet'!$A$140,$CQ$205^A109,IF(A109='Données projet'!$A$140,'Données projet'!$B$140,CT108+CS109-DB108)))</f>
        <v>360.60000000000019</v>
      </c>
      <c r="CU109" s="17">
        <f>CT109*VLOOKUP('Données projet'!$B$13,Paramètres!$A$1:$I$89,3,0)*VLOOKUP('Données projet'!$B$13,Paramètres!$A$1:$I$89,5,0)</f>
        <v>309.3948000000002</v>
      </c>
      <c r="CV109" s="13">
        <f t="shared" si="95"/>
        <v>73.142425953119783</v>
      </c>
      <c r="CW109" s="20">
        <f t="shared" si="67"/>
        <v>666.25233520168399</v>
      </c>
      <c r="CX109" s="59">
        <f t="shared" si="68"/>
        <v>959.58566853501725</v>
      </c>
      <c r="CY109" s="59">
        <f ca="1">AVERAGE(OFFSET($CX$3,0,0,'Données projet'!$E$13+1,1))-AVERAGE(OFFSET($H$3,0,0,'Données projet'!$E$13+1,1))</f>
        <v>310.4018929413723</v>
      </c>
      <c r="CZ109" s="59">
        <f t="shared" si="96"/>
        <v>127.5231137583819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0.71580370873957166</v>
      </c>
      <c r="DH109" s="21">
        <f>EXP(-LN(2)/2)*DH108+(1-EXP(-LN(2)/2))/(LN(2)/2)*DB109*DE109*VLOOKUP('Données projet'!$B$13,Paramètres!$A$1:$I$89,3,0)*0.475*44/12</f>
        <v>3.2488261551201559E-11</v>
      </c>
      <c r="DI109" s="22">
        <f t="shared" si="69"/>
        <v>0.7158037087720599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>
        <f>DO109*VLOOKUP('Données projet'!$B$14,Paramètres!$A$1:$I$89,3,0)*VLOOKUP('Données projet'!$B$14,Paramètres!$A$1:$I$89,5,0)</f>
        <v>-3.7509835237869992E-13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234.09142087023463</v>
      </c>
      <c r="DU109" s="59">
        <f t="shared" si="98"/>
        <v>278.990685815294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0.54159036409177863</v>
      </c>
      <c r="EB109" s="21">
        <f>EXP(-LN(2)/25)*EB108+(1-EXP(-LN(2)/25))/(LN(2)/25)*Calculateur!DW109*Calculateur!DY109*VLOOKUP('Données projet'!$B$14,Paramètres!$A$1:$I$89,3,0)*0.475*44/12</f>
        <v>1.8653401116218216</v>
      </c>
      <c r="EC109" s="21">
        <f>EXP(-LN(2)/2)*EC108+(1-EXP(-LN(2)/2))/(LN(2)/2)*DW109*DZ109*VLOOKUP('Données projet'!$B$14,Paramètres!$A$1:$I$89,3,0)*0.475*44/12</f>
        <v>8.0594399338445396E-11</v>
      </c>
      <c r="ED109" s="22">
        <f t="shared" si="72"/>
        <v>2.4069304757941943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210.04871822652808</v>
      </c>
      <c r="AO110" s="59">
        <f t="shared" si="90"/>
        <v>250.17540614049324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1.5889694257750349</v>
      </c>
      <c r="AV110" s="21">
        <f>EXP(-LN(2)/25)*AV109+(1-EXP(-LN(2)/25))/(LN(2)/25)*Calculateur!AQ110*Calculateur!AS110*VLOOKUP('Données projet'!$B$10,Paramètres!$A$1:$I$89,3,0)*0.475*44/12</f>
        <v>3.2911824250152555</v>
      </c>
      <c r="AW110" s="21">
        <f>EXP(-LN(2)/2)*AW109+(1-EXP(-LN(2)/2))/(LN(2)/2)*AQ110*AT110*VLOOKUP('Données projet'!$B$10,Paramètres!$A$1:$I$89,3,0)*0.475*44/12</f>
        <v>5.5446074428334182E-11</v>
      </c>
      <c r="AX110" s="21">
        <f t="shared" si="60"/>
        <v>4.8801518508457367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553.99999999999955</v>
      </c>
      <c r="BE110" s="13">
        <f>BD110*VLOOKUP('Données projet'!$B$11,Paramètres!$A$1:$I$89,3,0)*VLOOKUP('Données projet'!$B$11,Paramètres!$A$1:$I$89,5,0)</f>
        <v>331.29199999999975</v>
      </c>
      <c r="BF110" s="13">
        <f t="shared" si="91"/>
        <v>77.698110787752</v>
      </c>
      <c r="BG110" s="20">
        <f t="shared" si="61"/>
        <v>712.32444295533423</v>
      </c>
      <c r="BH110" s="59">
        <f t="shared" si="62"/>
        <v>1005.6577762886675</v>
      </c>
      <c r="BI110" s="59">
        <f ca="1">AVERAGE(OFFSET($BH$3,0,0,'Données projet'!$E$11+1,1))-AVERAGE(OFFSET($H$3,0,0,'Données projet'!$E$11+1,1))</f>
        <v>316.58509520829671</v>
      </c>
      <c r="BJ110" s="59">
        <f t="shared" si="92"/>
        <v>240.71332110643596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0.55161289802096836</v>
      </c>
      <c r="BQ110" s="21">
        <f>EXP(-LN(2)/25)*BQ109+(1-EXP(-LN(2)/25))/(LN(2)/25)*Calculateur!BL110*Calculateur!BN110*VLOOKUP('Données projet'!$B$11,Paramètres!$A$1:$I$89,3,0)*0.475*44/12</f>
        <v>1.8055423529581831</v>
      </c>
      <c r="BR110" s="21">
        <f>EXP(-LN(2)/2)*BR109+(1-EXP(-LN(2)/2))/(LN(2)/2)*BL110*BO110*VLOOKUP('Données projet'!$B$11,Paramètres!$A$1:$I$89,3,0)*0.475*44/12</f>
        <v>5.6437632373398567E-11</v>
      </c>
      <c r="BS110" s="22">
        <f t="shared" si="63"/>
        <v>2.3571552510355889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-5.1159076974727213E-13</v>
      </c>
      <c r="BZ110" s="13">
        <f>BY110*VLOOKUP('Données projet'!$B$12,Paramètres!$A$1:$I$89,3,0)*VLOOKUP('Données projet'!$B$12,Paramètres!$A$1:$I$89,5,0)</f>
        <v>-4.0702161641092972E-13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260.20517190557814</v>
      </c>
      <c r="CE110" s="59">
        <f t="shared" si="94"/>
        <v>307.22009971147133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0.71014953007108517</v>
      </c>
      <c r="CL110" s="21">
        <f>EXP(-LN(2)/25)*CL109+(1-EXP(-LN(2)/25))/(LN(2)/25)*Calculateur!CG110*Calculateur!CI110*VLOOKUP('Données projet'!$B$12,Paramètres!$A$1:$I$89,3,0)*0.475*44/12</f>
        <v>2.4265908831956966</v>
      </c>
      <c r="CM110" s="21">
        <f>EXP(-LN(2)/2)*CM109+(1-EXP(-LN(2)/2))/(LN(2)/2)*CG110*CJ110*VLOOKUP('Données projet'!$B$12,Paramètres!$A$1:$I$89,3,0)*0.475*44/12</f>
        <v>6.1838960876413211E-11</v>
      </c>
      <c r="CN110" s="22">
        <f t="shared" si="66"/>
        <v>3.1367404133286207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7.6</v>
      </c>
      <c r="CT110" s="12">
        <f>IF('Données projet'!$A$140&gt;35,CT109+CS110-DB109,IF(A110&lt;'Données projet'!$A$140,$CQ$205^A110,IF(A110='Données projet'!$A$140,'Données projet'!$B$140,CT109+CS110-DB109)))</f>
        <v>368.20000000000022</v>
      </c>
      <c r="CU110" s="17">
        <f>CT110*VLOOKUP('Données projet'!$B$13,Paramètres!$A$1:$I$89,3,0)*VLOOKUP('Données projet'!$B$13,Paramètres!$A$1:$I$89,5,0)</f>
        <v>315.91560000000021</v>
      </c>
      <c r="CV110" s="13">
        <f t="shared" si="95"/>
        <v>74.502880488238247</v>
      </c>
      <c r="CW110" s="20">
        <f t="shared" si="67"/>
        <v>679.97885351701518</v>
      </c>
      <c r="CX110" s="59">
        <f t="shared" si="68"/>
        <v>973.31218685034855</v>
      </c>
      <c r="CY110" s="59">
        <f ca="1">AVERAGE(OFFSET($CX$3,0,0,'Données projet'!$E$13+1,1))-AVERAGE(OFFSET($H$3,0,0,'Données projet'!$E$13+1,1))</f>
        <v>310.4018929413723</v>
      </c>
      <c r="CZ110" s="59">
        <f t="shared" si="96"/>
        <v>127.5231137583819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0.69623001868160705</v>
      </c>
      <c r="DH110" s="21">
        <f>EXP(-LN(2)/2)*DH109+(1-EXP(-LN(2)/2))/(LN(2)/2)*DB110*DE110*VLOOKUP('Données projet'!$B$13,Paramètres!$A$1:$I$89,3,0)*0.475*44/12</f>
        <v>2.2972670051816806E-11</v>
      </c>
      <c r="DI110" s="22">
        <f t="shared" si="69"/>
        <v>0.69623001870457968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>
        <f>DO110*VLOOKUP('Données projet'!$B$14,Paramètres!$A$1:$I$89,3,0)*VLOOKUP('Données projet'!$B$14,Paramètres!$A$1:$I$89,5,0)</f>
        <v>-3.7509835237869992E-13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234.09142087023463</v>
      </c>
      <c r="DU110" s="59">
        <f t="shared" si="98"/>
        <v>278.990685815294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0.53097010738944284</v>
      </c>
      <c r="EB110" s="21">
        <f>EXP(-LN(2)/25)*EB109+(1-EXP(-LN(2)/25))/(LN(2)/25)*Calculateur!DW110*Calculateur!DY110*VLOOKUP('Données projet'!$B$14,Paramètres!$A$1:$I$89,3,0)*0.475*44/12</f>
        <v>1.8143322881755497</v>
      </c>
      <c r="EC110" s="21">
        <f>EXP(-LN(2)/2)*EC109+(1-EXP(-LN(2)/2))/(LN(2)/2)*DW110*DZ110*VLOOKUP('Données projet'!$B$14,Paramètres!$A$1:$I$89,3,0)*0.475*44/12</f>
        <v>5.6988846297871346E-11</v>
      </c>
      <c r="ED110" s="22">
        <f t="shared" si="72"/>
        <v>2.3453023956219812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210.04871822652808</v>
      </c>
      <c r="AO111" s="59">
        <f t="shared" si="90"/>
        <v>250.17540614049324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1.5578107045112379</v>
      </c>
      <c r="AV111" s="21">
        <f>EXP(-LN(2)/25)*AV110+(1-EXP(-LN(2)/25))/(LN(2)/25)*Calculateur!AQ111*Calculateur!AS111*VLOOKUP('Données projet'!$B$10,Paramètres!$A$1:$I$89,3,0)*0.475*44/12</f>
        <v>3.2011848685274518</v>
      </c>
      <c r="AW111" s="21">
        <f>EXP(-LN(2)/2)*AW110+(1-EXP(-LN(2)/2))/(LN(2)/2)*AQ111*AT111*VLOOKUP('Données projet'!$B$10,Paramètres!$A$1:$I$89,3,0)*0.475*44/12</f>
        <v>3.9206295218449126E-11</v>
      </c>
      <c r="AX111" s="21">
        <f t="shared" si="60"/>
        <v>4.7589955730778959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553.99999999999955</v>
      </c>
      <c r="BE111" s="13">
        <f>BD111*VLOOKUP('Données projet'!$B$11,Paramètres!$A$1:$I$89,3,0)*VLOOKUP('Données projet'!$B$11,Paramètres!$A$1:$I$89,5,0)</f>
        <v>331.29199999999975</v>
      </c>
      <c r="BF111" s="13">
        <f t="shared" si="91"/>
        <v>77.698110787752</v>
      </c>
      <c r="BG111" s="20">
        <f t="shared" si="61"/>
        <v>712.32444295533423</v>
      </c>
      <c r="BH111" s="59">
        <f t="shared" si="62"/>
        <v>1005.6577762886675</v>
      </c>
      <c r="BI111" s="59">
        <f ca="1">AVERAGE(OFFSET($BH$3,0,0,'Données projet'!$E$11+1,1))-AVERAGE(OFFSET($H$3,0,0,'Données projet'!$E$11+1,1))</f>
        <v>316.58509520829671</v>
      </c>
      <c r="BJ111" s="59">
        <f t="shared" si="92"/>
        <v>240.71332110643596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0.54079610554142321</v>
      </c>
      <c r="BQ111" s="21">
        <f>EXP(-LN(2)/25)*BQ110+(1-EXP(-LN(2)/25))/(LN(2)/25)*Calculateur!BL111*Calculateur!BN111*VLOOKUP('Données projet'!$B$11,Paramètres!$A$1:$I$89,3,0)*0.475*44/12</f>
        <v>1.7561697023671958</v>
      </c>
      <c r="BR111" s="21">
        <f>EXP(-LN(2)/2)*BR110+(1-EXP(-LN(2)/2))/(LN(2)/2)*BL111*BO111*VLOOKUP('Données projet'!$B$11,Paramètres!$A$1:$I$89,3,0)*0.475*44/12</f>
        <v>3.9907432565343555E-11</v>
      </c>
      <c r="BS111" s="22">
        <f t="shared" si="63"/>
        <v>2.2969658079485269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-5.1159076974727213E-13</v>
      </c>
      <c r="BZ111" s="13">
        <f>BY111*VLOOKUP('Données projet'!$B$12,Paramètres!$A$1:$I$89,3,0)*VLOOKUP('Données projet'!$B$12,Paramètres!$A$1:$I$89,5,0)</f>
        <v>-4.0702161641092972E-13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260.20517190557814</v>
      </c>
      <c r="CE111" s="59">
        <f t="shared" si="94"/>
        <v>307.22009971147133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0.6962239309348347</v>
      </c>
      <c r="CL111" s="21">
        <f>EXP(-LN(2)/25)*CL110+(1-EXP(-LN(2)/25))/(LN(2)/25)*Calculateur!CG111*Calculateur!CI111*VLOOKUP('Données projet'!$B$12,Paramètres!$A$1:$I$89,3,0)*0.475*44/12</f>
        <v>2.3602356278858418</v>
      </c>
      <c r="CM111" s="21">
        <f>EXP(-LN(2)/2)*CM110+(1-EXP(-LN(2)/2))/(LN(2)/2)*CG111*CJ111*VLOOKUP('Données projet'!$B$12,Paramètres!$A$1:$I$89,3,0)*0.475*44/12</f>
        <v>4.372674857724139E-11</v>
      </c>
      <c r="CN111" s="22">
        <f t="shared" si="66"/>
        <v>3.0564595588644035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7.6</v>
      </c>
      <c r="CT111" s="12">
        <f>IF('Données projet'!$A$140&gt;35,CT110+CS111-DB110,IF(A111&lt;'Données projet'!$A$140,$CQ$205^A111,IF(A111='Données projet'!$A$140,'Données projet'!$B$140,CT110+CS111-DB110)))</f>
        <v>375.80000000000024</v>
      </c>
      <c r="CU111" s="17">
        <f>CT111*VLOOKUP('Données projet'!$B$13,Paramètres!$A$1:$I$89,3,0)*VLOOKUP('Données projet'!$B$13,Paramètres!$A$1:$I$89,5,0)</f>
        <v>322.43640000000022</v>
      </c>
      <c r="CV111" s="13">
        <f t="shared" si="95"/>
        <v>75.860070063809587</v>
      </c>
      <c r="CW111" s="20">
        <f t="shared" si="67"/>
        <v>693.69968536113538</v>
      </c>
      <c r="CX111" s="59">
        <f t="shared" si="68"/>
        <v>987.03301869446864</v>
      </c>
      <c r="CY111" s="59">
        <f ca="1">AVERAGE(OFFSET($CX$3,0,0,'Données projet'!$E$13+1,1))-AVERAGE(OFFSET($H$3,0,0,'Données projet'!$E$13+1,1))</f>
        <v>310.4018929413723</v>
      </c>
      <c r="CZ111" s="59">
        <f t="shared" si="96"/>
        <v>127.5231137583819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0.67719157220761306</v>
      </c>
      <c r="DH111" s="21">
        <f>EXP(-LN(2)/2)*DH110+(1-EXP(-LN(2)/2))/(LN(2)/2)*DB111*DE111*VLOOKUP('Données projet'!$B$13,Paramètres!$A$1:$I$89,3,0)*0.475*44/12</f>
        <v>1.624413077560078E-11</v>
      </c>
      <c r="DI111" s="22">
        <f t="shared" si="69"/>
        <v>0.67719157222385717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>
        <f>DO111*VLOOKUP('Données projet'!$B$14,Paramètres!$A$1:$I$89,3,0)*VLOOKUP('Données projet'!$B$14,Paramètres!$A$1:$I$89,5,0)</f>
        <v>-3.7509835237869992E-13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234.09142087023463</v>
      </c>
      <c r="DU111" s="59">
        <f t="shared" si="98"/>
        <v>278.990685815294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0.52055810744332287</v>
      </c>
      <c r="EB111" s="21">
        <f>EXP(-LN(2)/25)*EB110+(1-EXP(-LN(2)/25))/(LN(2)/25)*Calculateur!DW111*Calculateur!DY111*VLOOKUP('Données projet'!$B$14,Paramètres!$A$1:$I$89,3,0)*0.475*44/12</f>
        <v>1.7647192763438009</v>
      </c>
      <c r="EC111" s="21">
        <f>EXP(-LN(2)/2)*EC110+(1-EXP(-LN(2)/2))/(LN(2)/2)*DW111*DZ111*VLOOKUP('Données projet'!$B$14,Paramètres!$A$1:$I$89,3,0)*0.475*44/12</f>
        <v>4.0297199669222705E-11</v>
      </c>
      <c r="ED111" s="22">
        <f t="shared" si="72"/>
        <v>2.2852773838274207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210.04871822652808</v>
      </c>
      <c r="AO112" s="59">
        <f t="shared" si="90"/>
        <v>250.17540614049324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1.5272629867664806</v>
      </c>
      <c r="AV112" s="21">
        <f>EXP(-LN(2)/25)*AV111+(1-EXP(-LN(2)/25))/(LN(2)/25)*Calculateur!AQ112*Calculateur!AS112*VLOOKUP('Données projet'!$B$10,Paramètres!$A$1:$I$89,3,0)*0.475*44/12</f>
        <v>3.1136482999545727</v>
      </c>
      <c r="AW112" s="21">
        <f>EXP(-LN(2)/2)*AW111+(1-EXP(-LN(2)/2))/(LN(2)/2)*AQ112*AT112*VLOOKUP('Données projet'!$B$10,Paramètres!$A$1:$I$89,3,0)*0.475*44/12</f>
        <v>2.7723037214167091E-11</v>
      </c>
      <c r="AX112" s="21">
        <f t="shared" si="60"/>
        <v>4.6409112867487758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553.99999999999955</v>
      </c>
      <c r="BE112" s="13">
        <f>BD112*VLOOKUP('Données projet'!$B$11,Paramètres!$A$1:$I$89,3,0)*VLOOKUP('Données projet'!$B$11,Paramètres!$A$1:$I$89,5,0)</f>
        <v>331.29199999999975</v>
      </c>
      <c r="BF112" s="13">
        <f t="shared" si="91"/>
        <v>77.698110787752</v>
      </c>
      <c r="BG112" s="20">
        <f t="shared" si="61"/>
        <v>712.32444295533423</v>
      </c>
      <c r="BH112" s="59">
        <f t="shared" si="62"/>
        <v>1005.6577762886675</v>
      </c>
      <c r="BI112" s="59">
        <f ca="1">AVERAGE(OFFSET($BH$3,0,0,'Données projet'!$E$11+1,1))-AVERAGE(OFFSET($H$3,0,0,'Données projet'!$E$11+1,1))</f>
        <v>316.58509520829671</v>
      </c>
      <c r="BJ112" s="59">
        <f t="shared" si="92"/>
        <v>240.71332110643596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0.53019142376480999</v>
      </c>
      <c r="BQ112" s="21">
        <f>EXP(-LN(2)/25)*BQ111+(1-EXP(-LN(2)/25))/(LN(2)/25)*Calculateur!BL112*Calculateur!BN112*VLOOKUP('Données projet'!$B$11,Paramètres!$A$1:$I$89,3,0)*0.475*44/12</f>
        <v>1.7081471495030141</v>
      </c>
      <c r="BR112" s="21">
        <f>EXP(-LN(2)/2)*BR111+(1-EXP(-LN(2)/2))/(LN(2)/2)*BL112*BO112*VLOOKUP('Données projet'!$B$11,Paramètres!$A$1:$I$89,3,0)*0.475*44/12</f>
        <v>2.8218816186699287E-11</v>
      </c>
      <c r="BS112" s="22">
        <f t="shared" si="63"/>
        <v>2.2383385732960428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-5.1159076974727213E-13</v>
      </c>
      <c r="BZ112" s="13">
        <f>BY112*VLOOKUP('Données projet'!$B$12,Paramètres!$A$1:$I$89,3,0)*VLOOKUP('Données projet'!$B$12,Paramètres!$A$1:$I$89,5,0)</f>
        <v>-4.0702161641092972E-13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260.20517190557814</v>
      </c>
      <c r="CE112" s="59">
        <f t="shared" si="94"/>
        <v>307.22009971147133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0.68257140430386931</v>
      </c>
      <c r="CL112" s="21">
        <f>EXP(-LN(2)/25)*CL111+(1-EXP(-LN(2)/25))/(LN(2)/25)*Calculateur!CG112*Calculateur!CI112*VLOOKUP('Données projet'!$B$12,Paramètres!$A$1:$I$89,3,0)*0.475*44/12</f>
        <v>2.2956948605219063</v>
      </c>
      <c r="CM112" s="21">
        <f>EXP(-LN(2)/2)*CM111+(1-EXP(-LN(2)/2))/(LN(2)/2)*CG112*CJ112*VLOOKUP('Données projet'!$B$12,Paramètres!$A$1:$I$89,3,0)*0.475*44/12</f>
        <v>3.0919480438206605E-11</v>
      </c>
      <c r="CN112" s="22">
        <f t="shared" si="66"/>
        <v>2.9782662648566949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7.6</v>
      </c>
      <c r="CT112" s="12">
        <f>IF('Données projet'!$A$140&gt;35,CT111+CS112-DB111,IF(A112&lt;'Données projet'!$A$140,$CQ$205^A112,IF(A112='Données projet'!$A$140,'Données projet'!$B$140,CT111+CS112-DB111)))</f>
        <v>383.40000000000026</v>
      </c>
      <c r="CU112" s="17">
        <f>CT112*VLOOKUP('Données projet'!$B$13,Paramètres!$A$1:$I$89,3,0)*VLOOKUP('Données projet'!$B$13,Paramètres!$A$1:$I$89,5,0)</f>
        <v>328.95720000000023</v>
      </c>
      <c r="CV112" s="13">
        <f t="shared" si="95"/>
        <v>77.214068318029646</v>
      </c>
      <c r="CW112" s="20">
        <f t="shared" si="67"/>
        <v>707.41495898723531</v>
      </c>
      <c r="CX112" s="59">
        <f t="shared" si="68"/>
        <v>1000.7482923205687</v>
      </c>
      <c r="CY112" s="59">
        <f ca="1">AVERAGE(OFFSET($CX$3,0,0,'Données projet'!$E$13+1,1))-AVERAGE(OFFSET($H$3,0,0,'Données projet'!$E$13+1,1))</f>
        <v>310.4018929413723</v>
      </c>
      <c r="CZ112" s="59">
        <f t="shared" si="96"/>
        <v>127.5231137583819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0.65867373305363885</v>
      </c>
      <c r="DH112" s="21">
        <f>EXP(-LN(2)/2)*DH111+(1-EXP(-LN(2)/2))/(LN(2)/2)*DB112*DE112*VLOOKUP('Données projet'!$B$13,Paramètres!$A$1:$I$89,3,0)*0.475*44/12</f>
        <v>1.1486335025908403E-11</v>
      </c>
      <c r="DI112" s="22">
        <f t="shared" si="69"/>
        <v>0.65867373306512522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>
        <f>DO112*VLOOKUP('Données projet'!$B$14,Paramètres!$A$1:$I$89,3,0)*VLOOKUP('Données projet'!$B$14,Paramètres!$A$1:$I$89,5,0)</f>
        <v>-3.7509835237869992E-13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234.09142087023463</v>
      </c>
      <c r="DU112" s="59">
        <f t="shared" si="98"/>
        <v>278.990685815294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0.51035028046545339</v>
      </c>
      <c r="EB112" s="21">
        <f>EXP(-LN(2)/25)*EB111+(1-EXP(-LN(2)/25))/(LN(2)/25)*Calculateur!DW112*Calculateur!DY112*VLOOKUP('Données projet'!$B$14,Paramètres!$A$1:$I$89,3,0)*0.475*44/12</f>
        <v>1.7164629349296263</v>
      </c>
      <c r="EC112" s="21">
        <f>EXP(-LN(2)/2)*EC111+(1-EXP(-LN(2)/2))/(LN(2)/2)*DW112*DZ112*VLOOKUP('Données projet'!$B$14,Paramètres!$A$1:$I$89,3,0)*0.475*44/12</f>
        <v>2.8494423148935676E-11</v>
      </c>
      <c r="ED112" s="22">
        <f t="shared" si="72"/>
        <v>2.226813215423574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210.04871822652808</v>
      </c>
      <c r="AO113" s="59">
        <f t="shared" si="90"/>
        <v>250.17540614049324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1.4973142911344302</v>
      </c>
      <c r="AV113" s="21">
        <f>EXP(-LN(2)/25)*AV112+(1-EXP(-LN(2)/25))/(LN(2)/25)*Calculateur!AQ113*Calculateur!AS113*VLOOKUP('Données projet'!$B$10,Paramètres!$A$1:$I$89,3,0)*0.475*44/12</f>
        <v>3.0285054234526672</v>
      </c>
      <c r="AW113" s="21">
        <f>EXP(-LN(2)/2)*AW112+(1-EXP(-LN(2)/2))/(LN(2)/2)*AQ113*AT113*VLOOKUP('Données projet'!$B$10,Paramètres!$A$1:$I$89,3,0)*0.475*44/12</f>
        <v>1.9603147609224563E-11</v>
      </c>
      <c r="AX113" s="21">
        <f t="shared" si="60"/>
        <v>4.5258197146067003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553.99999999999955</v>
      </c>
      <c r="BE113" s="13">
        <f>BD113*VLOOKUP('Données projet'!$B$11,Paramètres!$A$1:$I$89,3,0)*VLOOKUP('Données projet'!$B$11,Paramètres!$A$1:$I$89,5,0)</f>
        <v>331.29199999999975</v>
      </c>
      <c r="BF113" s="13">
        <f t="shared" si="91"/>
        <v>77.698110787752</v>
      </c>
      <c r="BG113" s="20">
        <f t="shared" si="61"/>
        <v>712.32444295533423</v>
      </c>
      <c r="BH113" s="59">
        <f t="shared" si="62"/>
        <v>1005.6577762886675</v>
      </c>
      <c r="BI113" s="59">
        <f ca="1">AVERAGE(OFFSET($BH$3,0,0,'Données projet'!$E$11+1,1))-AVERAGE(OFFSET($H$3,0,0,'Données projet'!$E$11+1,1))</f>
        <v>316.58509520829671</v>
      </c>
      <c r="BJ113" s="59">
        <f t="shared" si="92"/>
        <v>240.71332110643596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0.51979469332961892</v>
      </c>
      <c r="BQ113" s="21">
        <f>EXP(-LN(2)/25)*BQ112+(1-EXP(-LN(2)/25))/(LN(2)/25)*Calculateur!BL113*Calculateur!BN113*VLOOKUP('Données projet'!$B$11,Paramètres!$A$1:$I$89,3,0)*0.475*44/12</f>
        <v>1.6614377758722996</v>
      </c>
      <c r="BR113" s="21">
        <f>EXP(-LN(2)/2)*BR112+(1-EXP(-LN(2)/2))/(LN(2)/2)*BL113*BO113*VLOOKUP('Données projet'!$B$11,Paramètres!$A$1:$I$89,3,0)*0.475*44/12</f>
        <v>1.995371628267178E-11</v>
      </c>
      <c r="BS113" s="22">
        <f t="shared" si="63"/>
        <v>2.1812324692218725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-5.1159076974727213E-13</v>
      </c>
      <c r="BZ113" s="13">
        <f>BY113*VLOOKUP('Données projet'!$B$12,Paramètres!$A$1:$I$89,3,0)*VLOOKUP('Données projet'!$B$12,Paramètres!$A$1:$I$89,5,0)</f>
        <v>-4.0702161641092972E-13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260.20517190557814</v>
      </c>
      <c r="CE113" s="59">
        <f t="shared" si="94"/>
        <v>307.22009971147133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0.66918659539291814</v>
      </c>
      <c r="CL113" s="21">
        <f>EXP(-LN(2)/25)*CL112+(1-EXP(-LN(2)/25))/(LN(2)/25)*Calculateur!CG113*Calculateur!CI113*VLOOKUP('Données projet'!$B$12,Paramètres!$A$1:$I$89,3,0)*0.475*44/12</f>
        <v>2.2329189638355889</v>
      </c>
      <c r="CM113" s="21">
        <f>EXP(-LN(2)/2)*CM112+(1-EXP(-LN(2)/2))/(LN(2)/2)*CG113*CJ113*VLOOKUP('Données projet'!$B$12,Paramètres!$A$1:$I$89,3,0)*0.475*44/12</f>
        <v>2.1863374288620695E-11</v>
      </c>
      <c r="CN113" s="22">
        <f t="shared" si="66"/>
        <v>2.9021055592503702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391</v>
      </c>
      <c r="CR113" s="12">
        <f>VLOOKUP(A113,'Données projet'!$A$139:$I$159,9,0)</f>
        <v>7.6</v>
      </c>
      <c r="CS113" s="12">
        <f t="array" ref="CS113">INDEX(CR:CR,MIN(IF(ISNUMBER(CR113:CR309),ROW(CR113:CR309),"")))</f>
        <v>7.6</v>
      </c>
      <c r="CT113" s="12">
        <f>IF('Données projet'!$A$140&gt;35,CT112+CS113-DB112,IF(A113&lt;'Données projet'!$A$140,$CQ$205^A113,IF(A113='Données projet'!$A$140,'Données projet'!$B$140,CT112+CS113-DB112)))</f>
        <v>391.00000000000028</v>
      </c>
      <c r="CU113" s="17">
        <f>CT113*VLOOKUP('Données projet'!$B$13,Paramètres!$A$1:$I$89,3,0)*VLOOKUP('Données projet'!$B$13,Paramètres!$A$1:$I$89,5,0)</f>
        <v>335.47800000000029</v>
      </c>
      <c r="CV113" s="13">
        <f t="shared" si="95"/>
        <v>78.564945802733007</v>
      </c>
      <c r="CW113" s="20">
        <f t="shared" si="67"/>
        <v>721.1247972730938</v>
      </c>
      <c r="CX113" s="59">
        <f t="shared" si="68"/>
        <v>1014.4581306064272</v>
      </c>
      <c r="CY113" s="59">
        <f ca="1">AVERAGE(OFFSET($CX$3,0,0,'Données projet'!$E$13+1,1))-AVERAGE(OFFSET($H$3,0,0,'Données projet'!$E$13+1,1))</f>
        <v>310.4018929413723</v>
      </c>
      <c r="CZ113" s="59">
        <f t="shared" si="96"/>
        <v>127.5231137583819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58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0.64066226518514091</v>
      </c>
      <c r="DH113" s="21">
        <f>EXP(-LN(2)/2)*DH112+(1-EXP(-LN(2)/2))/(LN(2)/2)*DB113*DE113*VLOOKUP('Données projet'!$B$13,Paramètres!$A$1:$I$89,3,0)*0.475*44/12</f>
        <v>8.1220653878003899E-12</v>
      </c>
      <c r="DI113" s="22">
        <f t="shared" si="69"/>
        <v>0.64066226519326297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>
        <f>DO113*VLOOKUP('Données projet'!$B$14,Paramètres!$A$1:$I$89,3,0)*VLOOKUP('Données projet'!$B$14,Paramètres!$A$1:$I$89,5,0)</f>
        <v>-3.7509835237869992E-13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234.09142087023463</v>
      </c>
      <c r="DU113" s="59">
        <f t="shared" si="98"/>
        <v>278.990685815294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0.50034262274846031</v>
      </c>
      <c r="EB113" s="21">
        <f>EXP(-LN(2)/25)*EB112+(1-EXP(-LN(2)/25))/(LN(2)/25)*Calculateur!DW113*Calculateur!DY113*VLOOKUP('Données projet'!$B$14,Paramètres!$A$1:$I$89,3,0)*0.475*44/12</f>
        <v>1.6695261657091129</v>
      </c>
      <c r="EC113" s="21">
        <f>EXP(-LN(2)/2)*EC112+(1-EXP(-LN(2)/2))/(LN(2)/2)*DW113*DZ113*VLOOKUP('Données projet'!$B$14,Paramètres!$A$1:$I$89,3,0)*0.475*44/12</f>
        <v>2.0148599834611356E-11</v>
      </c>
      <c r="ED113" s="22">
        <f t="shared" si="72"/>
        <v>2.1698687884777219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210.04871822652808</v>
      </c>
      <c r="AO114" s="59">
        <f t="shared" si="90"/>
        <v>250.17540614049324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1.4679528711568235</v>
      </c>
      <c r="AV114" s="21">
        <f>EXP(-LN(2)/25)*AV113+(1-EXP(-LN(2)/25))/(LN(2)/25)*Calculateur!AQ114*Calculateur!AS114*VLOOKUP('Données projet'!$B$10,Paramètres!$A$1:$I$89,3,0)*0.475*44/12</f>
        <v>2.9456907833861754</v>
      </c>
      <c r="AW114" s="21">
        <f>EXP(-LN(2)/2)*AW113+(1-EXP(-LN(2)/2))/(LN(2)/2)*AQ114*AT114*VLOOKUP('Données projet'!$B$10,Paramètres!$A$1:$I$89,3,0)*0.475*44/12</f>
        <v>1.3861518607083546E-11</v>
      </c>
      <c r="AX114" s="21">
        <f t="shared" si="60"/>
        <v>4.4136436545568607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553.99999999999955</v>
      </c>
      <c r="BE114" s="13">
        <f>BD114*VLOOKUP('Données projet'!$B$11,Paramètres!$A$1:$I$89,3,0)*VLOOKUP('Données projet'!$B$11,Paramètres!$A$1:$I$89,5,0)</f>
        <v>331.29199999999975</v>
      </c>
      <c r="BF114" s="13">
        <f t="shared" si="91"/>
        <v>77.698110787752</v>
      </c>
      <c r="BG114" s="20">
        <f t="shared" si="61"/>
        <v>712.32444295533423</v>
      </c>
      <c r="BH114" s="59">
        <f t="shared" si="62"/>
        <v>1005.6577762886675</v>
      </c>
      <c r="BI114" s="59">
        <f ca="1">AVERAGE(OFFSET($BH$3,0,0,'Données projet'!$E$11+1,1))-AVERAGE(OFFSET($H$3,0,0,'Données projet'!$E$11+1,1))</f>
        <v>316.58509520829671</v>
      </c>
      <c r="BJ114" s="59">
        <f t="shared" si="92"/>
        <v>240.71332110643596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0.50960183643688262</v>
      </c>
      <c r="BQ114" s="21">
        <f>EXP(-LN(2)/25)*BQ113+(1-EXP(-LN(2)/25))/(LN(2)/25)*Calculateur!BL114*Calculateur!BN114*VLOOKUP('Données projet'!$B$11,Paramètres!$A$1:$I$89,3,0)*0.475*44/12</f>
        <v>1.6160056725198562</v>
      </c>
      <c r="BR114" s="21">
        <f>EXP(-LN(2)/2)*BR113+(1-EXP(-LN(2)/2))/(LN(2)/2)*BL114*BO114*VLOOKUP('Données projet'!$B$11,Paramètres!$A$1:$I$89,3,0)*0.475*44/12</f>
        <v>1.4109408093349647E-11</v>
      </c>
      <c r="BS114" s="22">
        <f t="shared" si="63"/>
        <v>2.1256075089708482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-5.1159076974727213E-13</v>
      </c>
      <c r="BZ114" s="13">
        <f>BY114*VLOOKUP('Données projet'!$B$12,Paramètres!$A$1:$I$89,3,0)*VLOOKUP('Données projet'!$B$12,Paramètres!$A$1:$I$89,5,0)</f>
        <v>-4.0702161641092972E-13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260.20517190557814</v>
      </c>
      <c r="CE114" s="59">
        <f t="shared" si="94"/>
        <v>307.22009971147133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0.65606425442078342</v>
      </c>
      <c r="CL114" s="21">
        <f>EXP(-LN(2)/25)*CL113+(1-EXP(-LN(2)/25))/(LN(2)/25)*Calculateur!CG114*Calculateur!CI114*VLOOKUP('Données projet'!$B$12,Paramètres!$A$1:$I$89,3,0)*0.475*44/12</f>
        <v>2.1718596773453998</v>
      </c>
      <c r="CM114" s="21">
        <f>EXP(-LN(2)/2)*CM113+(1-EXP(-LN(2)/2))/(LN(2)/2)*CG114*CJ114*VLOOKUP('Données projet'!$B$12,Paramètres!$A$1:$I$89,3,0)*0.475*44/12</f>
        <v>1.5459740219103303E-11</v>
      </c>
      <c r="CN114" s="22">
        <f t="shared" si="66"/>
        <v>2.8279239317816427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</v>
      </c>
      <c r="CT114" s="12">
        <f>IF('Données projet'!$A$140&gt;35,CT113+CS114-DB113,IF(A114&lt;'Données projet'!$A$140,$CQ$205^A114,IF(A114='Données projet'!$A$140,'Données projet'!$B$140,CT113+CS114-DB113)))</f>
        <v>339.8000000000003</v>
      </c>
      <c r="CU114" s="17">
        <f>CT114*VLOOKUP('Données projet'!$B$13,Paramètres!$A$1:$I$89,3,0)*VLOOKUP('Données projet'!$B$13,Paramètres!$A$1:$I$89,5,0)</f>
        <v>291.5484000000003</v>
      </c>
      <c r="CV114" s="13">
        <f t="shared" si="95"/>
        <v>69.40174753959208</v>
      </c>
      <c r="CW114" s="20">
        <f t="shared" si="67"/>
        <v>628.6548402981233</v>
      </c>
      <c r="CX114" s="59">
        <f t="shared" si="68"/>
        <v>921.98817363145668</v>
      </c>
      <c r="CY114" s="59">
        <f ca="1">AVERAGE(OFFSET($CX$3,0,0,'Données projet'!$E$13+1,1))-AVERAGE(OFFSET($H$3,0,0,'Données projet'!$E$13+1,1))</f>
        <v>310.4018929413723</v>
      </c>
      <c r="CZ114" s="59">
        <f t="shared" si="96"/>
        <v>127.5231137583819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0.62314332185268895</v>
      </c>
      <c r="DH114" s="21">
        <f>EXP(-LN(2)/2)*DH113+(1-EXP(-LN(2)/2))/(LN(2)/2)*DB114*DE114*VLOOKUP('Données projet'!$B$13,Paramètres!$A$1:$I$89,3,0)*0.475*44/12</f>
        <v>5.7431675129542016E-12</v>
      </c>
      <c r="DI114" s="22">
        <f t="shared" si="69"/>
        <v>0.62314332185843213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>
        <f>DO114*VLOOKUP('Données projet'!$B$14,Paramètres!$A$1:$I$89,3,0)*VLOOKUP('Données projet'!$B$14,Paramètres!$A$1:$I$89,5,0)</f>
        <v>-3.7509835237869992E-13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234.09142087023463</v>
      </c>
      <c r="DU114" s="59">
        <f t="shared" si="98"/>
        <v>278.990685815294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0.49053120909522896</v>
      </c>
      <c r="EB114" s="21">
        <f>EXP(-LN(2)/25)*EB113+(1-EXP(-LN(2)/25))/(LN(2)/25)*Calculateur!DW114*Calculateur!DY114*VLOOKUP('Données projet'!$B$14,Paramètres!$A$1:$I$89,3,0)*0.475*44/12</f>
        <v>1.6238728849112321</v>
      </c>
      <c r="EC114" s="21">
        <f>EXP(-LN(2)/2)*EC113+(1-EXP(-LN(2)/2))/(LN(2)/2)*DW114*DZ114*VLOOKUP('Données projet'!$B$14,Paramètres!$A$1:$I$89,3,0)*0.475*44/12</f>
        <v>1.424721157446784E-11</v>
      </c>
      <c r="ED114" s="22">
        <f t="shared" si="72"/>
        <v>2.1144040940207081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210.04871822652808</v>
      </c>
      <c r="AO115" s="59">
        <f t="shared" si="90"/>
        <v>250.17540614049324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1.4391672107162798</v>
      </c>
      <c r="AV115" s="21">
        <f>EXP(-LN(2)/25)*AV114+(1-EXP(-LN(2)/25))/(LN(2)/25)*Calculateur!AQ115*Calculateur!AS115*VLOOKUP('Données projet'!$B$10,Paramètres!$A$1:$I$89,3,0)*0.475*44/12</f>
        <v>2.8651407140073344</v>
      </c>
      <c r="AW115" s="21">
        <f>EXP(-LN(2)/2)*AW114+(1-EXP(-LN(2)/2))/(LN(2)/2)*AQ115*AT115*VLOOKUP('Données projet'!$B$10,Paramètres!$A$1:$I$89,3,0)*0.475*44/12</f>
        <v>9.8015738046122815E-12</v>
      </c>
      <c r="AX115" s="21">
        <f t="shared" si="60"/>
        <v>4.3043079247334166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553.99999999999955</v>
      </c>
      <c r="BE115" s="13">
        <f>BD115*VLOOKUP('Données projet'!$B$11,Paramètres!$A$1:$I$89,3,0)*VLOOKUP('Données projet'!$B$11,Paramètres!$A$1:$I$89,5,0)</f>
        <v>331.29199999999975</v>
      </c>
      <c r="BF115" s="13">
        <f t="shared" si="91"/>
        <v>77.698110787752</v>
      </c>
      <c r="BG115" s="20">
        <f t="shared" si="61"/>
        <v>712.32444295533423</v>
      </c>
      <c r="BH115" s="59">
        <f t="shared" si="62"/>
        <v>1005.6577762886675</v>
      </c>
      <c r="BI115" s="59">
        <f ca="1">AVERAGE(OFFSET($BH$3,0,0,'Données projet'!$E$11+1,1))-AVERAGE(OFFSET($H$3,0,0,'Données projet'!$E$11+1,1))</f>
        <v>316.58509520829671</v>
      </c>
      <c r="BJ115" s="59">
        <f t="shared" si="92"/>
        <v>240.71332110643596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0.49960885525078402</v>
      </c>
      <c r="BQ115" s="21">
        <f>EXP(-LN(2)/25)*BQ114+(1-EXP(-LN(2)/25))/(LN(2)/25)*Calculateur!BL115*Calculateur!BN115*VLOOKUP('Données projet'!$B$11,Paramètres!$A$1:$I$89,3,0)*0.475*44/12</f>
        <v>1.5718159124227558</v>
      </c>
      <c r="BR115" s="21">
        <f>EXP(-LN(2)/2)*BR114+(1-EXP(-LN(2)/2))/(LN(2)/2)*BL115*BO115*VLOOKUP('Données projet'!$B$11,Paramètres!$A$1:$I$89,3,0)*0.475*44/12</f>
        <v>9.9768581413358919E-12</v>
      </c>
      <c r="BS115" s="22">
        <f t="shared" si="63"/>
        <v>2.0714247676835167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-5.1159076974727213E-13</v>
      </c>
      <c r="BZ115" s="13">
        <f>BY115*VLOOKUP('Données projet'!$B$12,Paramètres!$A$1:$I$89,3,0)*VLOOKUP('Données projet'!$B$12,Paramètres!$A$1:$I$89,5,0)</f>
        <v>-4.0702161641092972E-13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260.20517190557814</v>
      </c>
      <c r="CE115" s="59">
        <f t="shared" si="94"/>
        <v>307.22009971147133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0.64319923455127459</v>
      </c>
      <c r="CL115" s="21">
        <f>EXP(-LN(2)/25)*CL114+(1-EXP(-LN(2)/25))/(LN(2)/25)*Calculateur!CG115*Calculateur!CI115*VLOOKUP('Données projet'!$B$12,Paramètres!$A$1:$I$89,3,0)*0.475*44/12</f>
        <v>2.1124700602552533</v>
      </c>
      <c r="CM115" s="21">
        <f>EXP(-LN(2)/2)*CM114+(1-EXP(-LN(2)/2))/(LN(2)/2)*CG115*CJ115*VLOOKUP('Données projet'!$B$12,Paramètres!$A$1:$I$89,3,0)*0.475*44/12</f>
        <v>1.0931687144310347E-11</v>
      </c>
      <c r="CN115" s="22">
        <f t="shared" si="66"/>
        <v>2.7556692948174595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</v>
      </c>
      <c r="CT115" s="12">
        <f>IF('Données projet'!$A$140&gt;35,CT114+CS115-DB114,IF(A115&lt;'Données projet'!$A$140,$CQ$205^A115,IF(A115='Données projet'!$A$140,'Données projet'!$B$140,CT114+CS115-DB114)))</f>
        <v>346.60000000000031</v>
      </c>
      <c r="CU115" s="17">
        <f>CT115*VLOOKUP('Données projet'!$B$13,Paramètres!$A$1:$I$89,3,0)*VLOOKUP('Données projet'!$B$13,Paramètres!$A$1:$I$89,5,0)</f>
        <v>297.38280000000032</v>
      </c>
      <c r="CV115" s="13">
        <f t="shared" si="95"/>
        <v>70.627518341589479</v>
      </c>
      <c r="CW115" s="20">
        <f t="shared" si="67"/>
        <v>640.95130444493554</v>
      </c>
      <c r="CX115" s="59">
        <f t="shared" si="68"/>
        <v>934.28463777826892</v>
      </c>
      <c r="CY115" s="59">
        <f ca="1">AVERAGE(OFFSET($CX$3,0,0,'Données projet'!$E$13+1,1))-AVERAGE(OFFSET($H$3,0,0,'Données projet'!$E$13+1,1))</f>
        <v>310.4018929413723</v>
      </c>
      <c r="CZ115" s="59">
        <f t="shared" si="96"/>
        <v>127.5231137583819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0.60610343494694408</v>
      </c>
      <c r="DH115" s="21">
        <f>EXP(-LN(2)/2)*DH114+(1-EXP(-LN(2)/2))/(LN(2)/2)*DB115*DE115*VLOOKUP('Données projet'!$B$13,Paramètres!$A$1:$I$89,3,0)*0.475*44/12</f>
        <v>4.0610326939001949E-12</v>
      </c>
      <c r="DI115" s="22">
        <f t="shared" si="69"/>
        <v>0.60610343495100516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>
        <f>DO115*VLOOKUP('Données projet'!$B$14,Paramètres!$A$1:$I$89,3,0)*VLOOKUP('Données projet'!$B$14,Paramètres!$A$1:$I$89,5,0)</f>
        <v>-3.7509835237869992E-13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234.09142087023463</v>
      </c>
      <c r="DU115" s="59">
        <f t="shared" si="98"/>
        <v>278.990685815294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0.48091219127936607</v>
      </c>
      <c r="EB115" s="21">
        <f>EXP(-LN(2)/25)*EB114+(1-EXP(-LN(2)/25))/(LN(2)/25)*Calculateur!DW115*Calculateur!DY115*VLOOKUP('Données projet'!$B$14,Paramètres!$A$1:$I$89,3,0)*0.475*44/12</f>
        <v>1.5794679954775708</v>
      </c>
      <c r="EC115" s="21">
        <f>EXP(-LN(2)/2)*EC114+(1-EXP(-LN(2)/2))/(LN(2)/2)*DW115*DZ115*VLOOKUP('Données projet'!$B$14,Paramètres!$A$1:$I$89,3,0)*0.475*44/12</f>
        <v>1.0074299917305679E-11</v>
      </c>
      <c r="ED115" s="22">
        <f t="shared" si="72"/>
        <v>2.0603801867670111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210.04871822652808</v>
      </c>
      <c r="AO116" s="59">
        <f t="shared" si="90"/>
        <v>250.17540614049324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1.4109460195194561</v>
      </c>
      <c r="AV116" s="21">
        <f>EXP(-LN(2)/25)*AV115+(1-EXP(-LN(2)/25))/(LN(2)/25)*Calculateur!AQ116*Calculateur!AS116*VLOOKUP('Données projet'!$B$10,Paramètres!$A$1:$I$89,3,0)*0.475*44/12</f>
        <v>2.7867932905116022</v>
      </c>
      <c r="AW116" s="21">
        <f>EXP(-LN(2)/2)*AW115+(1-EXP(-LN(2)/2))/(LN(2)/2)*AQ116*AT116*VLOOKUP('Données projet'!$B$10,Paramètres!$A$1:$I$89,3,0)*0.475*44/12</f>
        <v>6.9307593035417728E-12</v>
      </c>
      <c r="AX116" s="21">
        <f t="shared" si="60"/>
        <v>4.1977393100379885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553.99999999999955</v>
      </c>
      <c r="BE116" s="13">
        <f>BD116*VLOOKUP('Données projet'!$B$11,Paramètres!$A$1:$I$89,3,0)*VLOOKUP('Données projet'!$B$11,Paramètres!$A$1:$I$89,5,0)</f>
        <v>331.29199999999975</v>
      </c>
      <c r="BF116" s="13">
        <f t="shared" si="91"/>
        <v>77.698110787752</v>
      </c>
      <c r="BG116" s="20">
        <f t="shared" si="61"/>
        <v>712.32444295533423</v>
      </c>
      <c r="BH116" s="59">
        <f t="shared" si="62"/>
        <v>1005.6577762886675</v>
      </c>
      <c r="BI116" s="59">
        <f ca="1">AVERAGE(OFFSET($BH$3,0,0,'Données projet'!$E$11+1,1))-AVERAGE(OFFSET($H$3,0,0,'Données projet'!$E$11+1,1))</f>
        <v>316.58509520829671</v>
      </c>
      <c r="BJ116" s="59">
        <f t="shared" si="92"/>
        <v>240.71332110643596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0.48981183033062814</v>
      </c>
      <c r="BQ116" s="21">
        <f>EXP(-LN(2)/25)*BQ115+(1-EXP(-LN(2)/25))/(LN(2)/25)*Calculateur!BL116*Calculateur!BN116*VLOOKUP('Données projet'!$B$11,Paramètres!$A$1:$I$89,3,0)*0.475*44/12</f>
        <v>1.528834523639349</v>
      </c>
      <c r="BR116" s="21">
        <f>EXP(-LN(2)/2)*BR115+(1-EXP(-LN(2)/2))/(LN(2)/2)*BL116*BO116*VLOOKUP('Données projet'!$B$11,Paramètres!$A$1:$I$89,3,0)*0.475*44/12</f>
        <v>7.0547040466748241E-12</v>
      </c>
      <c r="BS116" s="22">
        <f t="shared" si="63"/>
        <v>2.0186463539770321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-5.1159076974727213E-13</v>
      </c>
      <c r="BZ116" s="13">
        <f>BY116*VLOOKUP('Données projet'!$B$12,Paramètres!$A$1:$I$89,3,0)*VLOOKUP('Données projet'!$B$12,Paramètres!$A$1:$I$89,5,0)</f>
        <v>-4.0702161641092972E-13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260.20517190557814</v>
      </c>
      <c r="CE116" s="59">
        <f t="shared" si="94"/>
        <v>307.22009971147133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0.63058648987451948</v>
      </c>
      <c r="CL116" s="21">
        <f>EXP(-LN(2)/25)*CL115+(1-EXP(-LN(2)/25))/(LN(2)/25)*Calculateur!CG116*Calculateur!CI116*VLOOKUP('Données projet'!$B$12,Paramètres!$A$1:$I$89,3,0)*0.475*44/12</f>
        <v>2.054704455367601</v>
      </c>
      <c r="CM116" s="21">
        <f>EXP(-LN(2)/2)*CM115+(1-EXP(-LN(2)/2))/(LN(2)/2)*CG116*CJ116*VLOOKUP('Données projet'!$B$12,Paramètres!$A$1:$I$89,3,0)*0.475*44/12</f>
        <v>7.7298701095516513E-12</v>
      </c>
      <c r="CN116" s="22">
        <f t="shared" si="66"/>
        <v>2.6852909452498501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</v>
      </c>
      <c r="CT116" s="12">
        <f>IF('Données projet'!$A$140&gt;35,CT115+CS116-DB115,IF(A116&lt;'Données projet'!$A$140,$CQ$205^A116,IF(A116='Données projet'!$A$140,'Données projet'!$B$140,CT115+CS116-DB115)))</f>
        <v>353.40000000000032</v>
      </c>
      <c r="CU116" s="17">
        <f>CT116*VLOOKUP('Données projet'!$B$13,Paramètres!$A$1:$I$89,3,0)*VLOOKUP('Données projet'!$B$13,Paramètres!$A$1:$I$89,5,0)</f>
        <v>303.21720000000033</v>
      </c>
      <c r="CV116" s="13">
        <f t="shared" si="95"/>
        <v>71.850492891887853</v>
      </c>
      <c r="CW116" s="20">
        <f t="shared" si="67"/>
        <v>653.24289845337205</v>
      </c>
      <c r="CX116" s="59">
        <f t="shared" si="68"/>
        <v>946.57623178670542</v>
      </c>
      <c r="CY116" s="59">
        <f ca="1">AVERAGE(OFFSET($CX$3,0,0,'Données projet'!$E$13+1,1))-AVERAGE(OFFSET($H$3,0,0,'Données projet'!$E$13+1,1))</f>
        <v>310.4018929413723</v>
      </c>
      <c r="CZ116" s="59">
        <f t="shared" si="96"/>
        <v>127.5231137583819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0.58952950464472553</v>
      </c>
      <c r="DH116" s="21">
        <f>EXP(-LN(2)/2)*DH115+(1-EXP(-LN(2)/2))/(LN(2)/2)*DB116*DE116*VLOOKUP('Données projet'!$B$13,Paramètres!$A$1:$I$89,3,0)*0.475*44/12</f>
        <v>2.8715837564771008E-12</v>
      </c>
      <c r="DI116" s="22">
        <f t="shared" si="69"/>
        <v>0.58952950464759712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>
        <f>DO116*VLOOKUP('Données projet'!$B$14,Paramètres!$A$1:$I$89,3,0)*VLOOKUP('Données projet'!$B$14,Paramètres!$A$1:$I$89,5,0)</f>
        <v>-3.7509835237869992E-13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234.09142087023463</v>
      </c>
      <c r="DU116" s="59">
        <f t="shared" si="98"/>
        <v>278.990685815294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0.47148179653585071</v>
      </c>
      <c r="EB116" s="21">
        <f>EXP(-LN(2)/25)*EB115+(1-EXP(-LN(2)/25))/(LN(2)/25)*Calculateur!DW116*Calculateur!DY116*VLOOKUP('Données projet'!$B$14,Paramètres!$A$1:$I$89,3,0)*0.475*44/12</f>
        <v>1.5362773600806245</v>
      </c>
      <c r="EC116" s="21">
        <f>EXP(-LN(2)/2)*EC115+(1-EXP(-LN(2)/2))/(LN(2)/2)*DW116*DZ116*VLOOKUP('Données projet'!$B$14,Paramètres!$A$1:$I$89,3,0)*0.475*44/12</f>
        <v>7.1236057872339215E-12</v>
      </c>
      <c r="ED116" s="22">
        <f t="shared" si="72"/>
        <v>2.0077591566235991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210.04871822652808</v>
      </c>
      <c r="AO117" s="59">
        <f t="shared" si="90"/>
        <v>250.17540614049324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1.383278228668775</v>
      </c>
      <c r="AV117" s="21">
        <f>EXP(-LN(2)/25)*AV116+(1-EXP(-LN(2)/25))/(LN(2)/25)*Calculateur!AQ117*Calculateur!AS117*VLOOKUP('Données projet'!$B$10,Paramètres!$A$1:$I$89,3,0)*0.475*44/12</f>
        <v>2.7105882814314728</v>
      </c>
      <c r="AW117" s="21">
        <f>EXP(-LN(2)/2)*AW116+(1-EXP(-LN(2)/2))/(LN(2)/2)*AQ117*AT117*VLOOKUP('Données projet'!$B$10,Paramètres!$A$1:$I$89,3,0)*0.475*44/12</f>
        <v>4.9007869023061408E-12</v>
      </c>
      <c r="AX117" s="21">
        <f t="shared" si="60"/>
        <v>4.0938665101051486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553.99999999999955</v>
      </c>
      <c r="BE117" s="13">
        <f>BD117*VLOOKUP('Données projet'!$B$11,Paramètres!$A$1:$I$89,3,0)*VLOOKUP('Données projet'!$B$11,Paramètres!$A$1:$I$89,5,0)</f>
        <v>331.29199999999975</v>
      </c>
      <c r="BF117" s="13">
        <f t="shared" si="91"/>
        <v>77.698110787752</v>
      </c>
      <c r="BG117" s="20">
        <f t="shared" si="61"/>
        <v>712.32444295533423</v>
      </c>
      <c r="BH117" s="59">
        <f t="shared" si="62"/>
        <v>1005.6577762886675</v>
      </c>
      <c r="BI117" s="59">
        <f ca="1">AVERAGE(OFFSET($BH$3,0,0,'Données projet'!$E$11+1,1))-AVERAGE(OFFSET($H$3,0,0,'Données projet'!$E$11+1,1))</f>
        <v>316.58509520829671</v>
      </c>
      <c r="BJ117" s="59">
        <f t="shared" si="92"/>
        <v>240.71332110643596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0.48020691909356134</v>
      </c>
      <c r="BQ117" s="21">
        <f>EXP(-LN(2)/25)*BQ116+(1-EXP(-LN(2)/25))/(LN(2)/25)*Calculateur!BL117*Calculateur!BN117*VLOOKUP('Données projet'!$B$11,Paramètres!$A$1:$I$89,3,0)*0.475*44/12</f>
        <v>1.4870284631925177</v>
      </c>
      <c r="BR117" s="21">
        <f>EXP(-LN(2)/2)*BR116+(1-EXP(-LN(2)/2))/(LN(2)/2)*BL117*BO117*VLOOKUP('Données projet'!$B$11,Paramètres!$A$1:$I$89,3,0)*0.475*44/12</f>
        <v>4.9884290706679467E-12</v>
      </c>
      <c r="BS117" s="22">
        <f t="shared" si="63"/>
        <v>1.9672353822910675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-5.1159076974727213E-13</v>
      </c>
      <c r="BZ117" s="13">
        <f>BY117*VLOOKUP('Données projet'!$B$12,Paramètres!$A$1:$I$89,3,0)*VLOOKUP('Données projet'!$B$12,Paramètres!$A$1:$I$89,5,0)</f>
        <v>-4.0702161641092972E-13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260.20517190557814</v>
      </c>
      <c r="CE117" s="59">
        <f t="shared" si="94"/>
        <v>307.22009971147133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0.61822107342786092</v>
      </c>
      <c r="CL117" s="21">
        <f>EXP(-LN(2)/25)*CL116+(1-EXP(-LN(2)/25))/(LN(2)/25)*Calculateur!CG117*Calculateur!CI117*VLOOKUP('Données projet'!$B$12,Paramètres!$A$1:$I$89,3,0)*0.475*44/12</f>
        <v>1.9985184539833627</v>
      </c>
      <c r="CM117" s="21">
        <f>EXP(-LN(2)/2)*CM116+(1-EXP(-LN(2)/2))/(LN(2)/2)*CG117*CJ117*VLOOKUP('Données projet'!$B$12,Paramètres!$A$1:$I$89,3,0)*0.475*44/12</f>
        <v>5.4658435721551737E-12</v>
      </c>
      <c r="CN117" s="22">
        <f t="shared" si="66"/>
        <v>2.6167395274166894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</v>
      </c>
      <c r="CT117" s="12">
        <f>IF('Données projet'!$A$140&gt;35,CT116+CS117-DB116,IF(A117&lt;'Données projet'!$A$140,$CQ$205^A117,IF(A117='Données projet'!$A$140,'Données projet'!$B$140,CT116+CS117-DB116)))</f>
        <v>360.20000000000033</v>
      </c>
      <c r="CU117" s="17">
        <f>CT117*VLOOKUP('Données projet'!$B$13,Paramètres!$A$1:$I$89,3,0)*VLOOKUP('Données projet'!$B$13,Paramètres!$A$1:$I$89,5,0)</f>
        <v>309.05160000000029</v>
      </c>
      <c r="CV117" s="13">
        <f t="shared" si="95"/>
        <v>73.070731198088453</v>
      </c>
      <c r="CW117" s="20">
        <f t="shared" si="67"/>
        <v>665.52972683667122</v>
      </c>
      <c r="CX117" s="59">
        <f t="shared" si="68"/>
        <v>958.86306017000447</v>
      </c>
      <c r="CY117" s="59">
        <f ca="1">AVERAGE(OFFSET($CX$3,0,0,'Données projet'!$E$13+1,1))-AVERAGE(OFFSET($H$3,0,0,'Données projet'!$E$13+1,1))</f>
        <v>310.4018929413723</v>
      </c>
      <c r="CZ117" s="59">
        <f t="shared" si="96"/>
        <v>127.5231137583819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0.57340878933820627</v>
      </c>
      <c r="DH117" s="21">
        <f>EXP(-LN(2)/2)*DH116+(1-EXP(-LN(2)/2))/(LN(2)/2)*DB117*DE117*VLOOKUP('Données projet'!$B$13,Paramètres!$A$1:$I$89,3,0)*0.475*44/12</f>
        <v>2.0305163469500975E-12</v>
      </c>
      <c r="DI117" s="22">
        <f t="shared" si="69"/>
        <v>0.57340878934023676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>
        <f>DO117*VLOOKUP('Données projet'!$B$14,Paramètres!$A$1:$I$89,3,0)*VLOOKUP('Données projet'!$B$14,Paramètres!$A$1:$I$89,5,0)</f>
        <v>-3.7509835237869992E-13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234.09142087023463</v>
      </c>
      <c r="DU117" s="59">
        <f t="shared" si="98"/>
        <v>278.990685815294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0.46223632608128284</v>
      </c>
      <c r="EB117" s="21">
        <f>EXP(-LN(2)/25)*EB116+(1-EXP(-LN(2)/25))/(LN(2)/25)*Calculateur!DW117*Calculateur!DY117*VLOOKUP('Données projet'!$B$14,Paramètres!$A$1:$I$89,3,0)*0.475*44/12</f>
        <v>1.4942677748799047</v>
      </c>
      <c r="EC117" s="21">
        <f>EXP(-LN(2)/2)*EC116+(1-EXP(-LN(2)/2))/(LN(2)/2)*DW117*DZ117*VLOOKUP('Données projet'!$B$14,Paramètres!$A$1:$I$89,3,0)*0.475*44/12</f>
        <v>5.0371499586528405E-12</v>
      </c>
      <c r="ED117" s="22">
        <f t="shared" si="72"/>
        <v>1.9565041009662247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210.04871822652808</v>
      </c>
      <c r="AO118" s="59">
        <f t="shared" si="90"/>
        <v>250.17540614049324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1.3561529863209898</v>
      </c>
      <c r="AV118" s="21">
        <f>EXP(-LN(2)/25)*AV117+(1-EXP(-LN(2)/25))/(LN(2)/25)*Calculateur!AQ118*Calculateur!AS118*VLOOKUP('Données projet'!$B$10,Paramètres!$A$1:$I$89,3,0)*0.475*44/12</f>
        <v>2.6364671023320865</v>
      </c>
      <c r="AW118" s="21">
        <f>EXP(-LN(2)/2)*AW117+(1-EXP(-LN(2)/2))/(LN(2)/2)*AQ118*AT118*VLOOKUP('Données projet'!$B$10,Paramètres!$A$1:$I$89,3,0)*0.475*44/12</f>
        <v>3.4653796517708864E-12</v>
      </c>
      <c r="AX118" s="21">
        <f t="shared" si="60"/>
        <v>3.9926200886565417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553.99999999999955</v>
      </c>
      <c r="BE118" s="13">
        <f>BD118*VLOOKUP('Données projet'!$B$11,Paramètres!$A$1:$I$89,3,0)*VLOOKUP('Données projet'!$B$11,Paramètres!$A$1:$I$89,5,0)</f>
        <v>331.29199999999975</v>
      </c>
      <c r="BF118" s="13">
        <f t="shared" si="91"/>
        <v>77.698110787752</v>
      </c>
      <c r="BG118" s="20">
        <f t="shared" si="61"/>
        <v>712.32444295533423</v>
      </c>
      <c r="BH118" s="59">
        <f t="shared" si="62"/>
        <v>1005.6577762886675</v>
      </c>
      <c r="BI118" s="59">
        <f ca="1">AVERAGE(OFFSET($BH$3,0,0,'Données projet'!$E$11+1,1))-AVERAGE(OFFSET($H$3,0,0,'Données projet'!$E$11+1,1))</f>
        <v>316.58509520829671</v>
      </c>
      <c r="BJ118" s="59">
        <f t="shared" si="92"/>
        <v>240.71332110643596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0.47079035430743604</v>
      </c>
      <c r="BQ118" s="21">
        <f>EXP(-LN(2)/25)*BQ117+(1-EXP(-LN(2)/25))/(LN(2)/25)*Calculateur!BL118*Calculateur!BN118*VLOOKUP('Données projet'!$B$11,Paramètres!$A$1:$I$89,3,0)*0.475*44/12</f>
        <v>1.4463655916670901</v>
      </c>
      <c r="BR118" s="21">
        <f>EXP(-LN(2)/2)*BR117+(1-EXP(-LN(2)/2))/(LN(2)/2)*BL118*BO118*VLOOKUP('Données projet'!$B$11,Paramètres!$A$1:$I$89,3,0)*0.475*44/12</f>
        <v>3.5273520233374125E-12</v>
      </c>
      <c r="BS118" s="22">
        <f t="shared" si="63"/>
        <v>1.9171559459780536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-5.1159076974727213E-13</v>
      </c>
      <c r="BZ118" s="13">
        <f>BY118*VLOOKUP('Données projet'!$B$12,Paramètres!$A$1:$I$89,3,0)*VLOOKUP('Données projet'!$B$12,Paramètres!$A$1:$I$89,5,0)</f>
        <v>-4.0702161641092972E-13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260.20517190557814</v>
      </c>
      <c r="CE118" s="59">
        <f t="shared" si="94"/>
        <v>307.22009971147133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0.606098135255562</v>
      </c>
      <c r="CL118" s="21">
        <f>EXP(-LN(2)/25)*CL117+(1-EXP(-LN(2)/25))/(LN(2)/25)*Calculateur!CG118*Calculateur!CI118*VLOOKUP('Données projet'!$B$12,Paramètres!$A$1:$I$89,3,0)*0.475*44/12</f>
        <v>1.9438688617616697</v>
      </c>
      <c r="CM118" s="21">
        <f>EXP(-LN(2)/2)*CM117+(1-EXP(-LN(2)/2))/(LN(2)/2)*CG118*CJ118*VLOOKUP('Données projet'!$B$12,Paramètres!$A$1:$I$89,3,0)*0.475*44/12</f>
        <v>3.8649350547758257E-12</v>
      </c>
      <c r="CN118" s="22">
        <f t="shared" si="66"/>
        <v>2.5499669970210967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</v>
      </c>
      <c r="CT118" s="12">
        <f>IF('Données projet'!$A$140&gt;35,CT117+CS118-DB117,IF(A118&lt;'Données projet'!$A$140,$CQ$205^A118,IF(A118='Données projet'!$A$140,'Données projet'!$B$140,CT117+CS118-DB117)))</f>
        <v>367.00000000000034</v>
      </c>
      <c r="CU118" s="17">
        <f>CT118*VLOOKUP('Données projet'!$B$13,Paramètres!$A$1:$I$89,3,0)*VLOOKUP('Données projet'!$B$13,Paramètres!$A$1:$I$89,5,0)</f>
        <v>314.88600000000031</v>
      </c>
      <c r="CV118" s="13">
        <f t="shared" si="95"/>
        <v>74.288290872440228</v>
      </c>
      <c r="CW118" s="20">
        <f t="shared" si="67"/>
        <v>677.8118899361674</v>
      </c>
      <c r="CX118" s="59">
        <f t="shared" si="68"/>
        <v>971.14522326950078</v>
      </c>
      <c r="CY118" s="59">
        <f ca="1">AVERAGE(OFFSET($CX$3,0,0,'Données projet'!$E$13+1,1))-AVERAGE(OFFSET($H$3,0,0,'Données projet'!$E$13+1,1))</f>
        <v>310.4018929413723</v>
      </c>
      <c r="CZ118" s="59">
        <f t="shared" si="96"/>
        <v>127.5231137583819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0.55772889583949536</v>
      </c>
      <c r="DH118" s="21">
        <f>EXP(-LN(2)/2)*DH117+(1-EXP(-LN(2)/2))/(LN(2)/2)*DB118*DE118*VLOOKUP('Données projet'!$B$13,Paramètres!$A$1:$I$89,3,0)*0.475*44/12</f>
        <v>1.4357918782385504E-12</v>
      </c>
      <c r="DI118" s="22">
        <f t="shared" si="69"/>
        <v>0.5577288958409311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>
        <f>DO118*VLOOKUP('Données projet'!$B$14,Paramètres!$A$1:$I$89,3,0)*VLOOKUP('Données projet'!$B$14,Paramètres!$A$1:$I$89,5,0)</f>
        <v>-3.7509835237869992E-13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234.09142087023463</v>
      </c>
      <c r="DU118" s="59">
        <f t="shared" si="98"/>
        <v>278.990685815294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0.45317215366314889</v>
      </c>
      <c r="EB118" s="21">
        <f>EXP(-LN(2)/25)*EB117+(1-EXP(-LN(2)/25))/(LN(2)/25)*Calculateur!DW118*Calculateur!DY118*VLOOKUP('Données projet'!$B$14,Paramètres!$A$1:$I$89,3,0)*0.475*44/12</f>
        <v>1.4534069439956867</v>
      </c>
      <c r="EC118" s="21">
        <f>EXP(-LN(2)/2)*EC117+(1-EXP(-LN(2)/2))/(LN(2)/2)*DW118*DZ118*VLOOKUP('Données projet'!$B$14,Paramètres!$A$1:$I$89,3,0)*0.475*44/12</f>
        <v>3.5618028936169611E-12</v>
      </c>
      <c r="ED118" s="22">
        <f t="shared" si="72"/>
        <v>1.9065790976623973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210.04871822652808</v>
      </c>
      <c r="AO119" s="59">
        <f t="shared" si="90"/>
        <v>250.17540614049324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1.3295596534308805</v>
      </c>
      <c r="AV119" s="21">
        <f>EXP(-LN(2)/25)*AV118+(1-EXP(-LN(2)/25))/(LN(2)/25)*Calculateur!AQ119*Calculateur!AS119*VLOOKUP('Données projet'!$B$10,Paramètres!$A$1:$I$89,3,0)*0.475*44/12</f>
        <v>2.5643727707730366</v>
      </c>
      <c r="AW119" s="21">
        <f>EXP(-LN(2)/2)*AW118+(1-EXP(-LN(2)/2))/(LN(2)/2)*AQ119*AT119*VLOOKUP('Données projet'!$B$10,Paramètres!$A$1:$I$89,3,0)*0.475*44/12</f>
        <v>2.4503934511530704E-12</v>
      </c>
      <c r="AX119" s="21">
        <f t="shared" si="60"/>
        <v>3.8939324242063673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553.99999999999955</v>
      </c>
      <c r="BE119" s="13">
        <f>BD119*VLOOKUP('Données projet'!$B$11,Paramètres!$A$1:$I$89,3,0)*VLOOKUP('Données projet'!$B$11,Paramètres!$A$1:$I$89,5,0)</f>
        <v>331.29199999999975</v>
      </c>
      <c r="BF119" s="13">
        <f t="shared" si="91"/>
        <v>77.698110787752</v>
      </c>
      <c r="BG119" s="20">
        <f t="shared" si="61"/>
        <v>712.32444295533423</v>
      </c>
      <c r="BH119" s="59">
        <f t="shared" si="62"/>
        <v>1005.6577762886675</v>
      </c>
      <c r="BI119" s="59">
        <f ca="1">AVERAGE(OFFSET($BH$3,0,0,'Données projet'!$E$11+1,1))-AVERAGE(OFFSET($H$3,0,0,'Données projet'!$E$11+1,1))</f>
        <v>316.58509520829671</v>
      </c>
      <c r="BJ119" s="59">
        <f t="shared" si="92"/>
        <v>240.71332110643596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0.46155844261322926</v>
      </c>
      <c r="BQ119" s="21">
        <f>EXP(-LN(2)/25)*BQ118+(1-EXP(-LN(2)/25))/(LN(2)/25)*Calculateur!BL119*Calculateur!BN119*VLOOKUP('Données projet'!$B$11,Paramètres!$A$1:$I$89,3,0)*0.475*44/12</f>
        <v>1.4068146485018929</v>
      </c>
      <c r="BR119" s="21">
        <f>EXP(-LN(2)/2)*BR118+(1-EXP(-LN(2)/2))/(LN(2)/2)*BL119*BO119*VLOOKUP('Données projet'!$B$11,Paramètres!$A$1:$I$89,3,0)*0.475*44/12</f>
        <v>2.4942145353339734E-12</v>
      </c>
      <c r="BS119" s="22">
        <f t="shared" si="63"/>
        <v>1.8683730911176164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-5.1159076974727213E-13</v>
      </c>
      <c r="BZ119" s="13">
        <f>BY119*VLOOKUP('Données projet'!$B$12,Paramètres!$A$1:$I$89,3,0)*VLOOKUP('Données projet'!$B$12,Paramètres!$A$1:$I$89,5,0)</f>
        <v>-4.0702161641092972E-13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260.20517190557814</v>
      </c>
      <c r="CE119" s="59">
        <f t="shared" si="94"/>
        <v>307.22009971147133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0.59421292050655972</v>
      </c>
      <c r="CL119" s="21">
        <f>EXP(-LN(2)/25)*CL118+(1-EXP(-LN(2)/25))/(LN(2)/25)*Calculateur!CG119*Calculateur!CI119*VLOOKUP('Données projet'!$B$12,Paramètres!$A$1:$I$89,3,0)*0.475*44/12</f>
        <v>1.8907136655131762</v>
      </c>
      <c r="CM119" s="21">
        <f>EXP(-LN(2)/2)*CM118+(1-EXP(-LN(2)/2))/(LN(2)/2)*CG119*CJ119*VLOOKUP('Données projet'!$B$12,Paramètres!$A$1:$I$89,3,0)*0.475*44/12</f>
        <v>2.7329217860775869E-12</v>
      </c>
      <c r="CN119" s="22">
        <f t="shared" si="66"/>
        <v>2.484926586022469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</v>
      </c>
      <c r="CT119" s="12">
        <f>IF('Données projet'!$A$140&gt;35,CT118+CS119-DB118,IF(A119&lt;'Données projet'!$A$140,$CQ$205^A119,IF(A119='Données projet'!$A$140,'Données projet'!$B$140,CT118+CS119-DB118)))</f>
        <v>373.80000000000035</v>
      </c>
      <c r="CU119" s="17">
        <f>CT119*VLOOKUP('Données projet'!$B$13,Paramètres!$A$1:$I$89,3,0)*VLOOKUP('Données projet'!$B$13,Paramètres!$A$1:$I$89,5,0)</f>
        <v>320.72040000000032</v>
      </c>
      <c r="CV119" s="13">
        <f t="shared" si="95"/>
        <v>75.503227270035836</v>
      </c>
      <c r="CW119" s="20">
        <f t="shared" si="67"/>
        <v>690.08948416197961</v>
      </c>
      <c r="CX119" s="59">
        <f t="shared" si="68"/>
        <v>983.42281749531298</v>
      </c>
      <c r="CY119" s="59">
        <f ca="1">AVERAGE(OFFSET($CX$3,0,0,'Données projet'!$E$13+1,1))-AVERAGE(OFFSET($H$3,0,0,'Données projet'!$E$13+1,1))</f>
        <v>310.4018929413723</v>
      </c>
      <c r="CZ119" s="59">
        <f t="shared" si="96"/>
        <v>127.5231137583819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0.54247776985307639</v>
      </c>
      <c r="DH119" s="21">
        <f>EXP(-LN(2)/2)*DH118+(1-EXP(-LN(2)/2))/(LN(2)/2)*DB119*DE119*VLOOKUP('Données projet'!$B$13,Paramètres!$A$1:$I$89,3,0)*0.475*44/12</f>
        <v>1.0152581734750487E-12</v>
      </c>
      <c r="DI119" s="22">
        <f t="shared" si="69"/>
        <v>0.54247776985409168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>
        <f>DO119*VLOOKUP('Données projet'!$B$14,Paramètres!$A$1:$I$89,3,0)*VLOOKUP('Données projet'!$B$14,Paramètres!$A$1:$I$89,5,0)</f>
        <v>-3.7509835237869992E-13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234.09142087023463</v>
      </c>
      <c r="DU119" s="59">
        <f t="shared" si="98"/>
        <v>278.990685815294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0.44428572413753525</v>
      </c>
      <c r="EB119" s="21">
        <f>EXP(-LN(2)/25)*EB118+(1-EXP(-LN(2)/25))/(LN(2)/25)*Calculateur!DW119*Calculateur!DY119*VLOOKUP('Données projet'!$B$14,Paramètres!$A$1:$I$89,3,0)*0.475*44/12</f>
        <v>1.4136634546807754</v>
      </c>
      <c r="EC119" s="21">
        <f>EXP(-LN(2)/2)*EC118+(1-EXP(-LN(2)/2))/(LN(2)/2)*DW119*DZ119*VLOOKUP('Données projet'!$B$14,Paramètres!$A$1:$I$89,3,0)*0.475*44/12</f>
        <v>2.5185749793264207E-12</v>
      </c>
      <c r="ED119" s="22">
        <f t="shared" si="72"/>
        <v>1.8579491788208293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210.04871822652808</v>
      </c>
      <c r="AO120" s="59">
        <f t="shared" si="90"/>
        <v>250.17540614049324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1.3034877995784147</v>
      </c>
      <c r="AV120" s="21">
        <f>EXP(-LN(2)/25)*AV119+(1-EXP(-LN(2)/25))/(LN(2)/25)*Calculateur!AQ120*Calculateur!AS120*VLOOKUP('Données projet'!$B$10,Paramètres!$A$1:$I$89,3,0)*0.475*44/12</f>
        <v>2.4942498625017451</v>
      </c>
      <c r="AW120" s="21">
        <f>EXP(-LN(2)/2)*AW119+(1-EXP(-LN(2)/2))/(LN(2)/2)*AQ120*AT120*VLOOKUP('Données projet'!$B$10,Paramètres!$A$1:$I$89,3,0)*0.475*44/12</f>
        <v>1.7326898258854432E-12</v>
      </c>
      <c r="AX120" s="21">
        <f t="shared" si="60"/>
        <v>3.7977376620818926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553.99999999999955</v>
      </c>
      <c r="BE120" s="13">
        <f>BD120*VLOOKUP('Données projet'!$B$11,Paramètres!$A$1:$I$89,3,0)*VLOOKUP('Données projet'!$B$11,Paramètres!$A$1:$I$89,5,0)</f>
        <v>331.29199999999975</v>
      </c>
      <c r="BF120" s="13">
        <f t="shared" si="91"/>
        <v>77.698110787752</v>
      </c>
      <c r="BG120" s="20">
        <f t="shared" si="61"/>
        <v>712.32444295533423</v>
      </c>
      <c r="BH120" s="59">
        <f t="shared" si="62"/>
        <v>1005.6577762886675</v>
      </c>
      <c r="BI120" s="59">
        <f ca="1">AVERAGE(OFFSET($BH$3,0,0,'Données projet'!$E$11+1,1))-AVERAGE(OFFSET($H$3,0,0,'Données projet'!$E$11+1,1))</f>
        <v>316.58509520829671</v>
      </c>
      <c r="BJ120" s="59">
        <f t="shared" si="92"/>
        <v>240.71332110643596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0.45250756307643575</v>
      </c>
      <c r="BQ120" s="21">
        <f>EXP(-LN(2)/25)*BQ119+(1-EXP(-LN(2)/25))/(LN(2)/25)*Calculateur!BL120*Calculateur!BN120*VLOOKUP('Données projet'!$B$11,Paramètres!$A$1:$I$89,3,0)*0.475*44/12</f>
        <v>1.3683452279574415</v>
      </c>
      <c r="BR120" s="21">
        <f>EXP(-LN(2)/2)*BR119+(1-EXP(-LN(2)/2))/(LN(2)/2)*BL120*BO120*VLOOKUP('Données projet'!$B$11,Paramètres!$A$1:$I$89,3,0)*0.475*44/12</f>
        <v>1.7636760116687062E-12</v>
      </c>
      <c r="BS120" s="22">
        <f t="shared" si="63"/>
        <v>1.8208527910356409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-5.1159076974727213E-13</v>
      </c>
      <c r="BZ120" s="13">
        <f>BY120*VLOOKUP('Données projet'!$B$12,Paramètres!$A$1:$I$89,3,0)*VLOOKUP('Données projet'!$B$12,Paramètres!$A$1:$I$89,5,0)</f>
        <v>-4.0702161641092972E-13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260.20517190557814</v>
      </c>
      <c r="CE120" s="59">
        <f t="shared" si="94"/>
        <v>307.22009971147133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0.58256076756952024</v>
      </c>
      <c r="CL120" s="21">
        <f>EXP(-LN(2)/25)*CL119+(1-EXP(-LN(2)/25))/(LN(2)/25)*Calculateur!CG120*Calculateur!CI120*VLOOKUP('Données projet'!$B$12,Paramètres!$A$1:$I$89,3,0)*0.475*44/12</f>
        <v>1.8390120009014079</v>
      </c>
      <c r="CM120" s="21">
        <f>EXP(-LN(2)/2)*CM119+(1-EXP(-LN(2)/2))/(LN(2)/2)*CG120*CJ120*VLOOKUP('Données projet'!$B$12,Paramètres!$A$1:$I$89,3,0)*0.475*44/12</f>
        <v>1.9324675273879128E-12</v>
      </c>
      <c r="CN120" s="22">
        <f t="shared" si="66"/>
        <v>2.4215727684728607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</v>
      </c>
      <c r="CT120" s="12">
        <f>IF('Données projet'!$A$140&gt;35,CT119+CS120-DB119,IF(A120&lt;'Données projet'!$A$140,$CQ$205^A120,IF(A120='Données projet'!$A$140,'Données projet'!$B$140,CT119+CS120-DB119)))</f>
        <v>380.60000000000036</v>
      </c>
      <c r="CU120" s="17">
        <f>CT120*VLOOKUP('Données projet'!$B$13,Paramètres!$A$1:$I$89,3,0)*VLOOKUP('Données projet'!$B$13,Paramètres!$A$1:$I$89,5,0)</f>
        <v>326.55480000000034</v>
      </c>
      <c r="CV120" s="13">
        <f t="shared" si="95"/>
        <v>76.715593616667263</v>
      </c>
      <c r="CW120" s="20">
        <f t="shared" si="67"/>
        <v>702.36260221569603</v>
      </c>
      <c r="CX120" s="59">
        <f t="shared" si="68"/>
        <v>995.6959355490294</v>
      </c>
      <c r="CY120" s="59">
        <f ca="1">AVERAGE(OFFSET($CX$3,0,0,'Données projet'!$E$13+1,1))-AVERAGE(OFFSET($H$3,0,0,'Données projet'!$E$13+1,1))</f>
        <v>310.4018929413723</v>
      </c>
      <c r="CZ120" s="59">
        <f t="shared" si="96"/>
        <v>127.5231137583819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0.52764368670877793</v>
      </c>
      <c r="DH120" s="21">
        <f>EXP(-LN(2)/2)*DH119+(1-EXP(-LN(2)/2))/(LN(2)/2)*DB120*DE120*VLOOKUP('Données projet'!$B$13,Paramètres!$A$1:$I$89,3,0)*0.475*44/12</f>
        <v>7.1789593911927519E-13</v>
      </c>
      <c r="DI120" s="22">
        <f t="shared" si="69"/>
        <v>0.5276436867094958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>
        <f>DO120*VLOOKUP('Données projet'!$B$14,Paramètres!$A$1:$I$89,3,0)*VLOOKUP('Données projet'!$B$14,Paramètres!$A$1:$I$89,5,0)</f>
        <v>-3.7509835237869992E-13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234.09142087023463</v>
      </c>
      <c r="DU120" s="59">
        <f t="shared" si="98"/>
        <v>278.990685815294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0.43557355207473214</v>
      </c>
      <c r="EB120" s="21">
        <f>EXP(-LN(2)/25)*EB119+(1-EXP(-LN(2)/25))/(LN(2)/25)*Calculateur!DW120*Calculateur!DY120*VLOOKUP('Données projet'!$B$14,Paramètres!$A$1:$I$89,3,0)*0.475*44/12</f>
        <v>1.3750067531711994</v>
      </c>
      <c r="EC120" s="21">
        <f>EXP(-LN(2)/2)*EC119+(1-EXP(-LN(2)/2))/(LN(2)/2)*DW120*DZ120*VLOOKUP('Données projet'!$B$14,Paramètres!$A$1:$I$89,3,0)*0.475*44/12</f>
        <v>1.780901446808481E-12</v>
      </c>
      <c r="ED120" s="22">
        <f t="shared" si="72"/>
        <v>1.8105803052477123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210.04871822652808</v>
      </c>
      <c r="AO121" s="59">
        <f t="shared" si="90"/>
        <v>250.17540614049324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1.2779271988777352</v>
      </c>
      <c r="AV121" s="21">
        <f>EXP(-LN(2)/25)*AV120+(1-EXP(-LN(2)/25))/(LN(2)/25)*Calculateur!AQ121*Calculateur!AS121*VLOOKUP('Données projet'!$B$10,Paramètres!$A$1:$I$89,3,0)*0.475*44/12</f>
        <v>2.4260444688447351</v>
      </c>
      <c r="AW121" s="21">
        <f>EXP(-LN(2)/2)*AW120+(1-EXP(-LN(2)/2))/(LN(2)/2)*AQ121*AT121*VLOOKUP('Données projet'!$B$10,Paramètres!$A$1:$I$89,3,0)*0.475*44/12</f>
        <v>1.2251967255765352E-12</v>
      </c>
      <c r="AX121" s="21">
        <f t="shared" si="60"/>
        <v>3.7039716677236956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553.99999999999955</v>
      </c>
      <c r="BE121" s="13">
        <f>BD121*VLOOKUP('Données projet'!$B$11,Paramètres!$A$1:$I$89,3,0)*VLOOKUP('Données projet'!$B$11,Paramètres!$A$1:$I$89,5,0)</f>
        <v>331.29199999999975</v>
      </c>
      <c r="BF121" s="13">
        <f t="shared" si="91"/>
        <v>77.698110787752</v>
      </c>
      <c r="BG121" s="20">
        <f t="shared" si="61"/>
        <v>712.32444295533423</v>
      </c>
      <c r="BH121" s="59">
        <f t="shared" si="62"/>
        <v>1005.6577762886675</v>
      </c>
      <c r="BI121" s="59">
        <f ca="1">AVERAGE(OFFSET($BH$3,0,0,'Données projet'!$E$11+1,1))-AVERAGE(OFFSET($H$3,0,0,'Données projet'!$E$11+1,1))</f>
        <v>316.58509520829671</v>
      </c>
      <c r="BJ121" s="59">
        <f t="shared" si="92"/>
        <v>240.71332110643596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0.44363416576686737</v>
      </c>
      <c r="BQ121" s="21">
        <f>EXP(-LN(2)/25)*BQ120+(1-EXP(-LN(2)/25))/(LN(2)/25)*Calculateur!BL121*Calculateur!BN121*VLOOKUP('Données projet'!$B$11,Paramètres!$A$1:$I$89,3,0)*0.475*44/12</f>
        <v>1.330927755740797</v>
      </c>
      <c r="BR121" s="21">
        <f>EXP(-LN(2)/2)*BR120+(1-EXP(-LN(2)/2))/(LN(2)/2)*BL121*BO121*VLOOKUP('Données projet'!$B$11,Paramètres!$A$1:$I$89,3,0)*0.475*44/12</f>
        <v>1.2471072676669867E-12</v>
      </c>
      <c r="BS121" s="22">
        <f t="shared" si="63"/>
        <v>1.7745619215089115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-5.1159076974727213E-13</v>
      </c>
      <c r="BZ121" s="13">
        <f>BY121*VLOOKUP('Données projet'!$B$12,Paramètres!$A$1:$I$89,3,0)*VLOOKUP('Données projet'!$B$12,Paramètres!$A$1:$I$89,5,0)</f>
        <v>-4.0702161641092972E-13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260.20517190557814</v>
      </c>
      <c r="CE121" s="59">
        <f t="shared" si="94"/>
        <v>307.22009971147133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0.57113710624446457</v>
      </c>
      <c r="CL121" s="21">
        <f>EXP(-LN(2)/25)*CL120+(1-EXP(-LN(2)/25))/(LN(2)/25)*Calculateur!CG121*Calculateur!CI121*VLOOKUP('Données projet'!$B$12,Paramètres!$A$1:$I$89,3,0)*0.475*44/12</f>
        <v>1.7887241210273208</v>
      </c>
      <c r="CM121" s="21">
        <f>EXP(-LN(2)/2)*CM120+(1-EXP(-LN(2)/2))/(LN(2)/2)*CG121*CJ121*VLOOKUP('Données projet'!$B$12,Paramètres!$A$1:$I$89,3,0)*0.475*44/12</f>
        <v>1.3664608930387934E-12</v>
      </c>
      <c r="CN121" s="22">
        <f t="shared" si="66"/>
        <v>2.3598612272731518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</v>
      </c>
      <c r="CT121" s="12">
        <f>IF('Données projet'!$A$140&gt;35,CT120+CS121-DB120,IF(A121&lt;'Données projet'!$A$140,$CQ$205^A121,IF(A121='Données projet'!$A$140,'Données projet'!$B$140,CT120+CS121-DB120)))</f>
        <v>387.40000000000038</v>
      </c>
      <c r="CU121" s="17">
        <f>CT121*VLOOKUP('Données projet'!$B$13,Paramètres!$A$1:$I$89,3,0)*VLOOKUP('Données projet'!$B$13,Paramètres!$A$1:$I$89,5,0)</f>
        <v>332.38920000000036</v>
      </c>
      <c r="CV121" s="13">
        <f t="shared" si="95"/>
        <v>77.925441127286135</v>
      </c>
      <c r="CW121" s="20">
        <f t="shared" si="67"/>
        <v>714.63133329669063</v>
      </c>
      <c r="CX121" s="59">
        <f t="shared" si="68"/>
        <v>1007.9646666300239</v>
      </c>
      <c r="CY121" s="59">
        <f ca="1">AVERAGE(OFFSET($CX$3,0,0,'Données projet'!$E$13+1,1))-AVERAGE(OFFSET($H$3,0,0,'Données projet'!$E$13+1,1))</f>
        <v>310.4018929413723</v>
      </c>
      <c r="CZ121" s="59">
        <f t="shared" si="96"/>
        <v>127.5231137583819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0.51321524234815086</v>
      </c>
      <c r="DH121" s="21">
        <f>EXP(-LN(2)/2)*DH120+(1-EXP(-LN(2)/2))/(LN(2)/2)*DB121*DE121*VLOOKUP('Données projet'!$B$13,Paramètres!$A$1:$I$89,3,0)*0.475*44/12</f>
        <v>5.0762908673752437E-13</v>
      </c>
      <c r="DI121" s="22">
        <f t="shared" si="69"/>
        <v>0.51321524234865845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>
        <f>DO121*VLOOKUP('Données projet'!$B$14,Paramètres!$A$1:$I$89,3,0)*VLOOKUP('Données projet'!$B$14,Paramètres!$A$1:$I$89,5,0)</f>
        <v>-3.7509835237869992E-13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234.09142087023463</v>
      </c>
      <c r="DU121" s="59">
        <f t="shared" si="98"/>
        <v>278.990685815294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0.42703222039218031</v>
      </c>
      <c r="EB121" s="21">
        <f>EXP(-LN(2)/25)*EB120+(1-EXP(-LN(2)/25))/(LN(2)/25)*Calculateur!DW121*Calculateur!DY121*VLOOKUP('Données projet'!$B$14,Paramètres!$A$1:$I$89,3,0)*0.475*44/12</f>
        <v>1.3374071211972705</v>
      </c>
      <c r="EC121" s="21">
        <f>EXP(-LN(2)/2)*EC120+(1-EXP(-LN(2)/2))/(LN(2)/2)*DW121*DZ121*VLOOKUP('Données projet'!$B$14,Paramètres!$A$1:$I$89,3,0)*0.475*44/12</f>
        <v>1.2592874896632105E-12</v>
      </c>
      <c r="ED121" s="22">
        <f t="shared" si="72"/>
        <v>1.76443934159071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210.04871822652808</v>
      </c>
      <c r="AO122" s="59">
        <f t="shared" si="90"/>
        <v>250.17540614049324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1.252867825966369</v>
      </c>
      <c r="AV122" s="21">
        <f>EXP(-LN(2)/25)*AV121+(1-EXP(-LN(2)/25))/(LN(2)/25)*Calculateur!AQ122*Calculateur!AS122*VLOOKUP('Données projet'!$B$10,Paramètres!$A$1:$I$89,3,0)*0.475*44/12</f>
        <v>2.3597041552640419</v>
      </c>
      <c r="AW122" s="21">
        <f>EXP(-LN(2)/2)*AW121+(1-EXP(-LN(2)/2))/(LN(2)/2)*AQ122*AT122*VLOOKUP('Données projet'!$B$10,Paramètres!$A$1:$I$89,3,0)*0.475*44/12</f>
        <v>8.6634491294272159E-13</v>
      </c>
      <c r="AX122" s="21">
        <f t="shared" si="60"/>
        <v>3.6125719812312771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553.99999999999955</v>
      </c>
      <c r="BE122" s="13">
        <f>BD122*VLOOKUP('Données projet'!$B$11,Paramètres!$A$1:$I$89,3,0)*VLOOKUP('Données projet'!$B$11,Paramètres!$A$1:$I$89,5,0)</f>
        <v>331.29199999999975</v>
      </c>
      <c r="BF122" s="13">
        <f t="shared" si="91"/>
        <v>77.698110787752</v>
      </c>
      <c r="BG122" s="20">
        <f t="shared" si="61"/>
        <v>712.32444295533423</v>
      </c>
      <c r="BH122" s="59">
        <f t="shared" si="62"/>
        <v>1005.6577762886675</v>
      </c>
      <c r="BI122" s="59">
        <f ca="1">AVERAGE(OFFSET($BH$3,0,0,'Données projet'!$E$11+1,1))-AVERAGE(OFFSET($H$3,0,0,'Données projet'!$E$11+1,1))</f>
        <v>316.58509520829671</v>
      </c>
      <c r="BJ122" s="59">
        <f t="shared" si="92"/>
        <v>240.71332110643596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0.43493477036630168</v>
      </c>
      <c r="BQ122" s="21">
        <f>EXP(-LN(2)/25)*BQ121+(1-EXP(-LN(2)/25))/(LN(2)/25)*Calculateur!BL122*Calculateur!BN122*VLOOKUP('Données projet'!$B$11,Paramètres!$A$1:$I$89,3,0)*0.475*44/12</f>
        <v>1.2945334662696162</v>
      </c>
      <c r="BR122" s="21">
        <f>EXP(-LN(2)/2)*BR121+(1-EXP(-LN(2)/2))/(LN(2)/2)*BL122*BO122*VLOOKUP('Données projet'!$B$11,Paramètres!$A$1:$I$89,3,0)*0.475*44/12</f>
        <v>8.8183800583435312E-13</v>
      </c>
      <c r="BS122" s="22">
        <f t="shared" si="63"/>
        <v>1.7294682366367995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-5.1159076974727213E-13</v>
      </c>
      <c r="BZ122" s="13">
        <f>BY122*VLOOKUP('Données projet'!$B$12,Paramètres!$A$1:$I$89,3,0)*VLOOKUP('Données projet'!$B$12,Paramètres!$A$1:$I$89,5,0)</f>
        <v>-4.0702161641092972E-13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260.20517190557814</v>
      </c>
      <c r="CE122" s="59">
        <f t="shared" si="94"/>
        <v>307.22009971147133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0.5599374559502478</v>
      </c>
      <c r="CL122" s="21">
        <f>EXP(-LN(2)/25)*CL121+(1-EXP(-LN(2)/25))/(LN(2)/25)*Calculateur!CG122*Calculateur!CI122*VLOOKUP('Données projet'!$B$12,Paramètres!$A$1:$I$89,3,0)*0.475*44/12</f>
        <v>1.7398113658729153</v>
      </c>
      <c r="CM122" s="21">
        <f>EXP(-LN(2)/2)*CM121+(1-EXP(-LN(2)/2))/(LN(2)/2)*CG122*CJ122*VLOOKUP('Données projet'!$B$12,Paramètres!$A$1:$I$89,3,0)*0.475*44/12</f>
        <v>9.6623376369395642E-13</v>
      </c>
      <c r="CN122" s="22">
        <f t="shared" si="66"/>
        <v>2.2997488218241293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6.8</v>
      </c>
      <c r="CT122" s="12">
        <f>IF('Données projet'!$A$140&gt;35,CT121+CS122-DB121,IF(A122&lt;'Données projet'!$A$140,$CQ$205^A122,IF(A122='Données projet'!$A$140,'Données projet'!$B$140,CT121+CS122-DB121)))</f>
        <v>394.20000000000039</v>
      </c>
      <c r="CU122" s="17">
        <f>CT122*VLOOKUP('Données projet'!$B$13,Paramètres!$A$1:$I$89,3,0)*VLOOKUP('Données projet'!$B$13,Paramètres!$A$1:$I$89,5,0)</f>
        <v>338.22360000000037</v>
      </c>
      <c r="CV122" s="13">
        <f t="shared" si="95"/>
        <v>79.132819115910223</v>
      </c>
      <c r="CW122" s="20">
        <f t="shared" si="67"/>
        <v>726.89576329354441</v>
      </c>
      <c r="CX122" s="59">
        <f t="shared" si="68"/>
        <v>1020.2290966268777</v>
      </c>
      <c r="CY122" s="59">
        <f ca="1">AVERAGE(OFFSET($CX$3,0,0,'Données projet'!$E$13+1,1))-AVERAGE(OFFSET($H$3,0,0,'Données projet'!$E$13+1,1))</f>
        <v>310.4018929413723</v>
      </c>
      <c r="CZ122" s="59">
        <f t="shared" si="96"/>
        <v>127.5231137583819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0.49918134455732405</v>
      </c>
      <c r="DH122" s="21">
        <f>EXP(-LN(2)/2)*DH121+(1-EXP(-LN(2)/2))/(LN(2)/2)*DB122*DE122*VLOOKUP('Données projet'!$B$13,Paramètres!$A$1:$I$89,3,0)*0.475*44/12</f>
        <v>3.589479695596376E-13</v>
      </c>
      <c r="DI122" s="22">
        <f t="shared" si="69"/>
        <v>0.49918134455768298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>
        <f>DO122*VLOOKUP('Données projet'!$B$14,Paramètres!$A$1:$I$89,3,0)*VLOOKUP('Données projet'!$B$14,Paramètres!$A$1:$I$89,5,0)</f>
        <v>-3.7509835237869992E-13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234.09142087023463</v>
      </c>
      <c r="DU122" s="59">
        <f t="shared" si="98"/>
        <v>278.990685815294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0.41865837901422542</v>
      </c>
      <c r="EB122" s="21">
        <f>EXP(-LN(2)/25)*EB121+(1-EXP(-LN(2)/25))/(LN(2)/25)*Calculateur!DW122*Calculateur!DY122*VLOOKUP('Données projet'!$B$14,Paramètres!$A$1:$I$89,3,0)*0.475*44/12</f>
        <v>1.3008356531369474</v>
      </c>
      <c r="EC122" s="21">
        <f>EXP(-LN(2)/2)*EC121+(1-EXP(-LN(2)/2))/(LN(2)/2)*DW122*DZ122*VLOOKUP('Données projet'!$B$14,Paramètres!$A$1:$I$89,3,0)*0.475*44/12</f>
        <v>8.9045072340424059E-13</v>
      </c>
      <c r="ED122" s="22">
        <f t="shared" si="72"/>
        <v>1.7194940321520633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210.04871822652808</v>
      </c>
      <c r="AO123" s="59">
        <f t="shared" si="90"/>
        <v>250.17540614049324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1.2282998520730866</v>
      </c>
      <c r="AV123" s="21">
        <f>EXP(-LN(2)/25)*AV122+(1-EXP(-LN(2)/25))/(LN(2)/25)*Calculateur!AQ123*Calculateur!AS123*VLOOKUP('Données projet'!$B$10,Paramètres!$A$1:$I$89,3,0)*0.475*44/12</f>
        <v>2.2951779210468981</v>
      </c>
      <c r="AW123" s="21">
        <f>EXP(-LN(2)/2)*AW122+(1-EXP(-LN(2)/2))/(LN(2)/2)*AQ123*AT123*VLOOKUP('Données projet'!$B$10,Paramètres!$A$1:$I$89,3,0)*0.475*44/12</f>
        <v>6.125983627882676E-13</v>
      </c>
      <c r="AX123" s="21">
        <f t="shared" si="60"/>
        <v>3.5234777731205971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553.99999999999955</v>
      </c>
      <c r="BE123" s="13">
        <f>BD123*VLOOKUP('Données projet'!$B$11,Paramètres!$A$1:$I$89,3,0)*VLOOKUP('Données projet'!$B$11,Paramètres!$A$1:$I$89,5,0)</f>
        <v>331.29199999999975</v>
      </c>
      <c r="BF123" s="13">
        <f t="shared" si="91"/>
        <v>77.698110787752</v>
      </c>
      <c r="BG123" s="20">
        <f t="shared" si="61"/>
        <v>712.32444295533423</v>
      </c>
      <c r="BH123" s="59">
        <f t="shared" si="62"/>
        <v>1005.6577762886675</v>
      </c>
      <c r="BI123" s="59">
        <f ca="1">AVERAGE(OFFSET($BH$3,0,0,'Données projet'!$E$11+1,1))-AVERAGE(OFFSET($H$3,0,0,'Données projet'!$E$11+1,1))</f>
        <v>316.58509520829671</v>
      </c>
      <c r="BJ123" s="59">
        <f t="shared" si="92"/>
        <v>240.71332110643596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0.42640596480343379</v>
      </c>
      <c r="BQ123" s="21">
        <f>EXP(-LN(2)/25)*BQ122+(1-EXP(-LN(2)/25))/(LN(2)/25)*Calculateur!BL123*Calculateur!BN123*VLOOKUP('Données projet'!$B$11,Paramètres!$A$1:$I$89,3,0)*0.475*44/12</f>
        <v>1.2591343805579172</v>
      </c>
      <c r="BR123" s="21">
        <f>EXP(-LN(2)/2)*BR122+(1-EXP(-LN(2)/2))/(LN(2)/2)*BL123*BO123*VLOOKUP('Données projet'!$B$11,Paramètres!$A$1:$I$89,3,0)*0.475*44/12</f>
        <v>6.2355363383349334E-13</v>
      </c>
      <c r="BS123" s="22">
        <f t="shared" si="63"/>
        <v>1.6855403453619744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-5.1159076974727213E-13</v>
      </c>
      <c r="BZ123" s="13">
        <f>BY123*VLOOKUP('Données projet'!$B$12,Paramètres!$A$1:$I$89,3,0)*VLOOKUP('Données projet'!$B$12,Paramètres!$A$1:$I$89,5,0)</f>
        <v>-4.0702161641092972E-13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260.20517190557814</v>
      </c>
      <c r="CE123" s="59">
        <f t="shared" si="94"/>
        <v>307.22009971147133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0.5489574239671885</v>
      </c>
      <c r="CL123" s="21">
        <f>EXP(-LN(2)/25)*CL122+(1-EXP(-LN(2)/25))/(LN(2)/25)*Calculateur!CG123*Calculateur!CI123*VLOOKUP('Données projet'!$B$12,Paramètres!$A$1:$I$89,3,0)*0.475*44/12</f>
        <v>1.6922361325804172</v>
      </c>
      <c r="CM123" s="21">
        <f>EXP(-LN(2)/2)*CM122+(1-EXP(-LN(2)/2))/(LN(2)/2)*CG123*CJ123*VLOOKUP('Données projet'!$B$12,Paramètres!$A$1:$I$89,3,0)*0.475*44/12</f>
        <v>6.8323044651939671E-13</v>
      </c>
      <c r="CN123" s="22">
        <f t="shared" si="66"/>
        <v>2.2411935565482888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401</v>
      </c>
      <c r="CR123" s="12">
        <f>VLOOKUP(A123,'Données projet'!$A$139:$I$159,9,0)</f>
        <v>6.8</v>
      </c>
      <c r="CS123" s="12">
        <f t="array" ref="CS123">INDEX(CR:CR,MIN(IF(ISNUMBER(CR123:CR319),ROW(CR123:CR319),"")))</f>
        <v>6.8</v>
      </c>
      <c r="CT123" s="12">
        <f>IF('Données projet'!$A$140&gt;35,CT122+CS123-DB122,IF(A123&lt;'Données projet'!$A$140,$CQ$205^A123,IF(A123='Données projet'!$A$140,'Données projet'!$B$140,CT122+CS123-DB122)))</f>
        <v>401.0000000000004</v>
      </c>
      <c r="CU123" s="17">
        <f>CT123*VLOOKUP('Données projet'!$B$13,Paramètres!$A$1:$I$89,3,0)*VLOOKUP('Données projet'!$B$13,Paramètres!$A$1:$I$89,5,0)</f>
        <v>344.05800000000039</v>
      </c>
      <c r="CV123" s="13">
        <f t="shared" si="95"/>
        <v>80.337775097732305</v>
      </c>
      <c r="CW123" s="20">
        <f t="shared" si="67"/>
        <v>739.15597496188423</v>
      </c>
      <c r="CX123" s="59">
        <f t="shared" si="68"/>
        <v>1032.4893082952176</v>
      </c>
      <c r="CY123" s="59">
        <f ca="1">AVERAGE(OFFSET($CX$3,0,0,'Données projet'!$E$13+1,1))-AVERAGE(OFFSET($H$3,0,0,'Données projet'!$E$13+1,1))</f>
        <v>310.4018929413723</v>
      </c>
      <c r="CZ123" s="59">
        <f t="shared" si="96"/>
        <v>127.5231137583819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53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0.48553120443959802</v>
      </c>
      <c r="DH123" s="21">
        <f>EXP(-LN(2)/2)*DH122+(1-EXP(-LN(2)/2))/(LN(2)/2)*DB123*DE123*VLOOKUP('Données projet'!$B$13,Paramètres!$A$1:$I$89,3,0)*0.475*44/12</f>
        <v>2.5381454336876218E-13</v>
      </c>
      <c r="DI123" s="22">
        <f t="shared" si="69"/>
        <v>0.48553120443985182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>
        <f>DO123*VLOOKUP('Données projet'!$B$14,Paramètres!$A$1:$I$89,3,0)*VLOOKUP('Données projet'!$B$14,Paramètres!$A$1:$I$89,5,0)</f>
        <v>-3.7509835237869992E-13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234.09142087023463</v>
      </c>
      <c r="DU123" s="59">
        <f t="shared" si="98"/>
        <v>278.990685815294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0.41044874355815331</v>
      </c>
      <c r="EB123" s="21">
        <f>EXP(-LN(2)/25)*EB122+(1-EXP(-LN(2)/25))/(LN(2)/25)*Calculateur!DW123*Calculateur!DY123*VLOOKUP('Données projet'!$B$14,Paramètres!$A$1:$I$89,3,0)*0.475*44/12</f>
        <v>1.2652642337939437</v>
      </c>
      <c r="EC123" s="21">
        <f>EXP(-LN(2)/2)*EC122+(1-EXP(-LN(2)/2))/(LN(2)/2)*DW123*DZ123*VLOOKUP('Données projet'!$B$14,Paramètres!$A$1:$I$89,3,0)*0.475*44/12</f>
        <v>6.2964374483160537E-13</v>
      </c>
      <c r="ED123" s="22">
        <f t="shared" si="72"/>
        <v>1.6757129773527266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210.04871822652808</v>
      </c>
      <c r="AO124" s="59">
        <f t="shared" si="90"/>
        <v>250.17540614049324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1.2042136411628668</v>
      </c>
      <c r="AV124" s="21">
        <f>EXP(-LN(2)/25)*AV123+(1-EXP(-LN(2)/25))/(LN(2)/25)*Calculateur!AQ124*Calculateur!AS124*VLOOKUP('Données projet'!$B$10,Paramètres!$A$1:$I$89,3,0)*0.475*44/12</f>
        <v>2.2324161600977095</v>
      </c>
      <c r="AW124" s="21">
        <f>EXP(-LN(2)/2)*AW123+(1-EXP(-LN(2)/2))/(LN(2)/2)*AQ124*AT124*VLOOKUP('Données projet'!$B$10,Paramètres!$A$1:$I$89,3,0)*0.475*44/12</f>
        <v>4.331724564713608E-13</v>
      </c>
      <c r="AX124" s="21">
        <f t="shared" si="60"/>
        <v>3.436629801261009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553.99999999999955</v>
      </c>
      <c r="BE124" s="13">
        <f>BD124*VLOOKUP('Données projet'!$B$11,Paramètres!$A$1:$I$89,3,0)*VLOOKUP('Données projet'!$B$11,Paramètres!$A$1:$I$89,5,0)</f>
        <v>331.29199999999975</v>
      </c>
      <c r="BF124" s="13">
        <f t="shared" si="91"/>
        <v>77.698110787752</v>
      </c>
      <c r="BG124" s="20">
        <f t="shared" si="61"/>
        <v>712.32444295533423</v>
      </c>
      <c r="BH124" s="59">
        <f t="shared" si="62"/>
        <v>1005.6577762886675</v>
      </c>
      <c r="BI124" s="59">
        <f ca="1">AVERAGE(OFFSET($BH$3,0,0,'Données projet'!$E$11+1,1))-AVERAGE(OFFSET($H$3,0,0,'Données projet'!$E$11+1,1))</f>
        <v>316.58509520829671</v>
      </c>
      <c r="BJ124" s="59">
        <f t="shared" si="92"/>
        <v>240.71332110643596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0.418044403915596</v>
      </c>
      <c r="BQ124" s="21">
        <f>EXP(-LN(2)/25)*BQ123+(1-EXP(-LN(2)/25))/(LN(2)/25)*Calculateur!BL124*Calculateur!BN124*VLOOKUP('Données projet'!$B$11,Paramètres!$A$1:$I$89,3,0)*0.475*44/12</f>
        <v>1.2247032847065615</v>
      </c>
      <c r="BR124" s="21">
        <f>EXP(-LN(2)/2)*BR123+(1-EXP(-LN(2)/2))/(LN(2)/2)*BL124*BO124*VLOOKUP('Données projet'!$B$11,Paramètres!$A$1:$I$89,3,0)*0.475*44/12</f>
        <v>4.4091900291717656E-13</v>
      </c>
      <c r="BS124" s="22">
        <f t="shared" si="63"/>
        <v>1.6427476886225985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-5.1159076974727213E-13</v>
      </c>
      <c r="BZ124" s="13">
        <f>BY124*VLOOKUP('Données projet'!$B$12,Paramètres!$A$1:$I$89,3,0)*VLOOKUP('Données projet'!$B$12,Paramètres!$A$1:$I$89,5,0)</f>
        <v>-4.0702161641092972E-13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260.20517190557814</v>
      </c>
      <c r="CE124" s="59">
        <f t="shared" si="94"/>
        <v>307.22009971147133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0.53819270371415873</v>
      </c>
      <c r="CL124" s="21">
        <f>EXP(-LN(2)/25)*CL123+(1-EXP(-LN(2)/25))/(LN(2)/25)*Calculateur!CG124*Calculateur!CI124*VLOOKUP('Données projet'!$B$12,Paramètres!$A$1:$I$89,3,0)*0.475*44/12</f>
        <v>1.6459618465441752</v>
      </c>
      <c r="CM124" s="21">
        <f>EXP(-LN(2)/2)*CM123+(1-EXP(-LN(2)/2))/(LN(2)/2)*CG124*CJ124*VLOOKUP('Données projet'!$B$12,Paramètres!$A$1:$I$89,3,0)*0.475*44/12</f>
        <v>4.8311688184697821E-13</v>
      </c>
      <c r="CN124" s="22">
        <f t="shared" si="66"/>
        <v>2.1841545502588171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5.9</v>
      </c>
      <c r="CT124" s="12">
        <f>IF('Données projet'!$A$140&gt;35,CT123+CS124-DB123,IF(A124&lt;'Données projet'!$A$140,$CQ$205^A124,IF(A124='Données projet'!$A$140,'Données projet'!$B$140,CT123+CS124-DB123)))</f>
        <v>353.90000000000038</v>
      </c>
      <c r="CU124" s="17">
        <f>CT124*VLOOKUP('Données projet'!$B$13,Paramètres!$A$1:$I$89,3,0)*VLOOKUP('Données projet'!$B$13,Paramètres!$A$1:$I$89,5,0)</f>
        <v>303.64620000000036</v>
      </c>
      <c r="CV124" s="13">
        <f t="shared" si="95"/>
        <v>71.940308781184143</v>
      </c>
      <c r="CW124" s="20">
        <f t="shared" si="67"/>
        <v>654.14650279389639</v>
      </c>
      <c r="CX124" s="59">
        <f t="shared" si="68"/>
        <v>947.47983612722965</v>
      </c>
      <c r="CY124" s="59">
        <f ca="1">AVERAGE(OFFSET($CX$3,0,0,'Données projet'!$E$13+1,1))-AVERAGE(OFFSET($H$3,0,0,'Données projet'!$E$13+1,1))</f>
        <v>310.4018929413723</v>
      </c>
      <c r="CZ124" s="59">
        <f t="shared" si="96"/>
        <v>127.5231137583819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0.47225432812122087</v>
      </c>
      <c r="DH124" s="21">
        <f>EXP(-LN(2)/2)*DH123+(1-EXP(-LN(2)/2))/(LN(2)/2)*DB124*DE124*VLOOKUP('Données projet'!$B$13,Paramètres!$A$1:$I$89,3,0)*0.475*44/12</f>
        <v>1.794739847798188E-13</v>
      </c>
      <c r="DI124" s="22">
        <f t="shared" si="69"/>
        <v>0.47225432812140034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>
        <f>DO124*VLOOKUP('Données projet'!$B$14,Paramètres!$A$1:$I$89,3,0)*VLOOKUP('Données projet'!$B$14,Paramètres!$A$1:$I$89,5,0)</f>
        <v>-3.7509835237869992E-13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234.09142087023463</v>
      </c>
      <c r="DU124" s="59">
        <f t="shared" si="98"/>
        <v>278.990685815294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0.40240009404599159</v>
      </c>
      <c r="EB124" s="21">
        <f>EXP(-LN(2)/25)*EB123+(1-EXP(-LN(2)/25))/(LN(2)/25)*Calculateur!DW124*Calculateur!DY124*VLOOKUP('Données projet'!$B$14,Paramètres!$A$1:$I$89,3,0)*0.475*44/12</f>
        <v>1.2306655167834941</v>
      </c>
      <c r="EC124" s="21">
        <f>EXP(-LN(2)/2)*EC123+(1-EXP(-LN(2)/2))/(LN(2)/2)*DW124*DZ124*VLOOKUP('Données projet'!$B$14,Paramètres!$A$1:$I$89,3,0)*0.475*44/12</f>
        <v>4.4522536170212039E-13</v>
      </c>
      <c r="ED124" s="22">
        <f t="shared" si="72"/>
        <v>1.6330656108299308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210.04871822652808</v>
      </c>
      <c r="AO125" s="59">
        <f t="shared" si="90"/>
        <v>250.17540614049324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1.1805997461574584</v>
      </c>
      <c r="AV125" s="21">
        <f>EXP(-LN(2)/25)*AV124+(1-EXP(-LN(2)/25))/(LN(2)/25)*Calculateur!AQ125*Calculateur!AS125*VLOOKUP('Données projet'!$B$10,Paramètres!$A$1:$I$89,3,0)*0.475*44/12</f>
        <v>2.1713706228021739</v>
      </c>
      <c r="AW125" s="21">
        <f>EXP(-LN(2)/2)*AW124+(1-EXP(-LN(2)/2))/(LN(2)/2)*AQ125*AT125*VLOOKUP('Données projet'!$B$10,Paramètres!$A$1:$I$89,3,0)*0.475*44/12</f>
        <v>3.062991813941338E-13</v>
      </c>
      <c r="AX125" s="21">
        <f t="shared" si="60"/>
        <v>3.3519703689599387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553.99999999999955</v>
      </c>
      <c r="BE125" s="13">
        <f>BD125*VLOOKUP('Données projet'!$B$11,Paramètres!$A$1:$I$89,3,0)*VLOOKUP('Données projet'!$B$11,Paramètres!$A$1:$I$89,5,0)</f>
        <v>331.29199999999975</v>
      </c>
      <c r="BF125" s="13">
        <f t="shared" si="91"/>
        <v>77.698110787752</v>
      </c>
      <c r="BG125" s="20">
        <f t="shared" si="61"/>
        <v>712.32444295533423</v>
      </c>
      <c r="BH125" s="59">
        <f t="shared" si="62"/>
        <v>1005.6577762886675</v>
      </c>
      <c r="BI125" s="59">
        <f ca="1">AVERAGE(OFFSET($BH$3,0,0,'Données projet'!$E$11+1,1))-AVERAGE(OFFSET($H$3,0,0,'Données projet'!$E$11+1,1))</f>
        <v>316.58509520829671</v>
      </c>
      <c r="BJ125" s="59">
        <f t="shared" si="92"/>
        <v>240.71332110643596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0.4098468081367202</v>
      </c>
      <c r="BQ125" s="21">
        <f>EXP(-LN(2)/25)*BQ124+(1-EXP(-LN(2)/25))/(LN(2)/25)*Calculateur!BL125*Calculateur!BN125*VLOOKUP('Données projet'!$B$11,Paramètres!$A$1:$I$89,3,0)*0.475*44/12</f>
        <v>1.1912137089819139</v>
      </c>
      <c r="BR125" s="21">
        <f>EXP(-LN(2)/2)*BR124+(1-EXP(-LN(2)/2))/(LN(2)/2)*BL125*BO125*VLOOKUP('Données projet'!$B$11,Paramètres!$A$1:$I$89,3,0)*0.475*44/12</f>
        <v>3.1177681691674667E-13</v>
      </c>
      <c r="BS125" s="22">
        <f t="shared" si="63"/>
        <v>1.6010605171189458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-5.1159076974727213E-13</v>
      </c>
      <c r="BZ125" s="13">
        <f>BY125*VLOOKUP('Données projet'!$B$12,Paramètres!$A$1:$I$89,3,0)*VLOOKUP('Données projet'!$B$12,Paramètres!$A$1:$I$89,5,0)</f>
        <v>-4.0702161641092972E-13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260.20517190557814</v>
      </c>
      <c r="CE125" s="59">
        <f t="shared" si="94"/>
        <v>307.22009971147133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0.5276390730594599</v>
      </c>
      <c r="CL125" s="21">
        <f>EXP(-LN(2)/25)*CL124+(1-EXP(-LN(2)/25))/(LN(2)/25)*Calculateur!CG125*Calculateur!CI125*VLOOKUP('Données projet'!$B$12,Paramètres!$A$1:$I$89,3,0)*0.475*44/12</f>
        <v>1.6009529332930532</v>
      </c>
      <c r="CM125" s="21">
        <f>EXP(-LN(2)/2)*CM124+(1-EXP(-LN(2)/2))/(LN(2)/2)*CG125*CJ125*VLOOKUP('Données projet'!$B$12,Paramètres!$A$1:$I$89,3,0)*0.475*44/12</f>
        <v>3.4161522325969836E-13</v>
      </c>
      <c r="CN125" s="22">
        <f t="shared" si="66"/>
        <v>2.1285920063528545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5.9</v>
      </c>
      <c r="CT125" s="12">
        <f>IF('Données projet'!$A$140&gt;35,CT124+CS125-DB124,IF(A125&lt;'Données projet'!$A$140,$CQ$205^A125,IF(A125='Données projet'!$A$140,'Données projet'!$B$140,CT124+CS125-DB124)))</f>
        <v>359.80000000000035</v>
      </c>
      <c r="CU125" s="17">
        <f>CT125*VLOOKUP('Données projet'!$B$13,Paramètres!$A$1:$I$89,3,0)*VLOOKUP('Données projet'!$B$13,Paramètres!$A$1:$I$89,5,0)</f>
        <v>308.70840000000032</v>
      </c>
      <c r="CV125" s="13">
        <f t="shared" si="95"/>
        <v>72.999027175082958</v>
      </c>
      <c r="CW125" s="20">
        <f t="shared" si="67"/>
        <v>664.8071023299367</v>
      </c>
      <c r="CX125" s="59">
        <f t="shared" si="68"/>
        <v>958.14043566326995</v>
      </c>
      <c r="CY125" s="59">
        <f ca="1">AVERAGE(OFFSET($CX$3,0,0,'Données projet'!$E$13+1,1))-AVERAGE(OFFSET($H$3,0,0,'Données projet'!$E$13+1,1))</f>
        <v>310.4018929413723</v>
      </c>
      <c r="CZ125" s="59">
        <f t="shared" si="96"/>
        <v>127.5231137583819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0.45934050868397031</v>
      </c>
      <c r="DH125" s="21">
        <f>EXP(-LN(2)/2)*DH124+(1-EXP(-LN(2)/2))/(LN(2)/2)*DB125*DE125*VLOOKUP('Données projet'!$B$13,Paramètres!$A$1:$I$89,3,0)*0.475*44/12</f>
        <v>1.2690727168438109E-13</v>
      </c>
      <c r="DI125" s="22">
        <f t="shared" si="69"/>
        <v>0.4593405086840972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>
        <f>DO125*VLOOKUP('Données projet'!$B$14,Paramètres!$A$1:$I$89,3,0)*VLOOKUP('Données projet'!$B$14,Paramètres!$A$1:$I$89,5,0)</f>
        <v>-3.7509835237869992E-13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234.09142087023463</v>
      </c>
      <c r="DU125" s="59">
        <f t="shared" si="98"/>
        <v>278.990685815294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0.3945092736415719</v>
      </c>
      <c r="EB125" s="21">
        <f>EXP(-LN(2)/25)*EB124+(1-EXP(-LN(2)/25))/(LN(2)/25)*Calculateur!DW125*Calculateur!DY125*VLOOKUP('Données projet'!$B$14,Paramètres!$A$1:$I$89,3,0)*0.475*44/12</f>
        <v>1.1970129035091626</v>
      </c>
      <c r="EC125" s="21">
        <f>EXP(-LN(2)/2)*EC124+(1-EXP(-LN(2)/2))/(LN(2)/2)*DW125*DZ125*VLOOKUP('Données projet'!$B$14,Paramètres!$A$1:$I$89,3,0)*0.475*44/12</f>
        <v>3.1482187241580273E-13</v>
      </c>
      <c r="ED125" s="22">
        <f t="shared" si="72"/>
        <v>1.5915221771510493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210.04871822652808</v>
      </c>
      <c r="AO126" s="59">
        <f t="shared" si="90"/>
        <v>250.17540614049324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1.1574489052300523</v>
      </c>
      <c r="AV126" s="21">
        <f>EXP(-LN(2)/25)*AV125+(1-EXP(-LN(2)/25))/(LN(2)/25)*Calculateur!AQ126*Calculateur!AS126*VLOOKUP('Données projet'!$B$10,Paramètres!$A$1:$I$89,3,0)*0.475*44/12</f>
        <v>2.1119943789342299</v>
      </c>
      <c r="AW126" s="21">
        <f>EXP(-LN(2)/2)*AW125+(1-EXP(-LN(2)/2))/(LN(2)/2)*AQ126*AT126*VLOOKUP('Données projet'!$B$10,Paramètres!$A$1:$I$89,3,0)*0.475*44/12</f>
        <v>2.165862282356804E-13</v>
      </c>
      <c r="AX126" s="21">
        <f t="shared" si="60"/>
        <v>3.2694432841644989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553.99999999999955</v>
      </c>
      <c r="BE126" s="13">
        <f>BD126*VLOOKUP('Données projet'!$B$11,Paramètres!$A$1:$I$89,3,0)*VLOOKUP('Données projet'!$B$11,Paramètres!$A$1:$I$89,5,0)</f>
        <v>331.29199999999975</v>
      </c>
      <c r="BF126" s="13">
        <f t="shared" si="91"/>
        <v>77.698110787752</v>
      </c>
      <c r="BG126" s="20">
        <f t="shared" si="61"/>
        <v>712.32444295533423</v>
      </c>
      <c r="BH126" s="59">
        <f t="shared" si="62"/>
        <v>1005.6577762886675</v>
      </c>
      <c r="BI126" s="59">
        <f ca="1">AVERAGE(OFFSET($BH$3,0,0,'Données projet'!$E$11+1,1))-AVERAGE(OFFSET($H$3,0,0,'Données projet'!$E$11+1,1))</f>
        <v>316.58509520829671</v>
      </c>
      <c r="BJ126" s="59">
        <f t="shared" si="92"/>
        <v>240.71332110643596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0.40180996221102844</v>
      </c>
      <c r="BQ126" s="21">
        <f>EXP(-LN(2)/25)*BQ125+(1-EXP(-LN(2)/25))/(LN(2)/25)*Calculateur!BL126*Calculateur!BN126*VLOOKUP('Données projet'!$B$11,Paramètres!$A$1:$I$89,3,0)*0.475*44/12</f>
        <v>1.1586399074665972</v>
      </c>
      <c r="BR126" s="21">
        <f>EXP(-LN(2)/2)*BR125+(1-EXP(-LN(2)/2))/(LN(2)/2)*BL126*BO126*VLOOKUP('Données projet'!$B$11,Paramètres!$A$1:$I$89,3,0)*0.475*44/12</f>
        <v>2.2045950145858828E-13</v>
      </c>
      <c r="BS126" s="22">
        <f t="shared" si="63"/>
        <v>1.5604498696778462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-5.1159076974727213E-13</v>
      </c>
      <c r="BZ126" s="13">
        <f>BY126*VLOOKUP('Données projet'!$B$12,Paramètres!$A$1:$I$89,3,0)*VLOOKUP('Données projet'!$B$12,Paramètres!$A$1:$I$89,5,0)</f>
        <v>-4.0702161641092972E-13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260.20517190557814</v>
      </c>
      <c r="CE126" s="59">
        <f t="shared" si="94"/>
        <v>307.22009971147133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0.51729239266482052</v>
      </c>
      <c r="CL126" s="21">
        <f>EXP(-LN(2)/25)*CL125+(1-EXP(-LN(2)/25))/(LN(2)/25)*Calculateur!CG126*Calculateur!CI126*VLOOKUP('Données projet'!$B$12,Paramètres!$A$1:$I$89,3,0)*0.475*44/12</f>
        <v>1.5571747911416989</v>
      </c>
      <c r="CM126" s="21">
        <f>EXP(-LN(2)/2)*CM125+(1-EXP(-LN(2)/2))/(LN(2)/2)*CG126*CJ126*VLOOKUP('Données projet'!$B$12,Paramètres!$A$1:$I$89,3,0)*0.475*44/12</f>
        <v>2.415584409234891E-13</v>
      </c>
      <c r="CN126" s="22">
        <f t="shared" si="66"/>
        <v>2.0744671838067612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5.9</v>
      </c>
      <c r="CT126" s="12">
        <f>IF('Données projet'!$A$140&gt;35,CT125+CS126-DB125,IF(A126&lt;'Données projet'!$A$140,$CQ$205^A126,IF(A126='Données projet'!$A$140,'Données projet'!$B$140,CT125+CS126-DB125)))</f>
        <v>365.70000000000033</v>
      </c>
      <c r="CU126" s="17">
        <f>CT126*VLOOKUP('Données projet'!$B$13,Paramètres!$A$1:$I$89,3,0)*VLOOKUP('Données projet'!$B$13,Paramètres!$A$1:$I$89,5,0)</f>
        <v>313.77060000000029</v>
      </c>
      <c r="CV126" s="13">
        <f t="shared" si="95"/>
        <v>74.055726596216218</v>
      </c>
      <c r="CW126" s="20">
        <f t="shared" si="67"/>
        <v>675.46418548841041</v>
      </c>
      <c r="CX126" s="59">
        <f t="shared" si="68"/>
        <v>968.79751882174378</v>
      </c>
      <c r="CY126" s="59">
        <f ca="1">AVERAGE(OFFSET($CX$3,0,0,'Données projet'!$E$13+1,1))-AVERAGE(OFFSET($H$3,0,0,'Données projet'!$E$13+1,1))</f>
        <v>310.4018929413723</v>
      </c>
      <c r="CZ126" s="59">
        <f t="shared" si="96"/>
        <v>127.5231137583819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0.44677981831833963</v>
      </c>
      <c r="DH126" s="21">
        <f>EXP(-LN(2)/2)*DH125+(1-EXP(-LN(2)/2))/(LN(2)/2)*DB126*DE126*VLOOKUP('Données projet'!$B$13,Paramètres!$A$1:$I$89,3,0)*0.475*44/12</f>
        <v>8.9736992389909399E-14</v>
      </c>
      <c r="DI126" s="22">
        <f t="shared" si="69"/>
        <v>0.44677981831842939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>
        <f>DO126*VLOOKUP('Données projet'!$B$14,Paramètres!$A$1:$I$89,3,0)*VLOOKUP('Données projet'!$B$14,Paramètres!$A$1:$I$89,5,0)</f>
        <v>-3.7509835237869992E-13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234.09142087023463</v>
      </c>
      <c r="DU126" s="59">
        <f t="shared" si="98"/>
        <v>278.990685815294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0.38677318741235767</v>
      </c>
      <c r="EB126" s="21">
        <f>EXP(-LN(2)/25)*EB125+(1-EXP(-LN(2)/25))/(LN(2)/25)*Calculateur!DW126*Calculateur!DY126*VLOOKUP('Données projet'!$B$14,Paramètres!$A$1:$I$89,3,0)*0.475*44/12</f>
        <v>1.1642805227145316</v>
      </c>
      <c r="EC126" s="21">
        <f>EXP(-LN(2)/2)*EC125+(1-EXP(-LN(2)/2))/(LN(2)/2)*DW126*DZ126*VLOOKUP('Données projet'!$B$14,Paramètres!$A$1:$I$89,3,0)*0.475*44/12</f>
        <v>2.2261268085106022E-13</v>
      </c>
      <c r="ED126" s="22">
        <f t="shared" si="72"/>
        <v>1.551053710127112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210.04871822652808</v>
      </c>
      <c r="AO127" s="59">
        <f t="shared" si="90"/>
        <v>250.17540614049324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1.1347520381726139</v>
      </c>
      <c r="AV127" s="21">
        <f>EXP(-LN(2)/25)*AV126+(1-EXP(-LN(2)/25))/(LN(2)/25)*Calculateur!AQ127*Calculateur!AS127*VLOOKUP('Données projet'!$B$10,Paramètres!$A$1:$I$89,3,0)*0.475*44/12</f>
        <v>2.054241781577316</v>
      </c>
      <c r="AW127" s="21">
        <f>EXP(-LN(2)/2)*AW126+(1-EXP(-LN(2)/2))/(LN(2)/2)*AQ127*AT127*VLOOKUP('Données projet'!$B$10,Paramètres!$A$1:$I$89,3,0)*0.475*44/12</f>
        <v>1.531495906970669E-13</v>
      </c>
      <c r="AX127" s="21">
        <f t="shared" si="60"/>
        <v>3.1889938197500833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553.99999999999955</v>
      </c>
      <c r="BE127" s="13">
        <f>BD127*VLOOKUP('Données projet'!$B$11,Paramètres!$A$1:$I$89,3,0)*VLOOKUP('Données projet'!$B$11,Paramètres!$A$1:$I$89,5,0)</f>
        <v>331.29199999999975</v>
      </c>
      <c r="BF127" s="13">
        <f t="shared" si="91"/>
        <v>77.698110787752</v>
      </c>
      <c r="BG127" s="20">
        <f t="shared" si="61"/>
        <v>712.32444295533423</v>
      </c>
      <c r="BH127" s="59">
        <f t="shared" si="62"/>
        <v>1005.6577762886675</v>
      </c>
      <c r="BI127" s="59">
        <f ca="1">AVERAGE(OFFSET($BH$3,0,0,'Données projet'!$E$11+1,1))-AVERAGE(OFFSET($H$3,0,0,'Données projet'!$E$11+1,1))</f>
        <v>316.58509520829671</v>
      </c>
      <c r="BJ127" s="59">
        <f t="shared" si="92"/>
        <v>240.71332110643596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0.39393071393194751</v>
      </c>
      <c r="BQ127" s="21">
        <f>EXP(-LN(2)/25)*BQ126+(1-EXP(-LN(2)/25))/(LN(2)/25)*Calculateur!BL127*Calculateur!BN127*VLOOKUP('Données projet'!$B$11,Paramètres!$A$1:$I$89,3,0)*0.475*44/12</f>
        <v>1.1269568382666983</v>
      </c>
      <c r="BR127" s="21">
        <f>EXP(-LN(2)/2)*BR126+(1-EXP(-LN(2)/2))/(LN(2)/2)*BL127*BO127*VLOOKUP('Données projet'!$B$11,Paramètres!$A$1:$I$89,3,0)*0.475*44/12</f>
        <v>1.5588840845837334E-13</v>
      </c>
      <c r="BS127" s="22">
        <f t="shared" si="63"/>
        <v>1.5208875521988017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-5.1159076974727213E-13</v>
      </c>
      <c r="BZ127" s="13">
        <f>BY127*VLOOKUP('Données projet'!$B$12,Paramètres!$A$1:$I$89,3,0)*VLOOKUP('Données projet'!$B$12,Paramètres!$A$1:$I$89,5,0)</f>
        <v>-4.0702161641092972E-13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260.20517190557814</v>
      </c>
      <c r="CE127" s="59">
        <f t="shared" si="94"/>
        <v>307.22009971147133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0.50714860436186815</v>
      </c>
      <c r="CL127" s="21">
        <f>EXP(-LN(2)/25)*CL126+(1-EXP(-LN(2)/25))/(LN(2)/25)*Calculateur!CG127*Calculateur!CI127*VLOOKUP('Données projet'!$B$12,Paramètres!$A$1:$I$89,3,0)*0.475*44/12</f>
        <v>1.5145937645896659</v>
      </c>
      <c r="CM127" s="21">
        <f>EXP(-LN(2)/2)*CM126+(1-EXP(-LN(2)/2))/(LN(2)/2)*CG127*CJ127*VLOOKUP('Données projet'!$B$12,Paramètres!$A$1:$I$89,3,0)*0.475*44/12</f>
        <v>1.7080761162984918E-13</v>
      </c>
      <c r="CN127" s="22">
        <f t="shared" si="66"/>
        <v>2.0217423689517049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5.9</v>
      </c>
      <c r="CT127" s="12">
        <f>IF('Données projet'!$A$140&gt;35,CT126+CS127-DB126,IF(A127&lt;'Données projet'!$A$140,$CQ$205^A127,IF(A127='Données projet'!$A$140,'Données projet'!$B$140,CT126+CS127-DB126)))</f>
        <v>371.60000000000031</v>
      </c>
      <c r="CU127" s="17">
        <f>CT127*VLOOKUP('Données projet'!$B$13,Paramètres!$A$1:$I$89,3,0)*VLOOKUP('Données projet'!$B$13,Paramètres!$A$1:$I$89,5,0)</f>
        <v>318.8328000000003</v>
      </c>
      <c r="CV127" s="13">
        <f t="shared" si="95"/>
        <v>75.110443378112123</v>
      </c>
      <c r="CW127" s="20">
        <f t="shared" si="67"/>
        <v>686.11781555021241</v>
      </c>
      <c r="CX127" s="59">
        <f t="shared" si="68"/>
        <v>979.45114888354578</v>
      </c>
      <c r="CY127" s="59">
        <f ca="1">AVERAGE(OFFSET($CX$3,0,0,'Données projet'!$E$13+1,1))-AVERAGE(OFFSET($H$3,0,0,'Données projet'!$E$13+1,1))</f>
        <v>310.4018929413723</v>
      </c>
      <c r="CZ127" s="59">
        <f t="shared" si="96"/>
        <v>127.5231137583819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0.4345626006912951</v>
      </c>
      <c r="DH127" s="21">
        <f>EXP(-LN(2)/2)*DH126+(1-EXP(-LN(2)/2))/(LN(2)/2)*DB127*DE127*VLOOKUP('Données projet'!$B$13,Paramètres!$A$1:$I$89,3,0)*0.475*44/12</f>
        <v>6.3453635842190546E-14</v>
      </c>
      <c r="DI127" s="22">
        <f t="shared" si="69"/>
        <v>0.43456260069135855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>
        <f>DO127*VLOOKUP('Données projet'!$B$14,Paramètres!$A$1:$I$89,3,0)*VLOOKUP('Données projet'!$B$14,Paramètres!$A$1:$I$89,5,0)</f>
        <v>-3.7509835237869992E-13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234.09142087023463</v>
      </c>
      <c r="DU127" s="59">
        <f t="shared" si="98"/>
        <v>278.990685815294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0.37918880111555164</v>
      </c>
      <c r="EB127" s="21">
        <f>EXP(-LN(2)/25)*EB126+(1-EXP(-LN(2)/25))/(LN(2)/25)*Calculateur!DW127*Calculateur!DY127*VLOOKUP('Données projet'!$B$14,Paramètres!$A$1:$I$89,3,0)*0.475*44/12</f>
        <v>1.1324432105940512</v>
      </c>
      <c r="EC127" s="21">
        <f>EXP(-LN(2)/2)*EC126+(1-EXP(-LN(2)/2))/(LN(2)/2)*DW127*DZ127*VLOOKUP('Données projet'!$B$14,Paramètres!$A$1:$I$89,3,0)*0.475*44/12</f>
        <v>1.5741093620790139E-13</v>
      </c>
      <c r="ED127" s="22">
        <f t="shared" si="72"/>
        <v>1.5116320117097601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210.04871822652808</v>
      </c>
      <c r="AO128" s="59">
        <f t="shared" si="90"/>
        <v>250.17540614049324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1.1125002428344501</v>
      </c>
      <c r="AV128" s="21">
        <f>EXP(-LN(2)/25)*AV127+(1-EXP(-LN(2)/25))/(LN(2)/25)*Calculateur!AQ128*Calculateur!AS128*VLOOKUP('Données projet'!$B$10,Paramètres!$A$1:$I$89,3,0)*0.475*44/12</f>
        <v>1.998068432032204</v>
      </c>
      <c r="AW128" s="21">
        <f>EXP(-LN(2)/2)*AW127+(1-EXP(-LN(2)/2))/(LN(2)/2)*AQ128*AT128*VLOOKUP('Données projet'!$B$10,Paramètres!$A$1:$I$89,3,0)*0.475*44/12</f>
        <v>1.082931141178402E-13</v>
      </c>
      <c r="AX128" s="21">
        <f t="shared" si="60"/>
        <v>3.1105686748667623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553.99999999999955</v>
      </c>
      <c r="BE128" s="13">
        <f>BD128*VLOOKUP('Données projet'!$B$11,Paramètres!$A$1:$I$89,3,0)*VLOOKUP('Données projet'!$B$11,Paramètres!$A$1:$I$89,5,0)</f>
        <v>331.29199999999975</v>
      </c>
      <c r="BF128" s="13">
        <f t="shared" si="91"/>
        <v>77.698110787752</v>
      </c>
      <c r="BG128" s="20">
        <f t="shared" si="61"/>
        <v>712.32444295533423</v>
      </c>
      <c r="BH128" s="59">
        <f t="shared" si="62"/>
        <v>1005.6577762886675</v>
      </c>
      <c r="BI128" s="59">
        <f ca="1">AVERAGE(OFFSET($BH$3,0,0,'Données projet'!$E$11+1,1))-AVERAGE(OFFSET($H$3,0,0,'Données projet'!$E$11+1,1))</f>
        <v>316.58509520829671</v>
      </c>
      <c r="BJ128" s="59">
        <f t="shared" si="92"/>
        <v>240.71332110643596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0.38620597290575243</v>
      </c>
      <c r="BQ128" s="21">
        <f>EXP(-LN(2)/25)*BQ127+(1-EXP(-LN(2)/25))/(LN(2)/25)*Calculateur!BL128*Calculateur!BN128*VLOOKUP('Données projet'!$B$11,Paramètres!$A$1:$I$89,3,0)*0.475*44/12</f>
        <v>1.096140144260211</v>
      </c>
      <c r="BR128" s="21">
        <f>EXP(-LN(2)/2)*BR127+(1-EXP(-LN(2)/2))/(LN(2)/2)*BL128*BO128*VLOOKUP('Données projet'!$B$11,Paramètres!$A$1:$I$89,3,0)*0.475*44/12</f>
        <v>1.1022975072929414E-13</v>
      </c>
      <c r="BS128" s="22">
        <f t="shared" si="63"/>
        <v>1.4823461171660735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-5.1159076974727213E-13</v>
      </c>
      <c r="BZ128" s="13">
        <f>BY128*VLOOKUP('Données projet'!$B$12,Paramètres!$A$1:$I$89,3,0)*VLOOKUP('Données projet'!$B$12,Paramètres!$A$1:$I$89,5,0)</f>
        <v>-4.0702161641092972E-13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260.20517190557814</v>
      </c>
      <c r="CE128" s="59">
        <f t="shared" si="94"/>
        <v>307.22009971147133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0.49720372956043679</v>
      </c>
      <c r="CL128" s="21">
        <f>EXP(-LN(2)/25)*CL127+(1-EXP(-LN(2)/25))/(LN(2)/25)*Calculateur!CG128*Calculateur!CI128*VLOOKUP('Données projet'!$B$12,Paramètres!$A$1:$I$89,3,0)*0.475*44/12</f>
        <v>1.473177118447937</v>
      </c>
      <c r="CM128" s="21">
        <f>EXP(-LN(2)/2)*CM127+(1-EXP(-LN(2)/2))/(LN(2)/2)*CG128*CJ128*VLOOKUP('Données projet'!$B$12,Paramètres!$A$1:$I$89,3,0)*0.475*44/12</f>
        <v>1.2077922046174455E-13</v>
      </c>
      <c r="CN128" s="22">
        <f t="shared" si="66"/>
        <v>1.9703808480084946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5.9</v>
      </c>
      <c r="CT128" s="12">
        <f>IF('Données projet'!$A$140&gt;35,CT127+CS128-DB127,IF(A128&lt;'Données projet'!$A$140,$CQ$205^A128,IF(A128='Données projet'!$A$140,'Données projet'!$B$140,CT127+CS128-DB127)))</f>
        <v>377.50000000000028</v>
      </c>
      <c r="CU128" s="17">
        <f>CT128*VLOOKUP('Données projet'!$B$13,Paramètres!$A$1:$I$89,3,0)*VLOOKUP('Données projet'!$B$13,Paramètres!$A$1:$I$89,5,0)</f>
        <v>323.89500000000027</v>
      </c>
      <c r="CV128" s="13">
        <f t="shared" si="95"/>
        <v>76.163212634369074</v>
      </c>
      <c r="CW128" s="20">
        <f t="shared" si="67"/>
        <v>696.76805367152656</v>
      </c>
      <c r="CX128" s="59">
        <f t="shared" si="68"/>
        <v>990.10138700485982</v>
      </c>
      <c r="CY128" s="59">
        <f ca="1">AVERAGE(OFFSET($CX$3,0,0,'Données projet'!$E$13+1,1))-AVERAGE(OFFSET($H$3,0,0,'Données projet'!$E$13+1,1))</f>
        <v>310.4018929413723</v>
      </c>
      <c r="CZ128" s="59">
        <f t="shared" si="96"/>
        <v>127.5231137583819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0.42267946352273766</v>
      </c>
      <c r="DH128" s="21">
        <f>EXP(-LN(2)/2)*DH127+(1-EXP(-LN(2)/2))/(LN(2)/2)*DB128*DE128*VLOOKUP('Données projet'!$B$13,Paramètres!$A$1:$I$89,3,0)*0.475*44/12</f>
        <v>4.48684961949547E-14</v>
      </c>
      <c r="DI128" s="22">
        <f t="shared" si="69"/>
        <v>0.42267946352278252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>
        <f>DO128*VLOOKUP('Données projet'!$B$14,Paramètres!$A$1:$I$89,3,0)*VLOOKUP('Données projet'!$B$14,Paramètres!$A$1:$I$89,5,0)</f>
        <v>-3.7509835237869992E-13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234.09142087023463</v>
      </c>
      <c r="DU128" s="59">
        <f t="shared" si="98"/>
        <v>278.990685815294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0.37175314000800713</v>
      </c>
      <c r="EB128" s="21">
        <f>EXP(-LN(2)/25)*EB127+(1-EXP(-LN(2)/25))/(LN(2)/25)*Calculateur!DW128*Calculateur!DY128*VLOOKUP('Données projet'!$B$14,Paramètres!$A$1:$I$89,3,0)*0.475*44/12</f>
        <v>1.1014764914477566</v>
      </c>
      <c r="EC128" s="21">
        <f>EXP(-LN(2)/2)*EC127+(1-EXP(-LN(2)/2))/(LN(2)/2)*DW128*DZ128*VLOOKUP('Données projet'!$B$14,Paramètres!$A$1:$I$89,3,0)*0.475*44/12</f>
        <v>1.1130634042553012E-13</v>
      </c>
      <c r="ED128" s="22">
        <f t="shared" si="72"/>
        <v>1.473229631455875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210.04871822652808</v>
      </c>
      <c r="AO129" s="59">
        <f t="shared" si="90"/>
        <v>250.17540614049324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1.0906847916306126</v>
      </c>
      <c r="AV129" s="21">
        <f>EXP(-LN(2)/25)*AV128+(1-EXP(-LN(2)/25))/(LN(2)/25)*Calculateur!AQ129*Calculateur!AS129*VLOOKUP('Données projet'!$B$10,Paramètres!$A$1:$I$89,3,0)*0.475*44/12</f>
        <v>1.9434311456844311</v>
      </c>
      <c r="AW129" s="21">
        <f>EXP(-LN(2)/2)*AW128+(1-EXP(-LN(2)/2))/(LN(2)/2)*AQ129*AT129*VLOOKUP('Données projet'!$B$10,Paramètres!$A$1:$I$89,3,0)*0.475*44/12</f>
        <v>7.6574795348533449E-14</v>
      </c>
      <c r="AX129" s="21">
        <f t="shared" si="60"/>
        <v>3.0341159373151201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553.99999999999955</v>
      </c>
      <c r="BE129" s="13">
        <f>BD129*VLOOKUP('Données projet'!$B$11,Paramètres!$A$1:$I$89,3,0)*VLOOKUP('Données projet'!$B$11,Paramètres!$A$1:$I$89,5,0)</f>
        <v>331.29199999999975</v>
      </c>
      <c r="BF129" s="13">
        <f t="shared" si="91"/>
        <v>77.698110787752</v>
      </c>
      <c r="BG129" s="20">
        <f t="shared" si="61"/>
        <v>712.32444295533423</v>
      </c>
      <c r="BH129" s="59">
        <f t="shared" si="62"/>
        <v>1005.6577762886675</v>
      </c>
      <c r="BI129" s="59">
        <f ca="1">AVERAGE(OFFSET($BH$3,0,0,'Données projet'!$E$11+1,1))-AVERAGE(OFFSET($H$3,0,0,'Données projet'!$E$11+1,1))</f>
        <v>316.58509520829671</v>
      </c>
      <c r="BJ129" s="59">
        <f t="shared" si="92"/>
        <v>240.71332110643596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0.37863270933945425</v>
      </c>
      <c r="BQ129" s="21">
        <f>EXP(-LN(2)/25)*BQ128+(1-EXP(-LN(2)/25))/(LN(2)/25)*Calculateur!BL129*Calculateur!BN129*VLOOKUP('Données projet'!$B$11,Paramètres!$A$1:$I$89,3,0)*0.475*44/12</f>
        <v>1.0661661343719107</v>
      </c>
      <c r="BR129" s="21">
        <f>EXP(-LN(2)/2)*BR128+(1-EXP(-LN(2)/2))/(LN(2)/2)*BL129*BO129*VLOOKUP('Données projet'!$B$11,Paramètres!$A$1:$I$89,3,0)*0.475*44/12</f>
        <v>7.7944204229186668E-14</v>
      </c>
      <c r="BS129" s="22">
        <f t="shared" si="63"/>
        <v>1.4447988437114427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-5.1159076974727213E-13</v>
      </c>
      <c r="BZ129" s="13">
        <f>BY129*VLOOKUP('Données projet'!$B$12,Paramètres!$A$1:$I$89,3,0)*VLOOKUP('Données projet'!$B$12,Paramètres!$A$1:$I$89,5,0)</f>
        <v>-4.0702161641092972E-13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260.20517190557814</v>
      </c>
      <c r="CE129" s="59">
        <f t="shared" si="94"/>
        <v>307.22009971147133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0.48745386768808679</v>
      </c>
      <c r="CL129" s="21">
        <f>EXP(-LN(2)/25)*CL128+(1-EXP(-LN(2)/25))/(LN(2)/25)*Calculateur!CG129*Calculateur!CI129*VLOOKUP('Données projet'!$B$12,Paramètres!$A$1:$I$89,3,0)*0.475*44/12</f>
        <v>1.4328930126729604</v>
      </c>
      <c r="CM129" s="21">
        <f>EXP(-LN(2)/2)*CM128+(1-EXP(-LN(2)/2))/(LN(2)/2)*CG129*CJ129*VLOOKUP('Données projet'!$B$12,Paramètres!$A$1:$I$89,3,0)*0.475*44/12</f>
        <v>8.5403805814924589E-14</v>
      </c>
      <c r="CN129" s="22">
        <f t="shared" si="66"/>
        <v>1.9203468803611328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5.9</v>
      </c>
      <c r="CT129" s="12">
        <f>IF('Données projet'!$A$140&gt;35,CT128+CS129-DB128,IF(A129&lt;'Données projet'!$A$140,$CQ$205^A129,IF(A129='Données projet'!$A$140,'Données projet'!$B$140,CT128+CS129-DB128)))</f>
        <v>383.40000000000026</v>
      </c>
      <c r="CU129" s="17">
        <f>CT129*VLOOKUP('Données projet'!$B$13,Paramètres!$A$1:$I$89,3,0)*VLOOKUP('Données projet'!$B$13,Paramètres!$A$1:$I$89,5,0)</f>
        <v>328.95720000000023</v>
      </c>
      <c r="CV129" s="13">
        <f t="shared" si="95"/>
        <v>77.214068318029646</v>
      </c>
      <c r="CW129" s="20">
        <f t="shared" si="67"/>
        <v>707.41495898723531</v>
      </c>
      <c r="CX129" s="59">
        <f t="shared" si="68"/>
        <v>1000.7482923205687</v>
      </c>
      <c r="CY129" s="59">
        <f ca="1">AVERAGE(OFFSET($CX$3,0,0,'Données projet'!$E$13+1,1))-AVERAGE(OFFSET($H$3,0,0,'Données projet'!$E$13+1,1))</f>
        <v>310.4018929413723</v>
      </c>
      <c r="CZ129" s="59">
        <f t="shared" si="96"/>
        <v>127.5231137583819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0.41112127136496146</v>
      </c>
      <c r="DH129" s="21">
        <f>EXP(-LN(2)/2)*DH128+(1-EXP(-LN(2)/2))/(LN(2)/2)*DB129*DE129*VLOOKUP('Données projet'!$B$13,Paramètres!$A$1:$I$89,3,0)*0.475*44/12</f>
        <v>3.1726817921095273E-14</v>
      </c>
      <c r="DI129" s="22">
        <f t="shared" si="69"/>
        <v>0.41112127136499321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>
        <f>DO129*VLOOKUP('Données projet'!$B$14,Paramètres!$A$1:$I$89,3,0)*VLOOKUP('Données projet'!$B$14,Paramètres!$A$1:$I$89,5,0)</f>
        <v>-3.7509835237869992E-13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234.09142087023463</v>
      </c>
      <c r="DU129" s="59">
        <f t="shared" si="98"/>
        <v>278.990685815294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0.36446328767947611</v>
      </c>
      <c r="EB129" s="21">
        <f>EXP(-LN(2)/25)*EB128+(1-EXP(-LN(2)/25))/(LN(2)/25)*Calculateur!DW129*Calculateur!DY129*VLOOKUP('Données projet'!$B$14,Paramètres!$A$1:$I$89,3,0)*0.475*44/12</f>
        <v>1.0713565588649865</v>
      </c>
      <c r="EC129" s="21">
        <f>EXP(-LN(2)/2)*EC128+(1-EXP(-LN(2)/2))/(LN(2)/2)*DW129*DZ129*VLOOKUP('Données projet'!$B$14,Paramètres!$A$1:$I$89,3,0)*0.475*44/12</f>
        <v>7.8705468103950709E-14</v>
      </c>
      <c r="ED129" s="22">
        <f t="shared" si="72"/>
        <v>1.4358198465445411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210.04871822652808</v>
      </c>
      <c r="AO130" s="59">
        <f t="shared" si="90"/>
        <v>250.17540614049324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1.0692971281187711</v>
      </c>
      <c r="AV130" s="21">
        <f>EXP(-LN(2)/25)*AV129+(1-EXP(-LN(2)/25))/(LN(2)/25)*Calculateur!AQ130*Calculateur!AS130*VLOOKUP('Données projet'!$B$10,Paramètres!$A$1:$I$89,3,0)*0.475*44/12</f>
        <v>1.8902879188050881</v>
      </c>
      <c r="AW130" s="21">
        <f>EXP(-LN(2)/2)*AW129+(1-EXP(-LN(2)/2))/(LN(2)/2)*AQ130*AT130*VLOOKUP('Données projet'!$B$10,Paramètres!$A$1:$I$89,3,0)*0.475*44/12</f>
        <v>5.41465570589201E-14</v>
      </c>
      <c r="AX130" s="21">
        <f t="shared" si="60"/>
        <v>2.9595850469239133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553.99999999999955</v>
      </c>
      <c r="BE130" s="13">
        <f>BD130*VLOOKUP('Données projet'!$B$11,Paramètres!$A$1:$I$89,3,0)*VLOOKUP('Données projet'!$B$11,Paramètres!$A$1:$I$89,5,0)</f>
        <v>331.29199999999975</v>
      </c>
      <c r="BF130" s="13">
        <f t="shared" si="91"/>
        <v>77.698110787752</v>
      </c>
      <c r="BG130" s="20">
        <f t="shared" si="61"/>
        <v>712.32444295533423</v>
      </c>
      <c r="BH130" s="59">
        <f t="shared" si="62"/>
        <v>1005.6577762886675</v>
      </c>
      <c r="BI130" s="59">
        <f ca="1">AVERAGE(OFFSET($BH$3,0,0,'Données projet'!$E$11+1,1))-AVERAGE(OFFSET($H$3,0,0,'Données projet'!$E$11+1,1))</f>
        <v>316.58509520829671</v>
      </c>
      <c r="BJ130" s="59">
        <f t="shared" si="92"/>
        <v>240.71332110643596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0.3712079528524565</v>
      </c>
      <c r="BQ130" s="21">
        <f>EXP(-LN(2)/25)*BQ129+(1-EXP(-LN(2)/25))/(LN(2)/25)*Calculateur!BL130*Calculateur!BN130*VLOOKUP('Données projet'!$B$11,Paramètres!$A$1:$I$89,3,0)*0.475*44/12</f>
        <v>1.0370117653602704</v>
      </c>
      <c r="BR130" s="21">
        <f>EXP(-LN(2)/2)*BR129+(1-EXP(-LN(2)/2))/(LN(2)/2)*BL130*BO130*VLOOKUP('Données projet'!$B$11,Paramètres!$A$1:$I$89,3,0)*0.475*44/12</f>
        <v>5.511487536464707E-14</v>
      </c>
      <c r="BS130" s="22">
        <f t="shared" si="63"/>
        <v>1.408219718212782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-5.1159076974727213E-13</v>
      </c>
      <c r="BZ130" s="13">
        <f>BY130*VLOOKUP('Données projet'!$B$12,Paramètres!$A$1:$I$89,3,0)*VLOOKUP('Données projet'!$B$12,Paramètres!$A$1:$I$89,5,0)</f>
        <v>-4.0702161641092972E-13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260.20517190557814</v>
      </c>
      <c r="CE130" s="59">
        <f t="shared" si="94"/>
        <v>307.22009971147133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0.47789519466022506</v>
      </c>
      <c r="CL130" s="21">
        <f>EXP(-LN(2)/25)*CL129+(1-EXP(-LN(2)/25))/(LN(2)/25)*Calculateur!CG130*Calculateur!CI130*VLOOKUP('Données projet'!$B$12,Paramètres!$A$1:$I$89,3,0)*0.475*44/12</f>
        <v>1.3937104778888496</v>
      </c>
      <c r="CM130" s="21">
        <f>EXP(-LN(2)/2)*CM129+(1-EXP(-LN(2)/2))/(LN(2)/2)*CG130*CJ130*VLOOKUP('Données projet'!$B$12,Paramètres!$A$1:$I$89,3,0)*0.475*44/12</f>
        <v>6.0389610230872276E-14</v>
      </c>
      <c r="CN130" s="22">
        <f t="shared" si="66"/>
        <v>1.871605672549135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5.9</v>
      </c>
      <c r="CT130" s="12">
        <f>IF('Données projet'!$A$140&gt;35,CT129+CS130-DB129,IF(A130&lt;'Données projet'!$A$140,$CQ$205^A130,IF(A130='Données projet'!$A$140,'Données projet'!$B$140,CT129+CS130-DB129)))</f>
        <v>389.30000000000024</v>
      </c>
      <c r="CU130" s="17">
        <f>CT130*VLOOKUP('Données projet'!$B$13,Paramètres!$A$1:$I$89,3,0)*VLOOKUP('Données projet'!$B$13,Paramètres!$A$1:$I$89,5,0)</f>
        <v>334.01940000000025</v>
      </c>
      <c r="CV130" s="13">
        <f t="shared" si="95"/>
        <v>78.263043277196772</v>
      </c>
      <c r="CW130" s="20">
        <f t="shared" si="67"/>
        <v>718.05858870778468</v>
      </c>
      <c r="CX130" s="59">
        <f t="shared" si="68"/>
        <v>1011.3919220411181</v>
      </c>
      <c r="CY130" s="59">
        <f ca="1">AVERAGE(OFFSET($CX$3,0,0,'Données projet'!$E$13+1,1))-AVERAGE(OFFSET($H$3,0,0,'Données projet'!$E$13+1,1))</f>
        <v>310.4018929413723</v>
      </c>
      <c r="CZ130" s="59">
        <f t="shared" si="96"/>
        <v>127.5231137583819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0.39987913857955854</v>
      </c>
      <c r="DH130" s="21">
        <f>EXP(-LN(2)/2)*DH129+(1-EXP(-LN(2)/2))/(LN(2)/2)*DB130*DE130*VLOOKUP('Données projet'!$B$13,Paramètres!$A$1:$I$89,3,0)*0.475*44/12</f>
        <v>2.243424809747735E-14</v>
      </c>
      <c r="DI130" s="22">
        <f t="shared" si="69"/>
        <v>0.39987913857958096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>
        <f>DO130*VLOOKUP('Données projet'!$B$14,Paramètres!$A$1:$I$89,3,0)*VLOOKUP('Données projet'!$B$14,Paramètres!$A$1:$I$89,5,0)</f>
        <v>-3.7509835237869992E-13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234.09142087023463</v>
      </c>
      <c r="DU130" s="59">
        <f t="shared" si="98"/>
        <v>278.990685815294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0.35731638490873668</v>
      </c>
      <c r="EB130" s="21">
        <f>EXP(-LN(2)/25)*EB129+(1-EXP(-LN(2)/25))/(LN(2)/25)*Calculateur!DW130*Calculateur!DY130*VLOOKUP('Données projet'!$B$14,Paramètres!$A$1:$I$89,3,0)*0.475*44/12</f>
        <v>1.0420602574226305</v>
      </c>
      <c r="EC130" s="21">
        <f>EXP(-LN(2)/2)*EC129+(1-EXP(-LN(2)/2))/(LN(2)/2)*DW130*DZ130*VLOOKUP('Données projet'!$B$14,Paramètres!$A$1:$I$89,3,0)*0.475*44/12</f>
        <v>5.5653170212765074E-14</v>
      </c>
      <c r="ED130" s="22">
        <f t="shared" si="72"/>
        <v>1.3993766423314229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210.04871822652808</v>
      </c>
      <c r="AO131" s="59">
        <f t="shared" si="90"/>
        <v>250.17540614049324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1.04832886364321</v>
      </c>
      <c r="AV131" s="21">
        <f>EXP(-LN(2)/25)*AV130+(1-EXP(-LN(2)/25))/(LN(2)/25)*Calculateur!AQ131*Calculateur!AS131*VLOOKUP('Données projet'!$B$10,Paramètres!$A$1:$I$89,3,0)*0.475*44/12</f>
        <v>1.8385978962594416</v>
      </c>
      <c r="AW131" s="21">
        <f>EXP(-LN(2)/2)*AW130+(1-EXP(-LN(2)/2))/(LN(2)/2)*AQ131*AT131*VLOOKUP('Données projet'!$B$10,Paramètres!$A$1:$I$89,3,0)*0.475*44/12</f>
        <v>3.8287397674266725E-14</v>
      </c>
      <c r="AX131" s="21">
        <f t="shared" si="60"/>
        <v>2.88692675990269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553.99999999999955</v>
      </c>
      <c r="BE131" s="13">
        <f>BD131*VLOOKUP('Données projet'!$B$11,Paramètres!$A$1:$I$89,3,0)*VLOOKUP('Données projet'!$B$11,Paramètres!$A$1:$I$89,5,0)</f>
        <v>331.29199999999975</v>
      </c>
      <c r="BF131" s="13">
        <f t="shared" si="91"/>
        <v>77.698110787752</v>
      </c>
      <c r="BG131" s="20">
        <f t="shared" si="61"/>
        <v>712.32444295533423</v>
      </c>
      <c r="BH131" s="59">
        <f t="shared" si="62"/>
        <v>1005.6577762886675</v>
      </c>
      <c r="BI131" s="59">
        <f ca="1">AVERAGE(OFFSET($BH$3,0,0,'Données projet'!$E$11+1,1))-AVERAGE(OFFSET($H$3,0,0,'Données projet'!$E$11+1,1))</f>
        <v>316.58509520829671</v>
      </c>
      <c r="BJ131" s="59">
        <f t="shared" si="92"/>
        <v>240.71332110643596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0.36392879131151451</v>
      </c>
      <c r="BQ131" s="21">
        <f>EXP(-LN(2)/25)*BQ130+(1-EXP(-LN(2)/25))/(LN(2)/25)*Calculateur!BL131*Calculateur!BN131*VLOOKUP('Données projet'!$B$11,Paramètres!$A$1:$I$89,3,0)*0.475*44/12</f>
        <v>1.0086546241024152</v>
      </c>
      <c r="BR131" s="21">
        <f>EXP(-LN(2)/2)*BR130+(1-EXP(-LN(2)/2))/(LN(2)/2)*BL131*BO131*VLOOKUP('Données projet'!$B$11,Paramètres!$A$1:$I$89,3,0)*0.475*44/12</f>
        <v>3.8972102114593334E-14</v>
      </c>
      <c r="BS131" s="22">
        <f t="shared" si="63"/>
        <v>1.3725834154139689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-5.1159076974727213E-13</v>
      </c>
      <c r="BZ131" s="13">
        <f>BY131*VLOOKUP('Données projet'!$B$12,Paramètres!$A$1:$I$89,3,0)*VLOOKUP('Données projet'!$B$12,Paramètres!$A$1:$I$89,5,0)</f>
        <v>-4.0702161641092972E-13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260.20517190557814</v>
      </c>
      <c r="CE131" s="59">
        <f t="shared" si="94"/>
        <v>307.22009971147133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0.46852396138022484</v>
      </c>
      <c r="CL131" s="21">
        <f>EXP(-LN(2)/25)*CL130+(1-EXP(-LN(2)/25))/(LN(2)/25)*Calculateur!CG131*Calculateur!CI131*VLOOKUP('Données projet'!$B$12,Paramètres!$A$1:$I$89,3,0)*0.475*44/12</f>
        <v>1.3555993915789304</v>
      </c>
      <c r="CM131" s="21">
        <f>EXP(-LN(2)/2)*CM130+(1-EXP(-LN(2)/2))/(LN(2)/2)*CG131*CJ131*VLOOKUP('Données projet'!$B$12,Paramètres!$A$1:$I$89,3,0)*0.475*44/12</f>
        <v>4.2701902907462295E-14</v>
      </c>
      <c r="CN131" s="22">
        <f t="shared" si="66"/>
        <v>1.8241233529591978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5.9</v>
      </c>
      <c r="CT131" s="12">
        <f>IF('Données projet'!$A$140&gt;35,CT130+CS131-DB130,IF(A131&lt;'Données projet'!$A$140,$CQ$205^A131,IF(A131='Données projet'!$A$140,'Données projet'!$B$140,CT130+CS131-DB130)))</f>
        <v>395.20000000000022</v>
      </c>
      <c r="CU131" s="17">
        <f>CT131*VLOOKUP('Données projet'!$B$13,Paramètres!$A$1:$I$89,3,0)*VLOOKUP('Données projet'!$B$13,Paramètres!$A$1:$I$89,5,0)</f>
        <v>339.08160000000021</v>
      </c>
      <c r="CV131" s="13">
        <f t="shared" si="95"/>
        <v>79.310169307181994</v>
      </c>
      <c r="CW131" s="20">
        <f t="shared" si="67"/>
        <v>728.69899821000888</v>
      </c>
      <c r="CX131" s="59">
        <f t="shared" si="68"/>
        <v>1022.0323315433423</v>
      </c>
      <c r="CY131" s="59">
        <f ca="1">AVERAGE(OFFSET($CX$3,0,0,'Données projet'!$E$13+1,1))-AVERAGE(OFFSET($H$3,0,0,'Données projet'!$E$13+1,1))</f>
        <v>310.4018929413723</v>
      </c>
      <c r="CZ131" s="59">
        <f t="shared" si="96"/>
        <v>127.5231137583819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0.38894442250637057</v>
      </c>
      <c r="DH131" s="21">
        <f>EXP(-LN(2)/2)*DH130+(1-EXP(-LN(2)/2))/(LN(2)/2)*DB131*DE131*VLOOKUP('Données projet'!$B$13,Paramètres!$A$1:$I$89,3,0)*0.475*44/12</f>
        <v>1.5863408960547636E-14</v>
      </c>
      <c r="DI131" s="22">
        <f t="shared" si="69"/>
        <v>0.38894442250638644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>
        <f>DO131*VLOOKUP('Données projet'!$B$14,Paramètres!$A$1:$I$89,3,0)*VLOOKUP('Données projet'!$B$14,Paramètres!$A$1:$I$89,5,0)</f>
        <v>-3.7509835237869992E-13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234.09142087023463</v>
      </c>
      <c r="DU131" s="59">
        <f t="shared" si="98"/>
        <v>278.990685815294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0.3503096285421512</v>
      </c>
      <c r="EB131" s="21">
        <f>EXP(-LN(2)/25)*EB130+(1-EXP(-LN(2)/25))/(LN(2)/25)*Calculateur!DW131*Calculateur!DY131*VLOOKUP('Données projet'!$B$14,Paramètres!$A$1:$I$89,3,0)*0.475*44/12</f>
        <v>1.0135650648838415</v>
      </c>
      <c r="EC131" s="21">
        <f>EXP(-LN(2)/2)*EC130+(1-EXP(-LN(2)/2))/(LN(2)/2)*DW131*DZ131*VLOOKUP('Données projet'!$B$14,Paramètres!$A$1:$I$89,3,0)*0.475*44/12</f>
        <v>3.9352734051975361E-14</v>
      </c>
      <c r="ED131" s="22">
        <f t="shared" si="72"/>
        <v>1.363874693426032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210.04871822652808</v>
      </c>
      <c r="AO132" s="59">
        <f t="shared" si="90"/>
        <v>250.17540614049324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1.0277717740446362</v>
      </c>
      <c r="AV132" s="21">
        <f>EXP(-LN(2)/25)*AV131+(1-EXP(-LN(2)/25))/(LN(2)/25)*Calculateur!AQ132*Calculateur!AS132*VLOOKUP('Données projet'!$B$10,Paramètres!$A$1:$I$89,3,0)*0.475*44/12</f>
        <v>1.788321340098566</v>
      </c>
      <c r="AW132" s="21">
        <f>EXP(-LN(2)/2)*AW131+(1-EXP(-LN(2)/2))/(LN(2)/2)*AQ132*AT132*VLOOKUP('Données projet'!$B$10,Paramètres!$A$1:$I$89,3,0)*0.475*44/12</f>
        <v>2.707327852946005E-14</v>
      </c>
      <c r="AX132" s="21">
        <f t="shared" ref="AX132:AX153" si="114">SUM(AU132:AW132)</f>
        <v>2.816093114143229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553.99999999999955</v>
      </c>
      <c r="BE132" s="13">
        <f>BD132*VLOOKUP('Données projet'!$B$11,Paramètres!$A$1:$I$89,3,0)*VLOOKUP('Données projet'!$B$11,Paramètres!$A$1:$I$89,5,0)</f>
        <v>331.29199999999975</v>
      </c>
      <c r="BF132" s="13">
        <f t="shared" si="91"/>
        <v>77.698110787752</v>
      </c>
      <c r="BG132" s="20">
        <f t="shared" ref="BG132:BG153" si="115">(BE132+BF132)*0.475*44/12</f>
        <v>712.32444295533423</v>
      </c>
      <c r="BH132" s="59">
        <f t="shared" ref="BH132:BH195" si="116">BG132+(AY132+AZ132)*44/12</f>
        <v>1005.6577762886675</v>
      </c>
      <c r="BI132" s="59">
        <f ca="1">AVERAGE(OFFSET($BH$3,0,0,'Données projet'!$E$11+1,1))-AVERAGE(OFFSET($H$3,0,0,'Données projet'!$E$11+1,1))</f>
        <v>316.58509520829671</v>
      </c>
      <c r="BJ132" s="59">
        <f t="shared" si="92"/>
        <v>240.71332110643596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0.35679236968854022</v>
      </c>
      <c r="BQ132" s="21">
        <f>EXP(-LN(2)/25)*BQ131+(1-EXP(-LN(2)/25))/(LN(2)/25)*Calculateur!BL132*Calculateur!BN132*VLOOKUP('Données projet'!$B$11,Paramètres!$A$1:$I$89,3,0)*0.475*44/12</f>
        <v>0.98107291036349331</v>
      </c>
      <c r="BR132" s="21">
        <f>EXP(-LN(2)/2)*BR131+(1-EXP(-LN(2)/2))/(LN(2)/2)*BL132*BO132*VLOOKUP('Données projet'!$B$11,Paramètres!$A$1:$I$89,3,0)*0.475*44/12</f>
        <v>2.7557437682323535E-14</v>
      </c>
      <c r="BS132" s="22">
        <f t="shared" ref="BS132:BS153" si="117">SUM(BP132:BR132)</f>
        <v>1.337865280052061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-5.1159076974727213E-13</v>
      </c>
      <c r="BZ132" s="13">
        <f>BY132*VLOOKUP('Données projet'!$B$12,Paramètres!$A$1:$I$89,3,0)*VLOOKUP('Données projet'!$B$12,Paramètres!$A$1:$I$89,5,0)</f>
        <v>-4.0702161641092972E-13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260.20517190557814</v>
      </c>
      <c r="CE132" s="59">
        <f t="shared" si="94"/>
        <v>307.22009971147133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0.45933649226895751</v>
      </c>
      <c r="CL132" s="21">
        <f>EXP(-LN(2)/25)*CL131+(1-EXP(-LN(2)/25))/(LN(2)/25)*Calculateur!CG132*Calculateur!CI132*VLOOKUP('Données projet'!$B$12,Paramètres!$A$1:$I$89,3,0)*0.475*44/12</f>
        <v>1.3185304549283308</v>
      </c>
      <c r="CM132" s="21">
        <f>EXP(-LN(2)/2)*CM131+(1-EXP(-LN(2)/2))/(LN(2)/2)*CG132*CJ132*VLOOKUP('Données projet'!$B$12,Paramètres!$A$1:$I$89,3,0)*0.475*44/12</f>
        <v>3.0194805115436138E-14</v>
      </c>
      <c r="CN132" s="22">
        <f t="shared" ref="CN132:CN153" si="120">SUM(CK132:CM132)</f>
        <v>1.7778669471973185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5.9</v>
      </c>
      <c r="CT132" s="12">
        <f>IF('Données projet'!$A$140&gt;35,CT131+CS132-DB131,IF(A132&lt;'Données projet'!$A$140,$CQ$205^A132,IF(A132='Données projet'!$A$140,'Données projet'!$B$140,CT131+CS132-DB131)))</f>
        <v>401.10000000000019</v>
      </c>
      <c r="CU132" s="17">
        <f>CT132*VLOOKUP('Données projet'!$B$13,Paramètres!$A$1:$I$89,3,0)*VLOOKUP('Données projet'!$B$13,Paramètres!$A$1:$I$89,5,0)</f>
        <v>344.14380000000023</v>
      </c>
      <c r="CV132" s="13">
        <f t="shared" si="95"/>
        <v>80.355477199451585</v>
      </c>
      <c r="CW132" s="20">
        <f t="shared" ref="CW132:CW153" si="121">(CU132+CV132)*0.475*44/12</f>
        <v>739.33624112237851</v>
      </c>
      <c r="CX132" s="59">
        <f t="shared" ref="CX132:CX195" si="122">CW132+(CO132+CP132)*44/12</f>
        <v>1032.6695744557119</v>
      </c>
      <c r="CY132" s="59">
        <f ca="1">AVERAGE(OFFSET($CX$3,0,0,'Données projet'!$E$13+1,1))-AVERAGE(OFFSET($H$3,0,0,'Données projet'!$E$13+1,1))</f>
        <v>310.4018929413723</v>
      </c>
      <c r="CZ132" s="59">
        <f t="shared" si="96"/>
        <v>127.5231137583819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0.37830871681923561</v>
      </c>
      <c r="DH132" s="21">
        <f>EXP(-LN(2)/2)*DH131+(1-EXP(-LN(2)/2))/(LN(2)/2)*DB132*DE132*VLOOKUP('Données projet'!$B$13,Paramètres!$A$1:$I$89,3,0)*0.475*44/12</f>
        <v>1.1217124048738675E-14</v>
      </c>
      <c r="DI132" s="22">
        <f t="shared" ref="DI132:DI153" si="123">SUM(DF132:DH132)</f>
        <v>0.37830871681924683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>
        <f>DO132*VLOOKUP('Données projet'!$B$14,Paramètres!$A$1:$I$89,3,0)*VLOOKUP('Données projet'!$B$14,Paramètres!$A$1:$I$89,5,0)</f>
        <v>-3.7509835237869992E-13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234.09142087023463</v>
      </c>
      <c r="DU132" s="59">
        <f t="shared" si="98"/>
        <v>278.990685815294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0.3434402703942151</v>
      </c>
      <c r="EB132" s="21">
        <f>EXP(-LN(2)/25)*EB131+(1-EXP(-LN(2)/25))/(LN(2)/25)*Calculateur!DW132*Calculateur!DY132*VLOOKUP('Données projet'!$B$14,Paramètres!$A$1:$I$89,3,0)*0.475*44/12</f>
        <v>0.98584907488352258</v>
      </c>
      <c r="EC132" s="21">
        <f>EXP(-LN(2)/2)*EC131+(1-EXP(-LN(2)/2))/(LN(2)/2)*DW132*DZ132*VLOOKUP('Données projet'!$B$14,Paramètres!$A$1:$I$89,3,0)*0.475*44/12</f>
        <v>2.782658510638254E-14</v>
      </c>
      <c r="ED132" s="22">
        <f t="shared" ref="ED132:ED153" si="126">SUM(EA132:EC132)</f>
        <v>1.3292893452777654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210.04871822652808</v>
      </c>
      <c r="AO133" s="59">
        <f t="shared" ref="AO133:AO196" si="144">$AO$3</f>
        <v>250.17540614049324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1.0076177964345039</v>
      </c>
      <c r="AV133" s="21">
        <f>EXP(-LN(2)/25)*AV132+(1-EXP(-LN(2)/25))/(LN(2)/25)*Calculateur!AQ133*Calculateur!AS133*VLOOKUP('Données projet'!$B$10,Paramètres!$A$1:$I$89,3,0)*0.475*44/12</f>
        <v>1.7394195990098387</v>
      </c>
      <c r="AW133" s="21">
        <f>EXP(-LN(2)/2)*AW132+(1-EXP(-LN(2)/2))/(LN(2)/2)*AQ133*AT133*VLOOKUP('Données projet'!$B$10,Paramètres!$A$1:$I$89,3,0)*0.475*44/12</f>
        <v>1.9143698837133362E-14</v>
      </c>
      <c r="AX133" s="21">
        <f t="shared" si="114"/>
        <v>2.7470373954443619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553.99999999999955</v>
      </c>
      <c r="BE133" s="13">
        <f>BD133*VLOOKUP('Données projet'!$B$11,Paramètres!$A$1:$I$89,3,0)*VLOOKUP('Données projet'!$B$11,Paramètres!$A$1:$I$89,5,0)</f>
        <v>331.29199999999975</v>
      </c>
      <c r="BF133" s="13">
        <f t="shared" ref="BF133:BF153" si="145">EXP(-1.0587+0.8836*LN(BE133)+0.284)</f>
        <v>77.698110787752</v>
      </c>
      <c r="BG133" s="20">
        <f t="shared" si="115"/>
        <v>712.32444295533423</v>
      </c>
      <c r="BH133" s="59">
        <f t="shared" si="116"/>
        <v>1005.6577762886675</v>
      </c>
      <c r="BI133" s="59">
        <f ca="1">AVERAGE(OFFSET($BH$3,0,0,'Données projet'!$E$11+1,1))-AVERAGE(OFFSET($H$3,0,0,'Données projet'!$E$11+1,1))</f>
        <v>316.58509520829671</v>
      </c>
      <c r="BJ133" s="59">
        <f t="shared" ref="BJ133:BJ196" si="146">$BJ$3</f>
        <v>240.71332110643596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0.3497958889408051</v>
      </c>
      <c r="BQ133" s="21">
        <f>EXP(-LN(2)/25)*BQ132+(1-EXP(-LN(2)/25))/(LN(2)/25)*Calculateur!BL133*Calculateur!BN133*VLOOKUP('Données projet'!$B$11,Paramètres!$A$1:$I$89,3,0)*0.475*44/12</f>
        <v>0.95424542003722146</v>
      </c>
      <c r="BR133" s="21">
        <f>EXP(-LN(2)/2)*BR132+(1-EXP(-LN(2)/2))/(LN(2)/2)*BL133*BO133*VLOOKUP('Données projet'!$B$11,Paramètres!$A$1:$I$89,3,0)*0.475*44/12</f>
        <v>1.9486051057296667E-14</v>
      </c>
      <c r="BS133" s="22">
        <f t="shared" si="117"/>
        <v>1.304041308978046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-5.1159076974727213E-13</v>
      </c>
      <c r="BZ133" s="13">
        <f>BY133*VLOOKUP('Données projet'!$B$12,Paramètres!$A$1:$I$89,3,0)*VLOOKUP('Données projet'!$B$12,Paramètres!$A$1:$I$89,5,0)</f>
        <v>-4.0702161641092972E-13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260.20517190557814</v>
      </c>
      <c r="CE133" s="59">
        <f t="shared" ref="CE133:CE196" si="148">$CE$3</f>
        <v>307.22009971147133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0.45032918382315928</v>
      </c>
      <c r="CL133" s="21">
        <f>EXP(-LN(2)/25)*CL132+(1-EXP(-LN(2)/25))/(LN(2)/25)*Calculateur!CG133*Calculateur!CI133*VLOOKUP('Données projet'!$B$12,Paramètres!$A$1:$I$89,3,0)*0.475*44/12</f>
        <v>1.2824751702998125</v>
      </c>
      <c r="CM133" s="21">
        <f>EXP(-LN(2)/2)*CM132+(1-EXP(-LN(2)/2))/(LN(2)/2)*CG133*CJ133*VLOOKUP('Données projet'!$B$12,Paramètres!$A$1:$I$89,3,0)*0.475*44/12</f>
        <v>2.1350951453731147E-14</v>
      </c>
      <c r="CN133" s="22">
        <f t="shared" si="120"/>
        <v>1.7328043541229932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407</v>
      </c>
      <c r="CR133" s="12">
        <f>VLOOKUP(A133,'Données projet'!$A$139:$I$159,9,0)</f>
        <v>5.9</v>
      </c>
      <c r="CS133" s="12">
        <f t="array" ref="CS133">INDEX(CR:CR,MIN(IF(ISNUMBER(CR133:CR329),ROW(CR133:CR329),"")))</f>
        <v>5.9</v>
      </c>
      <c r="CT133" s="12">
        <f>IF('Données projet'!$A$140&gt;35,CT132+CS133-DB132,IF(A133&lt;'Données projet'!$A$140,$CQ$205^A133,IF(A133='Données projet'!$A$140,'Données projet'!$B$140,CT132+CS133-DB132)))</f>
        <v>407.00000000000017</v>
      </c>
      <c r="CU133" s="17">
        <f>CT133*VLOOKUP('Données projet'!$B$13,Paramètres!$A$1:$I$89,3,0)*VLOOKUP('Données projet'!$B$13,Paramètres!$A$1:$I$89,5,0)</f>
        <v>349.20600000000019</v>
      </c>
      <c r="CV133" s="13">
        <f t="shared" ref="CV133:CV153" si="149">EXP(-1.0587+0.8836*LN(CU133)+0.284)</f>
        <v>81.39899678761104</v>
      </c>
      <c r="CW133" s="20">
        <f t="shared" si="121"/>
        <v>749.97036940508951</v>
      </c>
      <c r="CX133" s="59">
        <f t="shared" si="122"/>
        <v>1043.3037027384228</v>
      </c>
      <c r="CY133" s="59">
        <f ca="1">AVERAGE(OFFSET($CX$3,0,0,'Données projet'!$E$13+1,1))-AVERAGE(OFFSET($H$3,0,0,'Données projet'!$E$13+1,1))</f>
        <v>310.4018929413723</v>
      </c>
      <c r="CZ133" s="59">
        <f t="shared" ref="CZ133:CZ196" si="150">$CZ$3</f>
        <v>127.5231137583819</v>
      </c>
      <c r="DA133" s="15">
        <f>IF(ISNA(VLOOKUP(A133,'Données projet'!$A$139:$I$159,3,0)),0,VLOOKUP(A133,'Données projet'!$A$139:$I$159,3,0))</f>
        <v>12</v>
      </c>
      <c r="DB133" s="15">
        <f>IF(ISNA(VLOOKUP(A133,'Données projet'!$A$139:$I$159,4,0)),0,VLOOKUP(A133,'Données projet'!$A$139:$I$159,4,0))</f>
        <v>47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0.36796384506342283</v>
      </c>
      <c r="DH133" s="21">
        <f>EXP(-LN(2)/2)*DH132+(1-EXP(-LN(2)/2))/(LN(2)/2)*DB133*DE133*VLOOKUP('Données projet'!$B$13,Paramètres!$A$1:$I$89,3,0)*0.475*44/12</f>
        <v>7.9317044802738182E-15</v>
      </c>
      <c r="DI133" s="22">
        <f t="shared" si="123"/>
        <v>0.36796384506343077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>
        <f>DO133*VLOOKUP('Données projet'!$B$14,Paramètres!$A$1:$I$89,3,0)*VLOOKUP('Données projet'!$B$14,Paramètres!$A$1:$I$89,5,0)</f>
        <v>-3.7509835237869992E-13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234.09142087023463</v>
      </c>
      <c r="DU133" s="59">
        <f t="shared" ref="DU133:DU196" si="152">$DU$3</f>
        <v>278.990685815294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0.33670561616966527</v>
      </c>
      <c r="EB133" s="21">
        <f>EXP(-LN(2)/25)*EB132+(1-EXP(-LN(2)/25))/(LN(2)/25)*Calculateur!DW133*Calculateur!DY133*VLOOKUP('Données projet'!$B$14,Paramètres!$A$1:$I$89,3,0)*0.475*44/12</f>
        <v>0.95889098008728302</v>
      </c>
      <c r="EC133" s="21">
        <f>EXP(-LN(2)/2)*EC132+(1-EXP(-LN(2)/2))/(LN(2)/2)*DW133*DZ133*VLOOKUP('Données projet'!$B$14,Paramètres!$A$1:$I$89,3,0)*0.475*44/12</f>
        <v>1.9676367025987683E-14</v>
      </c>
      <c r="ED133" s="22">
        <f t="shared" si="126"/>
        <v>1.295596596256968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210.04871822652808</v>
      </c>
      <c r="AO134" s="59">
        <f t="shared" si="144"/>
        <v>250.17540614049324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0.98785902603259379</v>
      </c>
      <c r="AV134" s="21">
        <f>EXP(-LN(2)/25)*AV133+(1-EXP(-LN(2)/25))/(LN(2)/25)*Calculateur!AQ134*Calculateur!AS134*VLOOKUP('Données projet'!$B$10,Paramètres!$A$1:$I$89,3,0)*0.475*44/12</f>
        <v>1.6918550786028135</v>
      </c>
      <c r="AW134" s="21">
        <f>EXP(-LN(2)/2)*AW133+(1-EXP(-LN(2)/2))/(LN(2)/2)*AQ134*AT134*VLOOKUP('Données projet'!$B$10,Paramètres!$A$1:$I$89,3,0)*0.475*44/12</f>
        <v>1.3536639264730025E-14</v>
      </c>
      <c r="AX134" s="21">
        <f t="shared" si="114"/>
        <v>2.6797141046354205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553.99999999999955</v>
      </c>
      <c r="BE134" s="13">
        <f>BD134*VLOOKUP('Données projet'!$B$11,Paramètres!$A$1:$I$89,3,0)*VLOOKUP('Données projet'!$B$11,Paramètres!$A$1:$I$89,5,0)</f>
        <v>331.29199999999975</v>
      </c>
      <c r="BF134" s="13">
        <f t="shared" si="145"/>
        <v>77.698110787752</v>
      </c>
      <c r="BG134" s="20">
        <f t="shared" si="115"/>
        <v>712.32444295533423</v>
      </c>
      <c r="BH134" s="59">
        <f t="shared" si="116"/>
        <v>1005.6577762886675</v>
      </c>
      <c r="BI134" s="59">
        <f ca="1">AVERAGE(OFFSET($BH$3,0,0,'Données projet'!$E$11+1,1))-AVERAGE(OFFSET($H$3,0,0,'Données projet'!$E$11+1,1))</f>
        <v>316.58509520829671</v>
      </c>
      <c r="BJ134" s="59">
        <f t="shared" si="146"/>
        <v>240.71332110643596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0.34293660491310118</v>
      </c>
      <c r="BQ134" s="21">
        <f>EXP(-LN(2)/25)*BQ133+(1-EXP(-LN(2)/25))/(LN(2)/25)*Calculateur!BL134*Calculateur!BN134*VLOOKUP('Données projet'!$B$11,Paramètres!$A$1:$I$89,3,0)*0.475*44/12</f>
        <v>0.92815152884471797</v>
      </c>
      <c r="BR134" s="21">
        <f>EXP(-LN(2)/2)*BR133+(1-EXP(-LN(2)/2))/(LN(2)/2)*BL134*BO134*VLOOKUP('Données projet'!$B$11,Paramètres!$A$1:$I$89,3,0)*0.475*44/12</f>
        <v>1.3778718841161767E-14</v>
      </c>
      <c r="BS134" s="22">
        <f t="shared" si="117"/>
        <v>1.271088133757833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-5.1159076974727213E-13</v>
      </c>
      <c r="BZ134" s="13">
        <f>BY134*VLOOKUP('Données projet'!$B$12,Paramètres!$A$1:$I$89,3,0)*VLOOKUP('Données projet'!$B$12,Paramètres!$A$1:$I$89,5,0)</f>
        <v>-4.0702161641092972E-13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260.20517190557814</v>
      </c>
      <c r="CE134" s="59">
        <f t="shared" si="148"/>
        <v>307.22009971147133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0.44149850320206752</v>
      </c>
      <c r="CL134" s="21">
        <f>EXP(-LN(2)/25)*CL133+(1-EXP(-LN(2)/25))/(LN(2)/25)*Calculateur!CG134*Calculateur!CI134*VLOOKUP('Données projet'!$B$12,Paramètres!$A$1:$I$89,3,0)*0.475*44/12</f>
        <v>1.247405819325526</v>
      </c>
      <c r="CM134" s="21">
        <f>EXP(-LN(2)/2)*CM133+(1-EXP(-LN(2)/2))/(LN(2)/2)*CG134*CJ134*VLOOKUP('Données projet'!$B$12,Paramètres!$A$1:$I$89,3,0)*0.475*44/12</f>
        <v>1.5097402557718069E-14</v>
      </c>
      <c r="CN134" s="22">
        <f t="shared" si="120"/>
        <v>1.6889043225276086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5.0999999999999996</v>
      </c>
      <c r="CT134" s="12">
        <f>IF('Données projet'!$A$140&gt;35,CT133+CS134-DB133,IF(A134&lt;'Données projet'!$A$140,$CQ$205^A134,IF(A134='Données projet'!$A$140,'Données projet'!$B$140,CT133+CS134-DB133)))</f>
        <v>365.10000000000019</v>
      </c>
      <c r="CU134" s="17">
        <f>CT134*VLOOKUP('Données projet'!$B$13,Paramètres!$A$1:$I$89,3,0)*VLOOKUP('Données projet'!$B$13,Paramètres!$A$1:$I$89,5,0)</f>
        <v>313.25580000000019</v>
      </c>
      <c r="CV134" s="13">
        <f t="shared" si="149"/>
        <v>73.948356797752027</v>
      </c>
      <c r="CW134" s="20">
        <f t="shared" si="121"/>
        <v>674.38057308941836</v>
      </c>
      <c r="CX134" s="59">
        <f t="shared" si="122"/>
        <v>967.71390642275173</v>
      </c>
      <c r="CY134" s="59">
        <f ca="1">AVERAGE(OFFSET($CX$3,0,0,'Données projet'!$E$13+1,1))-AVERAGE(OFFSET($H$3,0,0,'Données projet'!$E$13+1,1))</f>
        <v>310.4018929413723</v>
      </c>
      <c r="CZ134" s="59">
        <f t="shared" si="150"/>
        <v>127.5231137583819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0.35790185436978594</v>
      </c>
      <c r="DH134" s="21">
        <f>EXP(-LN(2)/2)*DH133+(1-EXP(-LN(2)/2))/(LN(2)/2)*DB134*DE134*VLOOKUP('Données projet'!$B$13,Paramètres!$A$1:$I$89,3,0)*0.475*44/12</f>
        <v>5.6085620243693375E-15</v>
      </c>
      <c r="DI134" s="22">
        <f t="shared" si="123"/>
        <v>0.35790185436979155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>
        <f>DO134*VLOOKUP('Données projet'!$B$14,Paramètres!$A$1:$I$89,3,0)*VLOOKUP('Données projet'!$B$14,Paramètres!$A$1:$I$89,5,0)</f>
        <v>-3.7509835237869992E-13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234.09142087023463</v>
      </c>
      <c r="DU134" s="59">
        <f t="shared" si="152"/>
        <v>278.990685815294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0.3301030244067254</v>
      </c>
      <c r="EB134" s="21">
        <f>EXP(-LN(2)/25)*EB133+(1-EXP(-LN(2)/25))/(LN(2)/25)*Calculateur!DW134*Calculateur!DY134*VLOOKUP('Données projet'!$B$14,Paramètres!$A$1:$I$89,3,0)*0.475*44/12</f>
        <v>0.93267005581091122</v>
      </c>
      <c r="EC134" s="21">
        <f>EXP(-LN(2)/2)*EC133+(1-EXP(-LN(2)/2))/(LN(2)/2)*DW134*DZ134*VLOOKUP('Données projet'!$B$14,Paramètres!$A$1:$I$89,3,0)*0.475*44/12</f>
        <v>1.3913292553191273E-14</v>
      </c>
      <c r="ED134" s="22">
        <f t="shared" si="126"/>
        <v>1.2627730802176507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210.04871822652808</v>
      </c>
      <c r="AO135" s="59">
        <f t="shared" si="144"/>
        <v>250.17540614049324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0.96848771306660519</v>
      </c>
      <c r="AV135" s="21">
        <f>EXP(-LN(2)/25)*AV134+(1-EXP(-LN(2)/25))/(LN(2)/25)*Calculateur!AQ135*Calculateur!AS135*VLOOKUP('Données projet'!$B$10,Paramètres!$A$1:$I$89,3,0)*0.475*44/12</f>
        <v>1.6455912125076277</v>
      </c>
      <c r="AW135" s="21">
        <f>EXP(-LN(2)/2)*AW134+(1-EXP(-LN(2)/2))/(LN(2)/2)*AQ135*AT135*VLOOKUP('Données projet'!$B$10,Paramètres!$A$1:$I$89,3,0)*0.475*44/12</f>
        <v>9.5718494185666812E-15</v>
      </c>
      <c r="AX135" s="21">
        <f t="shared" si="114"/>
        <v>2.6140789255742427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553.99999999999955</v>
      </c>
      <c r="BE135" s="13">
        <f>BD135*VLOOKUP('Données projet'!$B$11,Paramètres!$A$1:$I$89,3,0)*VLOOKUP('Données projet'!$B$11,Paramètres!$A$1:$I$89,5,0)</f>
        <v>331.29199999999975</v>
      </c>
      <c r="BF135" s="13">
        <f t="shared" si="145"/>
        <v>77.698110787752</v>
      </c>
      <c r="BG135" s="20">
        <f t="shared" si="115"/>
        <v>712.32444295533423</v>
      </c>
      <c r="BH135" s="59">
        <f t="shared" si="116"/>
        <v>1005.6577762886675</v>
      </c>
      <c r="BI135" s="59">
        <f ca="1">AVERAGE(OFFSET($BH$3,0,0,'Données projet'!$E$11+1,1))-AVERAGE(OFFSET($H$3,0,0,'Données projet'!$E$11+1,1))</f>
        <v>316.58509520829671</v>
      </c>
      <c r="BJ135" s="59">
        <f t="shared" si="146"/>
        <v>240.71332110643596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0.3362118272614304</v>
      </c>
      <c r="BQ135" s="21">
        <f>EXP(-LN(2)/25)*BQ134+(1-EXP(-LN(2)/25))/(LN(2)/25)*Calculateur!BL135*Calculateur!BN135*VLOOKUP('Données projet'!$B$11,Paramètres!$A$1:$I$89,3,0)*0.475*44/12</f>
        <v>0.90277117647909155</v>
      </c>
      <c r="BR135" s="21">
        <f>EXP(-LN(2)/2)*BR134+(1-EXP(-LN(2)/2))/(LN(2)/2)*BL135*BO135*VLOOKUP('Données projet'!$B$11,Paramètres!$A$1:$I$89,3,0)*0.475*44/12</f>
        <v>9.7430255286483335E-15</v>
      </c>
      <c r="BS135" s="22">
        <f t="shared" si="117"/>
        <v>1.2389830037405316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-5.1159076974727213E-13</v>
      </c>
      <c r="BZ135" s="13">
        <f>BY135*VLOOKUP('Données projet'!$B$12,Paramètres!$A$1:$I$89,3,0)*VLOOKUP('Données projet'!$B$12,Paramètres!$A$1:$I$89,5,0)</f>
        <v>-4.0702161641092972E-13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260.20517190557814</v>
      </c>
      <c r="CE135" s="59">
        <f t="shared" si="148"/>
        <v>307.22009971147133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0.43284098684177197</v>
      </c>
      <c r="CL135" s="21">
        <f>EXP(-LN(2)/25)*CL134+(1-EXP(-LN(2)/25))/(LN(2)/25)*Calculateur!CG135*Calculateur!CI135*VLOOKUP('Données projet'!$B$12,Paramètres!$A$1:$I$89,3,0)*0.475*44/12</f>
        <v>1.2132954415978483</v>
      </c>
      <c r="CM135" s="21">
        <f>EXP(-LN(2)/2)*CM134+(1-EXP(-LN(2)/2))/(LN(2)/2)*CG135*CJ135*VLOOKUP('Données projet'!$B$12,Paramètres!$A$1:$I$89,3,0)*0.475*44/12</f>
        <v>1.0675475726865574E-14</v>
      </c>
      <c r="CN135" s="22">
        <f t="shared" si="120"/>
        <v>1.6461364284396309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5.0999999999999996</v>
      </c>
      <c r="CT135" s="12">
        <f>IF('Données projet'!$A$140&gt;35,CT134+CS135-DB134,IF(A135&lt;'Données projet'!$A$140,$CQ$205^A135,IF(A135='Données projet'!$A$140,'Données projet'!$B$140,CT134+CS135-DB134)))</f>
        <v>370.20000000000022</v>
      </c>
      <c r="CU135" s="17">
        <f>CT135*VLOOKUP('Données projet'!$B$13,Paramètres!$A$1:$I$89,3,0)*VLOOKUP('Données projet'!$B$13,Paramètres!$A$1:$I$89,5,0)</f>
        <v>317.63160000000022</v>
      </c>
      <c r="CV135" s="13">
        <f t="shared" si="149"/>
        <v>74.860349124335784</v>
      </c>
      <c r="CW135" s="20">
        <f t="shared" si="121"/>
        <v>683.59014472488514</v>
      </c>
      <c r="CX135" s="59">
        <f t="shared" si="122"/>
        <v>976.92347805821851</v>
      </c>
      <c r="CY135" s="59">
        <f ca="1">AVERAGE(OFFSET($CX$3,0,0,'Données projet'!$E$13+1,1))-AVERAGE(OFFSET($H$3,0,0,'Données projet'!$E$13+1,1))</f>
        <v>310.4018929413723</v>
      </c>
      <c r="CZ135" s="59">
        <f t="shared" si="150"/>
        <v>127.5231137583819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0.34811500934080364</v>
      </c>
      <c r="DH135" s="21">
        <f>EXP(-LN(2)/2)*DH134+(1-EXP(-LN(2)/2))/(LN(2)/2)*DB135*DE135*VLOOKUP('Données projet'!$B$13,Paramètres!$A$1:$I$89,3,0)*0.475*44/12</f>
        <v>3.9658522401369091E-15</v>
      </c>
      <c r="DI135" s="22">
        <f t="shared" si="123"/>
        <v>0.34811500934080758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>
        <f>DO135*VLOOKUP('Données projet'!$B$14,Paramètres!$A$1:$I$89,3,0)*VLOOKUP('Données projet'!$B$14,Paramètres!$A$1:$I$89,5,0)</f>
        <v>-3.7509835237869992E-13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234.09142087023463</v>
      </c>
      <c r="DU135" s="59">
        <f t="shared" si="152"/>
        <v>278.990685815294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0.32362990544107345</v>
      </c>
      <c r="EB135" s="21">
        <f>EXP(-LN(2)/25)*EB134+(1-EXP(-LN(2)/25))/(LN(2)/25)*Calculateur!DW135*Calculateur!DY135*VLOOKUP('Données projet'!$B$14,Paramètres!$A$1:$I$89,3,0)*0.475*44/12</f>
        <v>0.90716614408777529</v>
      </c>
      <c r="EC135" s="21">
        <f>EXP(-LN(2)/2)*EC134+(1-EXP(-LN(2)/2))/(LN(2)/2)*DW135*DZ135*VLOOKUP('Données projet'!$B$14,Paramètres!$A$1:$I$89,3,0)*0.475*44/12</f>
        <v>9.8381835129938433E-15</v>
      </c>
      <c r="ED135" s="22">
        <f t="shared" si="126"/>
        <v>1.2307960495288586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210.04871822652808</v>
      </c>
      <c r="AO136" s="59">
        <f t="shared" si="144"/>
        <v>250.17540614049324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0.94949625973254537</v>
      </c>
      <c r="AV136" s="21">
        <f>EXP(-LN(2)/25)*AV135+(1-EXP(-LN(2)/25))/(LN(2)/25)*Calculateur!AQ136*Calculateur!AS136*VLOOKUP('Données projet'!$B$10,Paramètres!$A$1:$I$89,3,0)*0.475*44/12</f>
        <v>1.6005924342637259</v>
      </c>
      <c r="AW136" s="21">
        <f>EXP(-LN(2)/2)*AW135+(1-EXP(-LN(2)/2))/(LN(2)/2)*AQ136*AT136*VLOOKUP('Données projet'!$B$10,Paramètres!$A$1:$I$89,3,0)*0.475*44/12</f>
        <v>6.7683196323650125E-15</v>
      </c>
      <c r="AX136" s="21">
        <f t="shared" si="114"/>
        <v>2.5500886939962779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553.99999999999955</v>
      </c>
      <c r="BE136" s="13">
        <f>BD136*VLOOKUP('Données projet'!$B$11,Paramètres!$A$1:$I$89,3,0)*VLOOKUP('Données projet'!$B$11,Paramètres!$A$1:$I$89,5,0)</f>
        <v>331.29199999999975</v>
      </c>
      <c r="BF136" s="13">
        <f t="shared" si="145"/>
        <v>77.698110787752</v>
      </c>
      <c r="BG136" s="20">
        <f t="shared" si="115"/>
        <v>712.32444295533423</v>
      </c>
      <c r="BH136" s="59">
        <f t="shared" si="116"/>
        <v>1005.6577762886675</v>
      </c>
      <c r="BI136" s="59">
        <f ca="1">AVERAGE(OFFSET($BH$3,0,0,'Données projet'!$E$11+1,1))-AVERAGE(OFFSET($H$3,0,0,'Données projet'!$E$11+1,1))</f>
        <v>316.58509520829671</v>
      </c>
      <c r="BJ136" s="59">
        <f t="shared" si="146"/>
        <v>240.71332110643596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0.3296189183977995</v>
      </c>
      <c r="BQ136" s="21">
        <f>EXP(-LN(2)/25)*BQ135+(1-EXP(-LN(2)/25))/(LN(2)/25)*Calculateur!BL136*Calculateur!BN136*VLOOKUP('Données projet'!$B$11,Paramètres!$A$1:$I$89,3,0)*0.475*44/12</f>
        <v>0.87808485118359791</v>
      </c>
      <c r="BR136" s="21">
        <f>EXP(-LN(2)/2)*BR135+(1-EXP(-LN(2)/2))/(LN(2)/2)*BL136*BO136*VLOOKUP('Données projet'!$B$11,Paramètres!$A$1:$I$89,3,0)*0.475*44/12</f>
        <v>6.8893594205808837E-15</v>
      </c>
      <c r="BS136" s="22">
        <f t="shared" si="117"/>
        <v>1.2077037695814044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-5.1159076974727213E-13</v>
      </c>
      <c r="BZ136" s="13">
        <f>BY136*VLOOKUP('Données projet'!$B$12,Paramètres!$A$1:$I$89,3,0)*VLOOKUP('Données projet'!$B$12,Paramètres!$A$1:$I$89,5,0)</f>
        <v>-4.0702161641092972E-13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260.20517190557814</v>
      </c>
      <c r="CE136" s="59">
        <f t="shared" si="148"/>
        <v>307.22009971147133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0.42435323909673828</v>
      </c>
      <c r="CL136" s="21">
        <f>EXP(-LN(2)/25)*CL135+(1-EXP(-LN(2)/25))/(LN(2)/25)*Calculateur!CG136*Calculateur!CI136*VLOOKUP('Données projet'!$B$12,Paramètres!$A$1:$I$89,3,0)*0.475*44/12</f>
        <v>1.1801178139429209</v>
      </c>
      <c r="CM136" s="21">
        <f>EXP(-LN(2)/2)*CM135+(1-EXP(-LN(2)/2))/(LN(2)/2)*CG136*CJ136*VLOOKUP('Données projet'!$B$12,Paramètres!$A$1:$I$89,3,0)*0.475*44/12</f>
        <v>7.5487012788590345E-15</v>
      </c>
      <c r="CN136" s="22">
        <f t="shared" si="120"/>
        <v>1.6044710530396666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5.0999999999999996</v>
      </c>
      <c r="CT136" s="12">
        <f>IF('Données projet'!$A$140&gt;35,CT135+CS136-DB135,IF(A136&lt;'Données projet'!$A$140,$CQ$205^A136,IF(A136='Données projet'!$A$140,'Données projet'!$B$140,CT135+CS136-DB135)))</f>
        <v>375.30000000000024</v>
      </c>
      <c r="CU136" s="17">
        <f>CT136*VLOOKUP('Données projet'!$B$13,Paramètres!$A$1:$I$89,3,0)*VLOOKUP('Données projet'!$B$13,Paramètres!$A$1:$I$89,5,0)</f>
        <v>322.00740000000025</v>
      </c>
      <c r="CV136" s="13">
        <f t="shared" si="149"/>
        <v>75.770880134416487</v>
      </c>
      <c r="CW136" s="20">
        <f t="shared" si="121"/>
        <v>692.7971712341091</v>
      </c>
      <c r="CX136" s="59">
        <f t="shared" si="122"/>
        <v>986.13050456744236</v>
      </c>
      <c r="CY136" s="59">
        <f ca="1">AVERAGE(OFFSET($CX$3,0,0,'Données projet'!$E$13+1,1))-AVERAGE(OFFSET($H$3,0,0,'Données projet'!$E$13+1,1))</f>
        <v>310.4018929413723</v>
      </c>
      <c r="CZ136" s="59">
        <f t="shared" si="150"/>
        <v>127.5231137583819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0.33859578610380664</v>
      </c>
      <c r="DH136" s="21">
        <f>EXP(-LN(2)/2)*DH135+(1-EXP(-LN(2)/2))/(LN(2)/2)*DB136*DE136*VLOOKUP('Données projet'!$B$13,Paramètres!$A$1:$I$89,3,0)*0.475*44/12</f>
        <v>2.8042810121846687E-15</v>
      </c>
      <c r="DI136" s="22">
        <f t="shared" si="123"/>
        <v>0.33859578610380947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>
        <f>DO136*VLOOKUP('Données projet'!$B$14,Paramètres!$A$1:$I$89,3,0)*VLOOKUP('Données projet'!$B$14,Paramètres!$A$1:$I$89,5,0)</f>
        <v>-3.7509835237869992E-13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234.09142087023463</v>
      </c>
      <c r="DU136" s="59">
        <f t="shared" si="152"/>
        <v>278.990685815294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0.3172837203901252</v>
      </c>
      <c r="EB136" s="21">
        <f>EXP(-LN(2)/25)*EB135+(1-EXP(-LN(2)/25))/(LN(2)/25)*Calculateur!DW136*Calculateur!DY136*VLOOKUP('Données projet'!$B$14,Paramètres!$A$1:$I$89,3,0)*0.475*44/12</f>
        <v>0.88235963817190088</v>
      </c>
      <c r="EC136" s="21">
        <f>EXP(-LN(2)/2)*EC135+(1-EXP(-LN(2)/2))/(LN(2)/2)*DW136*DZ136*VLOOKUP('Données projet'!$B$14,Paramètres!$A$1:$I$89,3,0)*0.475*44/12</f>
        <v>6.9566462765956375E-15</v>
      </c>
      <c r="ED136" s="22">
        <f t="shared" si="126"/>
        <v>1.199643358562033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210.04871822652808</v>
      </c>
      <c r="AO137" s="59">
        <f t="shared" si="144"/>
        <v>250.17540614049324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0.93087721721472372</v>
      </c>
      <c r="AV137" s="21">
        <f>EXP(-LN(2)/25)*AV136+(1-EXP(-LN(2)/25))/(LN(2)/25)*Calculateur!AQ137*Calculateur!AS137*VLOOKUP('Données projet'!$B$10,Paramètres!$A$1:$I$89,3,0)*0.475*44/12</f>
        <v>1.5568241499772864</v>
      </c>
      <c r="AW137" s="21">
        <f>EXP(-LN(2)/2)*AW136+(1-EXP(-LN(2)/2))/(LN(2)/2)*AQ137*AT137*VLOOKUP('Données projet'!$B$10,Paramètres!$A$1:$I$89,3,0)*0.475*44/12</f>
        <v>4.7859247092833406E-15</v>
      </c>
      <c r="AX137" s="21">
        <f t="shared" si="114"/>
        <v>2.487701367192015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553.99999999999955</v>
      </c>
      <c r="BE137" s="13">
        <f>BD137*VLOOKUP('Données projet'!$B$11,Paramètres!$A$1:$I$89,3,0)*VLOOKUP('Données projet'!$B$11,Paramètres!$A$1:$I$89,5,0)</f>
        <v>331.29199999999975</v>
      </c>
      <c r="BF137" s="13">
        <f t="shared" si="145"/>
        <v>77.698110787752</v>
      </c>
      <c r="BG137" s="20">
        <f t="shared" si="115"/>
        <v>712.32444295533423</v>
      </c>
      <c r="BH137" s="59">
        <f t="shared" si="116"/>
        <v>1005.6577762886675</v>
      </c>
      <c r="BI137" s="59">
        <f ca="1">AVERAGE(OFFSET($BH$3,0,0,'Données projet'!$E$11+1,1))-AVERAGE(OFFSET($H$3,0,0,'Données projet'!$E$11+1,1))</f>
        <v>316.58509520829671</v>
      </c>
      <c r="BJ137" s="59">
        <f t="shared" si="146"/>
        <v>240.71332110643596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0.32315529245570707</v>
      </c>
      <c r="BQ137" s="21">
        <f>EXP(-LN(2)/25)*BQ136+(1-EXP(-LN(2)/25))/(LN(2)/25)*Calculateur!BL137*Calculateur!BN137*VLOOKUP('Données projet'!$B$11,Paramètres!$A$1:$I$89,3,0)*0.475*44/12</f>
        <v>0.85407357475150703</v>
      </c>
      <c r="BR137" s="21">
        <f>EXP(-LN(2)/2)*BR136+(1-EXP(-LN(2)/2))/(LN(2)/2)*BL137*BO137*VLOOKUP('Données projet'!$B$11,Paramètres!$A$1:$I$89,3,0)*0.475*44/12</f>
        <v>4.8715127643241667E-15</v>
      </c>
      <c r="BS137" s="22">
        <f t="shared" si="117"/>
        <v>1.1772288672072189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-5.1159076974727213E-13</v>
      </c>
      <c r="BZ137" s="13">
        <f>BY137*VLOOKUP('Données projet'!$B$12,Paramètres!$A$1:$I$89,3,0)*VLOOKUP('Données projet'!$B$12,Paramètres!$A$1:$I$89,5,0)</f>
        <v>-4.0702161641092972E-13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260.20517190557814</v>
      </c>
      <c r="CE137" s="59">
        <f t="shared" si="148"/>
        <v>307.22009971147133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0.41603193090796975</v>
      </c>
      <c r="CL137" s="21">
        <f>EXP(-LN(2)/25)*CL136+(1-EXP(-LN(2)/25))/(LN(2)/25)*Calculateur!CG137*Calculateur!CI137*VLOOKUP('Données projet'!$B$12,Paramètres!$A$1:$I$89,3,0)*0.475*44/12</f>
        <v>1.1478474302609531</v>
      </c>
      <c r="CM137" s="21">
        <f>EXP(-LN(2)/2)*CM136+(1-EXP(-LN(2)/2))/(LN(2)/2)*CG137*CJ137*VLOOKUP('Données projet'!$B$12,Paramètres!$A$1:$I$89,3,0)*0.475*44/12</f>
        <v>5.3377378634327868E-15</v>
      </c>
      <c r="CN137" s="22">
        <f t="shared" si="120"/>
        <v>1.5638793611689281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5.0999999999999996</v>
      </c>
      <c r="CT137" s="12">
        <f>IF('Données projet'!$A$140&gt;35,CT136+CS137-DB136,IF(A137&lt;'Données projet'!$A$140,$CQ$205^A137,IF(A137='Données projet'!$A$140,'Données projet'!$B$140,CT136+CS137-DB136)))</f>
        <v>380.40000000000026</v>
      </c>
      <c r="CU137" s="17">
        <f>CT137*VLOOKUP('Données projet'!$B$13,Paramètres!$A$1:$I$89,3,0)*VLOOKUP('Données projet'!$B$13,Paramètres!$A$1:$I$89,5,0)</f>
        <v>326.38320000000027</v>
      </c>
      <c r="CV137" s="13">
        <f t="shared" si="149"/>
        <v>76.679971981333125</v>
      </c>
      <c r="CW137" s="20">
        <f t="shared" si="121"/>
        <v>702.00169120082239</v>
      </c>
      <c r="CX137" s="59">
        <f t="shared" si="122"/>
        <v>995.33502453415576</v>
      </c>
      <c r="CY137" s="59">
        <f ca="1">AVERAGE(OFFSET($CX$3,0,0,'Données projet'!$E$13+1,1))-AVERAGE(OFFSET($H$3,0,0,'Données projet'!$E$13+1,1))</f>
        <v>310.4018929413723</v>
      </c>
      <c r="CZ137" s="59">
        <f t="shared" si="150"/>
        <v>127.5231137583819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0.32933686652681954</v>
      </c>
      <c r="DH137" s="21">
        <f>EXP(-LN(2)/2)*DH136+(1-EXP(-LN(2)/2))/(LN(2)/2)*DB137*DE137*VLOOKUP('Données projet'!$B$13,Paramètres!$A$1:$I$89,3,0)*0.475*44/12</f>
        <v>1.9829261200684546E-15</v>
      </c>
      <c r="DI137" s="22">
        <f t="shared" si="123"/>
        <v>0.32933686652682154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>
        <f>DO137*VLOOKUP('Données projet'!$B$14,Paramètres!$A$1:$I$89,3,0)*VLOOKUP('Données projet'!$B$14,Paramètres!$A$1:$I$89,5,0)</f>
        <v>-3.7509835237869992E-13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234.09142087023463</v>
      </c>
      <c r="DU137" s="59">
        <f t="shared" si="152"/>
        <v>278.990685815294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0.31106198015723541</v>
      </c>
      <c r="EB137" s="21">
        <f>EXP(-LN(2)/25)*EB136+(1-EXP(-LN(2)/25))/(LN(2)/25)*Calculateur!DW137*Calculateur!DY137*VLOOKUP('Données projet'!$B$14,Paramètres!$A$1:$I$89,3,0)*0.475*44/12</f>
        <v>0.85823146746481349</v>
      </c>
      <c r="EC137" s="21">
        <f>EXP(-LN(2)/2)*EC136+(1-EXP(-LN(2)/2))/(LN(2)/2)*DW137*DZ137*VLOOKUP('Données projet'!$B$14,Paramètres!$A$1:$I$89,3,0)*0.475*44/12</f>
        <v>4.9190917564969224E-15</v>
      </c>
      <c r="ED137" s="22">
        <f t="shared" si="126"/>
        <v>1.1692934476220538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210.04871822652808</v>
      </c>
      <c r="AO138" s="59">
        <f t="shared" si="144"/>
        <v>250.17540614049324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0.91262328276418192</v>
      </c>
      <c r="AV138" s="21">
        <f>EXP(-LN(2)/25)*AV137+(1-EXP(-LN(2)/25))/(LN(2)/25)*Calculateur!AQ138*Calculateur!AS138*VLOOKUP('Données projet'!$B$10,Paramètres!$A$1:$I$89,3,0)*0.475*44/12</f>
        <v>1.5142527117263336</v>
      </c>
      <c r="AW138" s="21">
        <f>EXP(-LN(2)/2)*AW137+(1-EXP(-LN(2)/2))/(LN(2)/2)*AQ138*AT138*VLOOKUP('Données projet'!$B$10,Paramètres!$A$1:$I$89,3,0)*0.475*44/12</f>
        <v>3.3841598161825062E-15</v>
      </c>
      <c r="AX138" s="21">
        <f t="shared" si="114"/>
        <v>2.4268759944905192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553.99999999999955</v>
      </c>
      <c r="BE138" s="13">
        <f>BD138*VLOOKUP('Données projet'!$B$11,Paramètres!$A$1:$I$89,3,0)*VLOOKUP('Données projet'!$B$11,Paramètres!$A$1:$I$89,5,0)</f>
        <v>331.29199999999975</v>
      </c>
      <c r="BF138" s="13">
        <f t="shared" si="145"/>
        <v>77.698110787752</v>
      </c>
      <c r="BG138" s="20">
        <f t="shared" si="115"/>
        <v>712.32444295533423</v>
      </c>
      <c r="BH138" s="59">
        <f t="shared" si="116"/>
        <v>1005.6577762886675</v>
      </c>
      <c r="BI138" s="59">
        <f ca="1">AVERAGE(OFFSET($BH$3,0,0,'Données projet'!$E$11+1,1))-AVERAGE(OFFSET($H$3,0,0,'Données projet'!$E$11+1,1))</f>
        <v>316.58509520829671</v>
      </c>
      <c r="BJ138" s="59">
        <f t="shared" si="146"/>
        <v>240.71332110643596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0.3168184142759165</v>
      </c>
      <c r="BQ138" s="21">
        <f>EXP(-LN(2)/25)*BQ137+(1-EXP(-LN(2)/25))/(LN(2)/25)*Calculateur!BL138*Calculateur!BN138*VLOOKUP('Données projet'!$B$11,Paramètres!$A$1:$I$89,3,0)*0.475*44/12</f>
        <v>0.83071888793614979</v>
      </c>
      <c r="BR138" s="21">
        <f>EXP(-LN(2)/2)*BR137+(1-EXP(-LN(2)/2))/(LN(2)/2)*BL138*BO138*VLOOKUP('Données projet'!$B$11,Paramètres!$A$1:$I$89,3,0)*0.475*44/12</f>
        <v>3.4446797102904419E-15</v>
      </c>
      <c r="BS138" s="22">
        <f t="shared" si="117"/>
        <v>1.1475373022120698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-5.1159076974727213E-13</v>
      </c>
      <c r="BZ138" s="13">
        <f>BY138*VLOOKUP('Données projet'!$B$12,Paramètres!$A$1:$I$89,3,0)*VLOOKUP('Données projet'!$B$12,Paramètres!$A$1:$I$89,5,0)</f>
        <v>-4.0702161641092972E-13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260.20517190557814</v>
      </c>
      <c r="CE138" s="59">
        <f t="shared" si="148"/>
        <v>307.22009971147133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0.40787379849728617</v>
      </c>
      <c r="CL138" s="21">
        <f>EXP(-LN(2)/25)*CL137+(1-EXP(-LN(2)/25))/(LN(2)/25)*Calculateur!CG138*Calculateur!CI138*VLOOKUP('Données projet'!$B$12,Paramètres!$A$1:$I$89,3,0)*0.475*44/12</f>
        <v>1.1164594819177944</v>
      </c>
      <c r="CM138" s="21">
        <f>EXP(-LN(2)/2)*CM137+(1-EXP(-LN(2)/2))/(LN(2)/2)*CG138*CJ138*VLOOKUP('Données projet'!$B$12,Paramètres!$A$1:$I$89,3,0)*0.475*44/12</f>
        <v>3.7743506394295173E-15</v>
      </c>
      <c r="CN138" s="22">
        <f t="shared" si="120"/>
        <v>1.5243332804150844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5.0999999999999996</v>
      </c>
      <c r="CT138" s="12">
        <f>IF('Données projet'!$A$140&gt;35,CT137+CS138-DB137,IF(A138&lt;'Données projet'!$A$140,$CQ$205^A138,IF(A138='Données projet'!$A$140,'Données projet'!$B$140,CT137+CS138-DB137)))</f>
        <v>385.50000000000028</v>
      </c>
      <c r="CU138" s="17">
        <f>CT138*VLOOKUP('Données projet'!$B$13,Paramètres!$A$1:$I$89,3,0)*VLOOKUP('Données projet'!$B$13,Paramètres!$A$1:$I$89,5,0)</f>
        <v>330.7590000000003</v>
      </c>
      <c r="CV138" s="13">
        <f t="shared" si="149"/>
        <v>77.587646190269894</v>
      </c>
      <c r="CW138" s="20">
        <f t="shared" si="121"/>
        <v>711.20374211472051</v>
      </c>
      <c r="CX138" s="59">
        <f t="shared" si="122"/>
        <v>1004.5370754480539</v>
      </c>
      <c r="CY138" s="59">
        <f ca="1">AVERAGE(OFFSET($CX$3,0,0,'Données projet'!$E$13+1,1))-AVERAGE(OFFSET($H$3,0,0,'Données projet'!$E$13+1,1))</f>
        <v>310.4018929413723</v>
      </c>
      <c r="CZ138" s="59">
        <f t="shared" si="150"/>
        <v>127.5231137583819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0.32033113259257057</v>
      </c>
      <c r="DH138" s="21">
        <f>EXP(-LN(2)/2)*DH137+(1-EXP(-LN(2)/2))/(LN(2)/2)*DB138*DE138*VLOOKUP('Données projet'!$B$13,Paramètres!$A$1:$I$89,3,0)*0.475*44/12</f>
        <v>1.4021405060923344E-15</v>
      </c>
      <c r="DI138" s="22">
        <f t="shared" si="123"/>
        <v>0.32033113259257195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>
        <f>DO138*VLOOKUP('Données projet'!$B$14,Paramètres!$A$1:$I$89,3,0)*VLOOKUP('Données projet'!$B$14,Paramètres!$A$1:$I$89,5,0)</f>
        <v>-3.7509835237869992E-13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234.09142087023463</v>
      </c>
      <c r="DU138" s="59">
        <f t="shared" si="152"/>
        <v>278.990685815294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0.30496224445542575</v>
      </c>
      <c r="EB138" s="21">
        <f>EXP(-LN(2)/25)*EB137+(1-EXP(-LN(2)/25))/(LN(2)/25)*Calculateur!DW138*Calculateur!DY138*VLOOKUP('Données projet'!$B$14,Paramètres!$A$1:$I$89,3,0)*0.475*44/12</f>
        <v>0.8347630828545568</v>
      </c>
      <c r="EC138" s="21">
        <f>EXP(-LN(2)/2)*EC137+(1-EXP(-LN(2)/2))/(LN(2)/2)*DW138*DZ138*VLOOKUP('Données projet'!$B$14,Paramètres!$A$1:$I$89,3,0)*0.475*44/12</f>
        <v>3.4783231382978191E-15</v>
      </c>
      <c r="ED138" s="22">
        <f t="shared" si="126"/>
        <v>1.1397253273099861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210.04871822652808</v>
      </c>
      <c r="AO139" s="59">
        <f t="shared" si="144"/>
        <v>250.17540614049324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0.89472729683441465</v>
      </c>
      <c r="AV139" s="21">
        <f>EXP(-LN(2)/25)*AV138+(1-EXP(-LN(2)/25))/(LN(2)/25)*Calculateur!AQ139*Calculateur!AS139*VLOOKUP('Données projet'!$B$10,Paramètres!$A$1:$I$89,3,0)*0.475*44/12</f>
        <v>1.4728453916930877</v>
      </c>
      <c r="AW139" s="21">
        <f>EXP(-LN(2)/2)*AW138+(1-EXP(-LN(2)/2))/(LN(2)/2)*AQ139*AT139*VLOOKUP('Données projet'!$B$10,Paramètres!$A$1:$I$89,3,0)*0.475*44/12</f>
        <v>2.3929623546416703E-15</v>
      </c>
      <c r="AX139" s="21">
        <f t="shared" si="114"/>
        <v>2.3675726885275048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553.99999999999955</v>
      </c>
      <c r="BE139" s="13">
        <f>BD139*VLOOKUP('Données projet'!$B$11,Paramètres!$A$1:$I$89,3,0)*VLOOKUP('Données projet'!$B$11,Paramètres!$A$1:$I$89,5,0)</f>
        <v>331.29199999999975</v>
      </c>
      <c r="BF139" s="13">
        <f t="shared" si="145"/>
        <v>77.698110787752</v>
      </c>
      <c r="BG139" s="20">
        <f t="shared" si="115"/>
        <v>712.32444295533423</v>
      </c>
      <c r="BH139" s="59">
        <f t="shared" si="116"/>
        <v>1005.6577762886675</v>
      </c>
      <c r="BI139" s="59">
        <f ca="1">AVERAGE(OFFSET($BH$3,0,0,'Données projet'!$E$11+1,1))-AVERAGE(OFFSET($H$3,0,0,'Données projet'!$E$11+1,1))</f>
        <v>316.58509520829671</v>
      </c>
      <c r="BJ139" s="59">
        <f t="shared" si="146"/>
        <v>240.71332110643596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0.31060579841211761</v>
      </c>
      <c r="BQ139" s="21">
        <f>EXP(-LN(2)/25)*BQ138+(1-EXP(-LN(2)/25))/(LN(2)/25)*Calculateur!BL139*Calculateur!BN139*VLOOKUP('Données projet'!$B$11,Paramètres!$A$1:$I$89,3,0)*0.475*44/12</f>
        <v>0.80800283625992808</v>
      </c>
      <c r="BR139" s="21">
        <f>EXP(-LN(2)/2)*BR138+(1-EXP(-LN(2)/2))/(LN(2)/2)*BL139*BO139*VLOOKUP('Données projet'!$B$11,Paramètres!$A$1:$I$89,3,0)*0.475*44/12</f>
        <v>2.4357563821620834E-15</v>
      </c>
      <c r="BS139" s="22">
        <f t="shared" si="117"/>
        <v>1.1186086346720481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-5.1159076974727213E-13</v>
      </c>
      <c r="BZ139" s="13">
        <f>BY139*VLOOKUP('Données projet'!$B$12,Paramètres!$A$1:$I$89,3,0)*VLOOKUP('Données projet'!$B$12,Paramètres!$A$1:$I$89,5,0)</f>
        <v>-4.0702161641092972E-13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260.20517190557814</v>
      </c>
      <c r="CE139" s="59">
        <f t="shared" si="148"/>
        <v>307.22009971147133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0.39987564208720666</v>
      </c>
      <c r="CL139" s="21">
        <f>EXP(-LN(2)/25)*CL138+(1-EXP(-LN(2)/25))/(LN(2)/25)*Calculateur!CG139*Calculateur!CI139*VLOOKUP('Données projet'!$B$12,Paramètres!$A$1:$I$89,3,0)*0.475*44/12</f>
        <v>1.0859298386726999</v>
      </c>
      <c r="CM139" s="21">
        <f>EXP(-LN(2)/2)*CM138+(1-EXP(-LN(2)/2))/(LN(2)/2)*CG139*CJ139*VLOOKUP('Données projet'!$B$12,Paramètres!$A$1:$I$89,3,0)*0.475*44/12</f>
        <v>2.6688689317163934E-15</v>
      </c>
      <c r="CN139" s="22">
        <f t="shared" si="120"/>
        <v>1.4858054807599093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5.0999999999999996</v>
      </c>
      <c r="CT139" s="12">
        <f>IF('Données projet'!$A$140&gt;35,CT138+CS139-DB138,IF(A139&lt;'Données projet'!$A$140,$CQ$205^A139,IF(A139='Données projet'!$A$140,'Données projet'!$B$140,CT138+CS139-DB138)))</f>
        <v>390.60000000000031</v>
      </c>
      <c r="CU139" s="17">
        <f>CT139*VLOOKUP('Données projet'!$B$13,Paramètres!$A$1:$I$89,3,0)*VLOOKUP('Données projet'!$B$13,Paramètres!$A$1:$I$89,5,0)</f>
        <v>335.13480000000033</v>
      </c>
      <c r="CV139" s="13">
        <f t="shared" si="149"/>
        <v>78.493923684137798</v>
      </c>
      <c r="CW139" s="20">
        <f t="shared" si="121"/>
        <v>720.40336041654052</v>
      </c>
      <c r="CX139" s="59">
        <f t="shared" si="122"/>
        <v>1013.7366937498739</v>
      </c>
      <c r="CY139" s="59">
        <f ca="1">AVERAGE(OFFSET($CX$3,0,0,'Données projet'!$E$13+1,1))-AVERAGE(OFFSET($H$3,0,0,'Données projet'!$E$13+1,1))</f>
        <v>310.4018929413723</v>
      </c>
      <c r="CZ139" s="59">
        <f t="shared" si="150"/>
        <v>127.5231137583819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0.31157166092634458</v>
      </c>
      <c r="DH139" s="21">
        <f>EXP(-LN(2)/2)*DH138+(1-EXP(-LN(2)/2))/(LN(2)/2)*DB139*DE139*VLOOKUP('Données projet'!$B$13,Paramètres!$A$1:$I$89,3,0)*0.475*44/12</f>
        <v>9.9146306003422728E-16</v>
      </c>
      <c r="DI139" s="22">
        <f t="shared" si="123"/>
        <v>0.31157166092634558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>
        <f>DO139*VLOOKUP('Données projet'!$B$14,Paramètres!$A$1:$I$89,3,0)*VLOOKUP('Données projet'!$B$14,Paramètres!$A$1:$I$89,5,0)</f>
        <v>-3.7509835237869992E-13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234.09142087023463</v>
      </c>
      <c r="DU139" s="59">
        <f t="shared" si="152"/>
        <v>278.990685815294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0.29898212085025716</v>
      </c>
      <c r="EB139" s="21">
        <f>EXP(-LN(2)/25)*EB138+(1-EXP(-LN(2)/25))/(LN(2)/25)*Calculateur!DW139*Calculateur!DY139*VLOOKUP('Données projet'!$B$14,Paramètres!$A$1:$I$89,3,0)*0.475*44/12</f>
        <v>0.81193644245561625</v>
      </c>
      <c r="EC139" s="21">
        <f>EXP(-LN(2)/2)*EC138+(1-EXP(-LN(2)/2))/(LN(2)/2)*DW139*DZ139*VLOOKUP('Données projet'!$B$14,Paramètres!$A$1:$I$89,3,0)*0.475*44/12</f>
        <v>2.4595458782484616E-15</v>
      </c>
      <c r="ED139" s="22">
        <f t="shared" si="126"/>
        <v>1.1109185633058758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210.04871822652808</v>
      </c>
      <c r="AO140" s="59">
        <f t="shared" si="144"/>
        <v>250.17540614049324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0.87718224027325653</v>
      </c>
      <c r="AV140" s="21">
        <f>EXP(-LN(2)/25)*AV139+(1-EXP(-LN(2)/25))/(LN(2)/25)*Calculateur!AQ140*Calculateur!AS140*VLOOKUP('Données projet'!$B$10,Paramètres!$A$1:$I$89,3,0)*0.475*44/12</f>
        <v>1.4325703570036672</v>
      </c>
      <c r="AW140" s="21">
        <f>EXP(-LN(2)/2)*AW139+(1-EXP(-LN(2)/2))/(LN(2)/2)*AQ140*AT140*VLOOKUP('Données projet'!$B$10,Paramètres!$A$1:$I$89,3,0)*0.475*44/12</f>
        <v>1.6920799080912531E-15</v>
      </c>
      <c r="AX140" s="21">
        <f t="shared" si="114"/>
        <v>2.3097525972769253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553.99999999999955</v>
      </c>
      <c r="BE140" s="13">
        <f>BD140*VLOOKUP('Données projet'!$B$11,Paramètres!$A$1:$I$89,3,0)*VLOOKUP('Données projet'!$B$11,Paramètres!$A$1:$I$89,5,0)</f>
        <v>331.29199999999975</v>
      </c>
      <c r="BF140" s="13">
        <f t="shared" si="145"/>
        <v>77.698110787752</v>
      </c>
      <c r="BG140" s="20">
        <f t="shared" si="115"/>
        <v>712.32444295533423</v>
      </c>
      <c r="BH140" s="59">
        <f t="shared" si="116"/>
        <v>1005.6577762886675</v>
      </c>
      <c r="BI140" s="59">
        <f ca="1">AVERAGE(OFFSET($BH$3,0,0,'Données projet'!$E$11+1,1))-AVERAGE(OFFSET($H$3,0,0,'Données projet'!$E$11+1,1))</f>
        <v>316.58509520829671</v>
      </c>
      <c r="BJ140" s="59">
        <f t="shared" si="146"/>
        <v>240.71332110643596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0.30451500815608629</v>
      </c>
      <c r="BQ140" s="21">
        <f>EXP(-LN(2)/25)*BQ139+(1-EXP(-LN(2)/25))/(LN(2)/25)*Calculateur!BL140*Calculateur!BN140*VLOOKUP('Données projet'!$B$11,Paramètres!$A$1:$I$89,3,0)*0.475*44/12</f>
        <v>0.78590795621137788</v>
      </c>
      <c r="BR140" s="21">
        <f>EXP(-LN(2)/2)*BR139+(1-EXP(-LN(2)/2))/(LN(2)/2)*BL140*BO140*VLOOKUP('Données projet'!$B$11,Paramètres!$A$1:$I$89,3,0)*0.475*44/12</f>
        <v>1.7223398551452209E-15</v>
      </c>
      <c r="BS140" s="22">
        <f t="shared" si="117"/>
        <v>1.0904229643674659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-5.1159076974727213E-13</v>
      </c>
      <c r="BZ140" s="13">
        <f>BY140*VLOOKUP('Données projet'!$B$12,Paramètres!$A$1:$I$89,3,0)*VLOOKUP('Données projet'!$B$12,Paramètres!$A$1:$I$89,5,0)</f>
        <v>-4.0702161641092972E-13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260.20517190557814</v>
      </c>
      <c r="CE140" s="59">
        <f t="shared" si="148"/>
        <v>307.22009971147133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0.39203432464593507</v>
      </c>
      <c r="CL140" s="21">
        <f>EXP(-LN(2)/25)*CL139+(1-EXP(-LN(2)/25))/(LN(2)/25)*Calculateur!CG140*Calculateur!CI140*VLOOKUP('Données projet'!$B$12,Paramètres!$A$1:$I$89,3,0)*0.475*44/12</f>
        <v>1.0562350301276267</v>
      </c>
      <c r="CM140" s="21">
        <f>EXP(-LN(2)/2)*CM139+(1-EXP(-LN(2)/2))/(LN(2)/2)*CG140*CJ140*VLOOKUP('Données projet'!$B$12,Paramètres!$A$1:$I$89,3,0)*0.475*44/12</f>
        <v>1.8871753197147586E-15</v>
      </c>
      <c r="CN140" s="22">
        <f t="shared" si="120"/>
        <v>1.4482693547735634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5.0999999999999996</v>
      </c>
      <c r="CT140" s="12">
        <f>IF('Données projet'!$A$140&gt;35,CT139+CS140-DB139,IF(A140&lt;'Données projet'!$A$140,$CQ$205^A140,IF(A140='Données projet'!$A$140,'Données projet'!$B$140,CT139+CS140-DB139)))</f>
        <v>395.70000000000033</v>
      </c>
      <c r="CU140" s="17">
        <f>CT140*VLOOKUP('Données projet'!$B$13,Paramètres!$A$1:$I$89,3,0)*VLOOKUP('Données projet'!$B$13,Paramètres!$A$1:$I$89,5,0)</f>
        <v>339.5106000000003</v>
      </c>
      <c r="CV140" s="13">
        <f t="shared" si="149"/>
        <v>79.398824808064774</v>
      </c>
      <c r="CW140" s="20">
        <f t="shared" si="121"/>
        <v>729.60058154071328</v>
      </c>
      <c r="CX140" s="59">
        <f t="shared" si="122"/>
        <v>1022.9339148740466</v>
      </c>
      <c r="CY140" s="59">
        <f ca="1">AVERAGE(OFFSET($CX$3,0,0,'Données projet'!$E$13+1,1))-AVERAGE(OFFSET($H$3,0,0,'Données projet'!$E$13+1,1))</f>
        <v>310.4018929413723</v>
      </c>
      <c r="CZ140" s="59">
        <f t="shared" si="150"/>
        <v>127.5231137583819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0.30305171747347215</v>
      </c>
      <c r="DH140" s="21">
        <f>EXP(-LN(2)/2)*DH139+(1-EXP(-LN(2)/2))/(LN(2)/2)*DB140*DE140*VLOOKUP('Données projet'!$B$13,Paramètres!$A$1:$I$89,3,0)*0.475*44/12</f>
        <v>7.0107025304616718E-16</v>
      </c>
      <c r="DI140" s="22">
        <f t="shared" si="123"/>
        <v>0.30305171747347287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>
        <f>DO140*VLOOKUP('Données projet'!$B$14,Paramètres!$A$1:$I$89,3,0)*VLOOKUP('Données projet'!$B$14,Paramètres!$A$1:$I$89,5,0)</f>
        <v>-3.7509835237869992E-13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234.09142087023463</v>
      </c>
      <c r="DU140" s="59">
        <f t="shared" si="152"/>
        <v>278.990685815294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0.29311926382147069</v>
      </c>
      <c r="EB140" s="21">
        <f>EXP(-LN(2)/25)*EB139+(1-EXP(-LN(2)/25))/(LN(2)/25)*Calculateur!DW140*Calculateur!DY140*VLOOKUP('Données projet'!$B$14,Paramètres!$A$1:$I$89,3,0)*0.475*44/12</f>
        <v>0.78973399773878561</v>
      </c>
      <c r="EC140" s="21">
        <f>EXP(-LN(2)/2)*EC139+(1-EXP(-LN(2)/2))/(LN(2)/2)*DW140*DZ140*VLOOKUP('Données projet'!$B$14,Paramètres!$A$1:$I$89,3,0)*0.475*44/12</f>
        <v>1.73916156914891E-15</v>
      </c>
      <c r="ED140" s="22">
        <f t="shared" si="126"/>
        <v>1.082853261560258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210.04871822652808</v>
      </c>
      <c r="AO141" s="59">
        <f t="shared" si="144"/>
        <v>250.17540614049324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0.85998123156983486</v>
      </c>
      <c r="AV141" s="21">
        <f>EXP(-LN(2)/25)*AV140+(1-EXP(-LN(2)/25))/(LN(2)/25)*Calculateur!AQ141*Calculateur!AS141*VLOOKUP('Données projet'!$B$10,Paramètres!$A$1:$I$89,3,0)*0.475*44/12</f>
        <v>1.3933966452558011</v>
      </c>
      <c r="AW141" s="21">
        <f>EXP(-LN(2)/2)*AW140+(1-EXP(-LN(2)/2))/(LN(2)/2)*AQ141*AT141*VLOOKUP('Données projet'!$B$10,Paramètres!$A$1:$I$89,3,0)*0.475*44/12</f>
        <v>1.1964811773208351E-15</v>
      </c>
      <c r="AX141" s="21">
        <f t="shared" si="114"/>
        <v>2.2533778768256374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553.99999999999955</v>
      </c>
      <c r="BE141" s="13">
        <f>BD141*VLOOKUP('Données projet'!$B$11,Paramètres!$A$1:$I$89,3,0)*VLOOKUP('Données projet'!$B$11,Paramètres!$A$1:$I$89,5,0)</f>
        <v>331.29199999999975</v>
      </c>
      <c r="BF141" s="13">
        <f t="shared" si="145"/>
        <v>77.698110787752</v>
      </c>
      <c r="BG141" s="20">
        <f t="shared" si="115"/>
        <v>712.32444295533423</v>
      </c>
      <c r="BH141" s="59">
        <f t="shared" si="116"/>
        <v>1005.6577762886675</v>
      </c>
      <c r="BI141" s="59">
        <f ca="1">AVERAGE(OFFSET($BH$3,0,0,'Données projet'!$E$11+1,1))-AVERAGE(OFFSET($H$3,0,0,'Données projet'!$E$11+1,1))</f>
        <v>316.58509520829671</v>
      </c>
      <c r="BJ141" s="59">
        <f t="shared" si="146"/>
        <v>240.71332110643596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0.29854365458196053</v>
      </c>
      <c r="BQ141" s="21">
        <f>EXP(-LN(2)/25)*BQ140+(1-EXP(-LN(2)/25))/(LN(2)/25)*Calculateur!BL141*Calculateur!BN141*VLOOKUP('Données projet'!$B$11,Paramètres!$A$1:$I$89,3,0)*0.475*44/12</f>
        <v>0.76441726181967451</v>
      </c>
      <c r="BR141" s="21">
        <f>EXP(-LN(2)/2)*BR140+(1-EXP(-LN(2)/2))/(LN(2)/2)*BL141*BO141*VLOOKUP('Données projet'!$B$11,Paramètres!$A$1:$I$89,3,0)*0.475*44/12</f>
        <v>1.2178781910810417E-15</v>
      </c>
      <c r="BS141" s="22">
        <f t="shared" si="117"/>
        <v>1.062960916401636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-5.1159076974727213E-13</v>
      </c>
      <c r="BZ141" s="13">
        <f>BY141*VLOOKUP('Données projet'!$B$12,Paramètres!$A$1:$I$89,3,0)*VLOOKUP('Données projet'!$B$12,Paramètres!$A$1:$I$89,5,0)</f>
        <v>-4.0702161641092972E-13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260.20517190557814</v>
      </c>
      <c r="CE141" s="59">
        <f t="shared" si="148"/>
        <v>307.22009971147133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0.38434677065695544</v>
      </c>
      <c r="CL141" s="21">
        <f>EXP(-LN(2)/25)*CL140+(1-EXP(-LN(2)/25))/(LN(2)/25)*Calculateur!CG141*Calculateur!CI141*VLOOKUP('Données projet'!$B$12,Paramètres!$A$1:$I$89,3,0)*0.475*44/12</f>
        <v>1.0273522276838005</v>
      </c>
      <c r="CM141" s="21">
        <f>EXP(-LN(2)/2)*CM140+(1-EXP(-LN(2)/2))/(LN(2)/2)*CG141*CJ141*VLOOKUP('Données projet'!$B$12,Paramètres!$A$1:$I$89,3,0)*0.475*44/12</f>
        <v>1.3344344658581967E-15</v>
      </c>
      <c r="CN141" s="22">
        <f t="shared" si="120"/>
        <v>1.4116989983407573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5.0999999999999996</v>
      </c>
      <c r="CT141" s="12">
        <f>IF('Données projet'!$A$140&gt;35,CT140+CS141-DB140,IF(A141&lt;'Données projet'!$A$140,$CQ$205^A141,IF(A141='Données projet'!$A$140,'Données projet'!$B$140,CT140+CS141-DB140)))</f>
        <v>400.80000000000035</v>
      </c>
      <c r="CU141" s="17">
        <f>CT141*VLOOKUP('Données projet'!$B$13,Paramètres!$A$1:$I$89,3,0)*VLOOKUP('Données projet'!$B$13,Paramètres!$A$1:$I$89,5,0)</f>
        <v>343.88640000000038</v>
      </c>
      <c r="CV141" s="13">
        <f t="shared" si="149"/>
        <v>80.302369352588414</v>
      </c>
      <c r="CW141" s="20">
        <f t="shared" si="121"/>
        <v>738.79543995575875</v>
      </c>
      <c r="CX141" s="59">
        <f t="shared" si="122"/>
        <v>1032.1287732890921</v>
      </c>
      <c r="CY141" s="59">
        <f ca="1">AVERAGE(OFFSET($CX$3,0,0,'Données projet'!$E$13+1,1))-AVERAGE(OFFSET($H$3,0,0,'Données projet'!$E$13+1,1))</f>
        <v>310.4018929413723</v>
      </c>
      <c r="CZ141" s="59">
        <f t="shared" si="150"/>
        <v>127.5231137583819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0.29476475232236288</v>
      </c>
      <c r="DH141" s="21">
        <f>EXP(-LN(2)/2)*DH140+(1-EXP(-LN(2)/2))/(LN(2)/2)*DB141*DE141*VLOOKUP('Données projet'!$B$13,Paramètres!$A$1:$I$89,3,0)*0.475*44/12</f>
        <v>4.9573153001711364E-16</v>
      </c>
      <c r="DI141" s="22">
        <f t="shared" si="123"/>
        <v>0.29476475232236338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>
        <f>DO141*VLOOKUP('Données projet'!$B$14,Paramètres!$A$1:$I$89,3,0)*VLOOKUP('Données projet'!$B$14,Paramètres!$A$1:$I$89,5,0)</f>
        <v>-3.7509835237869992E-13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234.09142087023463</v>
      </c>
      <c r="DU141" s="59">
        <f t="shared" si="152"/>
        <v>278.990685815294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0.28737137384302902</v>
      </c>
      <c r="EB141" s="21">
        <f>EXP(-LN(2)/25)*EB140+(1-EXP(-LN(2)/25))/(LN(2)/25)*Calculateur!DW141*Calculateur!DY141*VLOOKUP('Données projet'!$B$14,Paramètres!$A$1:$I$89,3,0)*0.475*44/12</f>
        <v>0.76813868004031249</v>
      </c>
      <c r="EC141" s="21">
        <f>EXP(-LN(2)/2)*EC140+(1-EXP(-LN(2)/2))/(LN(2)/2)*DW141*DZ141*VLOOKUP('Données projet'!$B$14,Paramètres!$A$1:$I$89,3,0)*0.475*44/12</f>
        <v>1.229772939124231E-15</v>
      </c>
      <c r="ED141" s="22">
        <f t="shared" si="126"/>
        <v>1.0555100538833428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210.04871822652808</v>
      </c>
      <c r="AO142" s="59">
        <f t="shared" si="144"/>
        <v>250.17540614049324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0.843117524155508</v>
      </c>
      <c r="AV142" s="21">
        <f>EXP(-LN(2)/25)*AV141+(1-EXP(-LN(2)/25))/(LN(2)/25)*Calculateur!AQ142*Calculateur!AS142*VLOOKUP('Données projet'!$B$10,Paramètres!$A$1:$I$89,3,0)*0.475*44/12</f>
        <v>1.3552941407157364</v>
      </c>
      <c r="AW142" s="21">
        <f>EXP(-LN(2)/2)*AW141+(1-EXP(-LN(2)/2))/(LN(2)/2)*AQ142*AT142*VLOOKUP('Données projet'!$B$10,Paramètres!$A$1:$I$89,3,0)*0.475*44/12</f>
        <v>8.4603995404562656E-16</v>
      </c>
      <c r="AX142" s="21">
        <f t="shared" si="114"/>
        <v>2.1984116648712453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553.99999999999955</v>
      </c>
      <c r="BE142" s="13">
        <f>BD142*VLOOKUP('Données projet'!$B$11,Paramètres!$A$1:$I$89,3,0)*VLOOKUP('Données projet'!$B$11,Paramètres!$A$1:$I$89,5,0)</f>
        <v>331.29199999999975</v>
      </c>
      <c r="BF142" s="13">
        <f t="shared" si="145"/>
        <v>77.698110787752</v>
      </c>
      <c r="BG142" s="20">
        <f t="shared" si="115"/>
        <v>712.32444295533423</v>
      </c>
      <c r="BH142" s="59">
        <f t="shared" si="116"/>
        <v>1005.6577762886675</v>
      </c>
      <c r="BI142" s="59">
        <f ca="1">AVERAGE(OFFSET($BH$3,0,0,'Données projet'!$E$11+1,1))-AVERAGE(OFFSET($H$3,0,0,'Données projet'!$E$11+1,1))</f>
        <v>316.58509520829671</v>
      </c>
      <c r="BJ142" s="59">
        <f t="shared" si="146"/>
        <v>240.71332110643596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0.29268939560925733</v>
      </c>
      <c r="BQ142" s="21">
        <f>EXP(-LN(2)/25)*BQ141+(1-EXP(-LN(2)/25))/(LN(2)/25)*Calculateur!BL142*Calculateur!BN142*VLOOKUP('Données projet'!$B$11,Paramètres!$A$1:$I$89,3,0)*0.475*44/12</f>
        <v>0.74351423159625885</v>
      </c>
      <c r="BR142" s="21">
        <f>EXP(-LN(2)/2)*BR141+(1-EXP(-LN(2)/2))/(LN(2)/2)*BL142*BO142*VLOOKUP('Données projet'!$B$11,Paramètres!$A$1:$I$89,3,0)*0.475*44/12</f>
        <v>8.6116992757261047E-16</v>
      </c>
      <c r="BS142" s="22">
        <f t="shared" si="117"/>
        <v>1.0362036272055171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-5.1159076974727213E-13</v>
      </c>
      <c r="BZ142" s="13">
        <f>BY142*VLOOKUP('Données projet'!$B$12,Paramètres!$A$1:$I$89,3,0)*VLOOKUP('Données projet'!$B$12,Paramètres!$A$1:$I$89,5,0)</f>
        <v>-4.0702161641092972E-13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260.20517190557814</v>
      </c>
      <c r="CE142" s="59">
        <f t="shared" si="148"/>
        <v>307.22009971147133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0.37680996491275476</v>
      </c>
      <c r="CL142" s="21">
        <f>EXP(-LN(2)/25)*CL141+(1-EXP(-LN(2)/25))/(LN(2)/25)*Calculateur!CG142*Calculateur!CI142*VLOOKUP('Données projet'!$B$12,Paramètres!$A$1:$I$89,3,0)*0.475*44/12</f>
        <v>0.99925922699168135</v>
      </c>
      <c r="CM142" s="21">
        <f>EXP(-LN(2)/2)*CM141+(1-EXP(-LN(2)/2))/(LN(2)/2)*CG142*CJ142*VLOOKUP('Données projet'!$B$12,Paramètres!$A$1:$I$89,3,0)*0.475*44/12</f>
        <v>9.4358765985737932E-16</v>
      </c>
      <c r="CN142" s="22">
        <f t="shared" si="120"/>
        <v>1.376069191904437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5.0999999999999996</v>
      </c>
      <c r="CT142" s="12">
        <f>IF('Données projet'!$A$140&gt;35,CT141+CS142-DB141,IF(A142&lt;'Données projet'!$A$140,$CQ$205^A142,IF(A142='Données projet'!$A$140,'Données projet'!$B$140,CT141+CS142-DB141)))</f>
        <v>405.90000000000038</v>
      </c>
      <c r="CU142" s="17">
        <f>CT142*VLOOKUP('Données projet'!$B$13,Paramètres!$A$1:$I$89,3,0)*VLOOKUP('Données projet'!$B$13,Paramètres!$A$1:$I$89,5,0)</f>
        <v>348.26220000000035</v>
      </c>
      <c r="CV142" s="13">
        <f t="shared" si="149"/>
        <v>81.204576575634022</v>
      </c>
      <c r="CW142" s="20">
        <f t="shared" si="121"/>
        <v>747.98796920256325</v>
      </c>
      <c r="CX142" s="59">
        <f t="shared" si="122"/>
        <v>1041.3213025358966</v>
      </c>
      <c r="CY142" s="59">
        <f ca="1">AVERAGE(OFFSET($CX$3,0,0,'Données projet'!$E$13+1,1))-AVERAGE(OFFSET($H$3,0,0,'Données projet'!$E$13+1,1))</f>
        <v>310.4018929413723</v>
      </c>
      <c r="CZ142" s="59">
        <f t="shared" si="150"/>
        <v>127.5231137583819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0.28670439466910325</v>
      </c>
      <c r="DH142" s="21">
        <f>EXP(-LN(2)/2)*DH141+(1-EXP(-LN(2)/2))/(LN(2)/2)*DB142*DE142*VLOOKUP('Données projet'!$B$13,Paramètres!$A$1:$I$89,3,0)*0.475*44/12</f>
        <v>3.5053512652308359E-16</v>
      </c>
      <c r="DI142" s="22">
        <f t="shared" si="123"/>
        <v>0.28670439466910358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>
        <f>DO142*VLOOKUP('Données projet'!$B$14,Paramètres!$A$1:$I$89,3,0)*VLOOKUP('Données projet'!$B$14,Paramètres!$A$1:$I$89,5,0)</f>
        <v>-3.7509835237869992E-13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234.09142087023463</v>
      </c>
      <c r="DU142" s="59">
        <f t="shared" si="152"/>
        <v>278.990685815294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0.28173619648119785</v>
      </c>
      <c r="EB142" s="21">
        <f>EXP(-LN(2)/25)*EB141+(1-EXP(-LN(2)/25))/(LN(2)/25)*Calculateur!DW142*Calculateur!DY142*VLOOKUP('Données projet'!$B$14,Paramètres!$A$1:$I$89,3,0)*0.475*44/12</f>
        <v>0.74713388743995257</v>
      </c>
      <c r="EC142" s="21">
        <f>EXP(-LN(2)/2)*EC141+(1-EXP(-LN(2)/2))/(LN(2)/2)*DW142*DZ142*VLOOKUP('Données projet'!$B$14,Paramètres!$A$1:$I$89,3,0)*0.475*44/12</f>
        <v>8.6958078457445508E-16</v>
      </c>
      <c r="ED142" s="22">
        <f t="shared" si="126"/>
        <v>1.0288700839211513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210.04871822652808</v>
      </c>
      <c r="AO143" s="59">
        <f t="shared" si="144"/>
        <v>250.17540614049324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0.82658450375773018</v>
      </c>
      <c r="AV143" s="21">
        <f>EXP(-LN(2)/25)*AV142+(1-EXP(-LN(2)/25))/(LN(2)/25)*Calculateur!AQ143*Calculateur!AS143*VLOOKUP('Données projet'!$B$10,Paramètres!$A$1:$I$89,3,0)*0.475*44/12</f>
        <v>1.3182335511660432</v>
      </c>
      <c r="AW143" s="21">
        <f>EXP(-LN(2)/2)*AW142+(1-EXP(-LN(2)/2))/(LN(2)/2)*AQ143*AT143*VLOOKUP('Données projet'!$B$10,Paramètres!$A$1:$I$89,3,0)*0.475*44/12</f>
        <v>5.9824058866041757E-16</v>
      </c>
      <c r="AX143" s="21">
        <f t="shared" si="114"/>
        <v>2.1448180549237739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553.99999999999955</v>
      </c>
      <c r="BE143" s="13">
        <f>BD143*VLOOKUP('Données projet'!$B$11,Paramètres!$A$1:$I$89,3,0)*VLOOKUP('Données projet'!$B$11,Paramètres!$A$1:$I$89,5,0)</f>
        <v>331.29199999999975</v>
      </c>
      <c r="BF143" s="13">
        <f t="shared" si="145"/>
        <v>77.698110787752</v>
      </c>
      <c r="BG143" s="20">
        <f t="shared" si="115"/>
        <v>712.32444295533423</v>
      </c>
      <c r="BH143" s="59">
        <f t="shared" si="116"/>
        <v>1005.6577762886675</v>
      </c>
      <c r="BI143" s="59">
        <f ca="1">AVERAGE(OFFSET($BH$3,0,0,'Données projet'!$E$11+1,1))-AVERAGE(OFFSET($H$3,0,0,'Données projet'!$E$11+1,1))</f>
        <v>316.58509520829671</v>
      </c>
      <c r="BJ143" s="59">
        <f t="shared" si="146"/>
        <v>240.71332110643596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0.28694993508426342</v>
      </c>
      <c r="BQ143" s="21">
        <f>EXP(-LN(2)/25)*BQ142+(1-EXP(-LN(2)/25))/(LN(2)/25)*Calculateur!BL143*Calculateur!BN143*VLOOKUP('Données projet'!$B$11,Paramètres!$A$1:$I$89,3,0)*0.475*44/12</f>
        <v>0.72318279583354506</v>
      </c>
      <c r="BR143" s="21">
        <f>EXP(-LN(2)/2)*BR142+(1-EXP(-LN(2)/2))/(LN(2)/2)*BL143*BO143*VLOOKUP('Données projet'!$B$11,Paramètres!$A$1:$I$89,3,0)*0.475*44/12</f>
        <v>6.0893909554052084E-16</v>
      </c>
      <c r="BS143" s="22">
        <f t="shared" si="117"/>
        <v>1.0101327309178092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-5.1159076974727213E-13</v>
      </c>
      <c r="BZ143" s="13">
        <f>BY143*VLOOKUP('Données projet'!$B$12,Paramètres!$A$1:$I$89,3,0)*VLOOKUP('Données projet'!$B$12,Paramètres!$A$1:$I$89,5,0)</f>
        <v>-4.0702161641092972E-13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260.20517190557814</v>
      </c>
      <c r="CE143" s="59">
        <f t="shared" si="148"/>
        <v>307.22009971147133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0.36942095133220026</v>
      </c>
      <c r="CL143" s="21">
        <f>EXP(-LN(2)/25)*CL142+(1-EXP(-LN(2)/25))/(LN(2)/25)*Calculateur!CG143*Calculateur!CI143*VLOOKUP('Données projet'!$B$12,Paramètres!$A$1:$I$89,3,0)*0.475*44/12</f>
        <v>0.97193443088083487</v>
      </c>
      <c r="CM143" s="21">
        <f>EXP(-LN(2)/2)*CM142+(1-EXP(-LN(2)/2))/(LN(2)/2)*CG143*CJ143*VLOOKUP('Données projet'!$B$12,Paramètres!$A$1:$I$89,3,0)*0.475*44/12</f>
        <v>6.6721723292909835E-16</v>
      </c>
      <c r="CN143" s="22">
        <f t="shared" si="120"/>
        <v>1.3413553822130357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411</v>
      </c>
      <c r="CR143" s="12">
        <f>VLOOKUP(A143,'Données projet'!$A$139:$I$159,9,0)</f>
        <v>5.0999999999999996</v>
      </c>
      <c r="CS143" s="12">
        <f t="array" ref="CS143">INDEX(CR:CR,MIN(IF(ISNUMBER(CR143:CR339),ROW(CR143:CR339),"")))</f>
        <v>5.0999999999999996</v>
      </c>
      <c r="CT143" s="12">
        <f>IF('Données projet'!$A$140&gt;35,CT142+CS143-DB142,IF(A143&lt;'Données projet'!$A$140,$CQ$205^A143,IF(A143='Données projet'!$A$140,'Données projet'!$B$140,CT142+CS143-DB142)))</f>
        <v>411.0000000000004</v>
      </c>
      <c r="CU143" s="17">
        <f>CT143*VLOOKUP('Données projet'!$B$13,Paramètres!$A$1:$I$89,3,0)*VLOOKUP('Données projet'!$B$13,Paramètres!$A$1:$I$89,5,0)</f>
        <v>352.63800000000037</v>
      </c>
      <c r="CV143" s="13">
        <f t="shared" si="149"/>
        <v>82.105465223356973</v>
      </c>
      <c r="CW143" s="20">
        <f t="shared" si="121"/>
        <v>757.17820193068076</v>
      </c>
      <c r="CX143" s="59">
        <f t="shared" si="122"/>
        <v>1050.5115352640141</v>
      </c>
      <c r="CY143" s="59">
        <f ca="1">AVERAGE(OFFSET($CX$3,0,0,'Données projet'!$E$13+1,1))-AVERAGE(OFFSET($H$3,0,0,'Données projet'!$E$13+1,1))</f>
        <v>310.4018929413723</v>
      </c>
      <c r="CZ143" s="59">
        <f t="shared" si="150"/>
        <v>127.5231137583819</v>
      </c>
      <c r="DA143" s="15">
        <f>IF(ISNA(VLOOKUP(A143,'Données projet'!$A$139:$I$159,3,0)),0,VLOOKUP(A143,'Données projet'!$A$139:$I$159,3,0))</f>
        <v>13</v>
      </c>
      <c r="DB143" s="15">
        <f>IF(ISNA(VLOOKUP(A143,'Données projet'!$A$139:$I$159,4,0)),0,VLOOKUP(A143,'Données projet'!$A$139:$I$159,4,0))</f>
        <v>41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0.27886444791974779</v>
      </c>
      <c r="DH143" s="21">
        <f>EXP(-LN(2)/2)*DH142+(1-EXP(-LN(2)/2))/(LN(2)/2)*DB143*DE143*VLOOKUP('Données projet'!$B$13,Paramètres!$A$1:$I$89,3,0)*0.475*44/12</f>
        <v>2.4786576500855682E-16</v>
      </c>
      <c r="DI143" s="22">
        <f t="shared" si="123"/>
        <v>0.27886444791974802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>
        <f>DO143*VLOOKUP('Données projet'!$B$14,Paramètres!$A$1:$I$89,3,0)*VLOOKUP('Données projet'!$B$14,Paramètres!$A$1:$I$89,5,0)</f>
        <v>-3.7509835237869992E-13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234.09142087023463</v>
      </c>
      <c r="DU143" s="59">
        <f t="shared" si="152"/>
        <v>278.990685815294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0.27621152151031342</v>
      </c>
      <c r="EB143" s="21">
        <f>EXP(-LN(2)/25)*EB142+(1-EXP(-LN(2)/25))/(LN(2)/25)*Calculateur!DW143*Calculateur!DY143*VLOOKUP('Données projet'!$B$14,Paramètres!$A$1:$I$89,3,0)*0.475*44/12</f>
        <v>0.72670347199784358</v>
      </c>
      <c r="EC143" s="21">
        <f>EXP(-LN(2)/2)*EC142+(1-EXP(-LN(2)/2))/(LN(2)/2)*DW143*DZ143*VLOOKUP('Données projet'!$B$14,Paramètres!$A$1:$I$89,3,0)*0.475*44/12</f>
        <v>6.148864695621156E-16</v>
      </c>
      <c r="ED143" s="22">
        <f t="shared" si="126"/>
        <v>1.0029149935081576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210.04871822652808</v>
      </c>
      <c r="AO144" s="59">
        <f t="shared" si="144"/>
        <v>250.17540614049324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0.8103756858058061</v>
      </c>
      <c r="AV144" s="21">
        <f>EXP(-LN(2)/25)*AV143+(1-EXP(-LN(2)/25))/(LN(2)/25)*Calculateur!AQ144*Calculateur!AS144*VLOOKUP('Données projet'!$B$10,Paramètres!$A$1:$I$89,3,0)*0.475*44/12</f>
        <v>1.2821863853865183</v>
      </c>
      <c r="AW144" s="21">
        <f>EXP(-LN(2)/2)*AW143+(1-EXP(-LN(2)/2))/(LN(2)/2)*AQ144*AT144*VLOOKUP('Données projet'!$B$10,Paramètres!$A$1:$I$89,3,0)*0.475*44/12</f>
        <v>4.2301997702281328E-16</v>
      </c>
      <c r="AX144" s="21">
        <f t="shared" si="114"/>
        <v>2.092562071192325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553.99999999999955</v>
      </c>
      <c r="BE144" s="13">
        <f>BD144*VLOOKUP('Données projet'!$B$11,Paramètres!$A$1:$I$89,3,0)*VLOOKUP('Données projet'!$B$11,Paramètres!$A$1:$I$89,5,0)</f>
        <v>331.29199999999975</v>
      </c>
      <c r="BF144" s="13">
        <f t="shared" si="145"/>
        <v>77.698110787752</v>
      </c>
      <c r="BG144" s="20">
        <f t="shared" si="115"/>
        <v>712.32444295533423</v>
      </c>
      <c r="BH144" s="59">
        <f t="shared" si="116"/>
        <v>1005.6577762886675</v>
      </c>
      <c r="BI144" s="59">
        <f ca="1">AVERAGE(OFFSET($BH$3,0,0,'Données projet'!$E$11+1,1))-AVERAGE(OFFSET($H$3,0,0,'Données projet'!$E$11+1,1))</f>
        <v>316.58509520829671</v>
      </c>
      <c r="BJ144" s="59">
        <f t="shared" si="146"/>
        <v>240.71332110643596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0.28132302187943942</v>
      </c>
      <c r="BQ144" s="21">
        <f>EXP(-LN(2)/25)*BQ143+(1-EXP(-LN(2)/25))/(LN(2)/25)*Calculateur!BL144*Calculateur!BN144*VLOOKUP('Données projet'!$B$11,Paramètres!$A$1:$I$89,3,0)*0.475*44/12</f>
        <v>0.70340732425094643</v>
      </c>
      <c r="BR144" s="21">
        <f>EXP(-LN(2)/2)*BR143+(1-EXP(-LN(2)/2))/(LN(2)/2)*BL144*BO144*VLOOKUP('Données projet'!$B$11,Paramètres!$A$1:$I$89,3,0)*0.475*44/12</f>
        <v>4.3058496378630523E-16</v>
      </c>
      <c r="BS144" s="22">
        <f t="shared" si="117"/>
        <v>0.98473034613038624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-5.1159076974727213E-13</v>
      </c>
      <c r="BZ144" s="13">
        <f>BY144*VLOOKUP('Données projet'!$B$12,Paramètres!$A$1:$I$89,3,0)*VLOOKUP('Données projet'!$B$12,Paramètres!$A$1:$I$89,5,0)</f>
        <v>-4.0702161641092972E-13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260.20517190557814</v>
      </c>
      <c r="CE144" s="59">
        <f t="shared" si="148"/>
        <v>307.22009971147133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0.36217683180110716</v>
      </c>
      <c r="CL144" s="21">
        <f>EXP(-LN(2)/25)*CL143+(1-EXP(-LN(2)/25))/(LN(2)/25)*Calculateur!CG144*Calculateur!CI144*VLOOKUP('Données projet'!$B$12,Paramètres!$A$1:$I$89,3,0)*0.475*44/12</f>
        <v>0.94535683275658811</v>
      </c>
      <c r="CM144" s="21">
        <f>EXP(-LN(2)/2)*CM143+(1-EXP(-LN(2)/2))/(LN(2)/2)*CG144*CJ144*VLOOKUP('Données projet'!$B$12,Paramètres!$A$1:$I$89,3,0)*0.475*44/12</f>
        <v>4.7179382992868966E-16</v>
      </c>
      <c r="CN144" s="22">
        <f t="shared" si="120"/>
        <v>1.3075336645576958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4.5</v>
      </c>
      <c r="CT144" s="12">
        <f>IF('Données projet'!$A$140&gt;35,CT143+CS144-DB143,IF(A144&lt;'Données projet'!$A$140,$CQ$205^A144,IF(A144='Données projet'!$A$140,'Données projet'!$B$140,CT143+CS144-DB143)))</f>
        <v>374.5000000000004</v>
      </c>
      <c r="CU144" s="17">
        <f>CT144*VLOOKUP('Données projet'!$B$13,Paramètres!$A$1:$I$89,3,0)*VLOOKUP('Données projet'!$B$13,Paramètres!$A$1:$I$89,5,0)</f>
        <v>321.32100000000037</v>
      </c>
      <c r="CV144" s="13">
        <f t="shared" si="149"/>
        <v>75.628147467658394</v>
      </c>
      <c r="CW144" s="20">
        <f t="shared" si="121"/>
        <v>691.35309850617239</v>
      </c>
      <c r="CX144" s="59">
        <f t="shared" si="122"/>
        <v>984.68643183950576</v>
      </c>
      <c r="CY144" s="59">
        <f ca="1">AVERAGE(OFFSET($CX$3,0,0,'Données projet'!$E$13+1,1))-AVERAGE(OFFSET($H$3,0,0,'Données projet'!$E$13+1,1))</f>
        <v>310.4018929413723</v>
      </c>
      <c r="CZ144" s="59">
        <f t="shared" si="150"/>
        <v>127.5231137583819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0.2712388849265383</v>
      </c>
      <c r="DH144" s="21">
        <f>EXP(-LN(2)/2)*DH143+(1-EXP(-LN(2)/2))/(LN(2)/2)*DB144*DE144*VLOOKUP('Données projet'!$B$13,Paramètres!$A$1:$I$89,3,0)*0.475*44/12</f>
        <v>1.752675632615418E-16</v>
      </c>
      <c r="DI144" s="22">
        <f t="shared" si="123"/>
        <v>0.27123888492653847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>
        <f>DO144*VLOOKUP('Données projet'!$B$14,Paramètres!$A$1:$I$89,3,0)*VLOOKUP('Données projet'!$B$14,Paramètres!$A$1:$I$89,5,0)</f>
        <v>-3.7509835237869992E-13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234.09142087023463</v>
      </c>
      <c r="DU144" s="59">
        <f t="shared" si="152"/>
        <v>278.990685815294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0.27079518204588904</v>
      </c>
      <c r="EB144" s="21">
        <f>EXP(-LN(2)/25)*EB143+(1-EXP(-LN(2)/25))/(LN(2)/25)*Calculateur!DW144*Calculateur!DY144*VLOOKUP('Données projet'!$B$14,Paramètres!$A$1:$I$89,3,0)*0.475*44/12</f>
        <v>0.70683172734038791</v>
      </c>
      <c r="EC144" s="21">
        <f>EXP(-LN(2)/2)*EC143+(1-EXP(-LN(2)/2))/(LN(2)/2)*DW144*DZ144*VLOOKUP('Données projet'!$B$14,Paramètres!$A$1:$I$89,3,0)*0.475*44/12</f>
        <v>4.3479039228722764E-16</v>
      </c>
      <c r="ED144" s="22">
        <f t="shared" si="126"/>
        <v>0.97762690938627739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210.04871822652808</v>
      </c>
      <c r="AO145" s="59">
        <f t="shared" si="144"/>
        <v>250.17540614049324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0.79448471288751643</v>
      </c>
      <c r="AV145" s="21">
        <f>EXP(-LN(2)/25)*AV144+(1-EXP(-LN(2)/25))/(LN(2)/25)*Calculateur!AQ145*Calculateur!AS145*VLOOKUP('Données projet'!$B$10,Paramètres!$A$1:$I$89,3,0)*0.475*44/12</f>
        <v>1.2471249312508725</v>
      </c>
      <c r="AW145" s="21">
        <f>EXP(-LN(2)/2)*AW144+(1-EXP(-LN(2)/2))/(LN(2)/2)*AQ145*AT145*VLOOKUP('Données projet'!$B$10,Paramètres!$A$1:$I$89,3,0)*0.475*44/12</f>
        <v>2.9912029433020879E-16</v>
      </c>
      <c r="AX145" s="21">
        <f t="shared" si="114"/>
        <v>2.0416096441383895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553.99999999999955</v>
      </c>
      <c r="BE145" s="13">
        <f>BD145*VLOOKUP('Données projet'!$B$11,Paramètres!$A$1:$I$89,3,0)*VLOOKUP('Données projet'!$B$11,Paramètres!$A$1:$I$89,5,0)</f>
        <v>331.29199999999975</v>
      </c>
      <c r="BF145" s="13">
        <f t="shared" si="145"/>
        <v>77.698110787752</v>
      </c>
      <c r="BG145" s="20">
        <f t="shared" si="115"/>
        <v>712.32444295533423</v>
      </c>
      <c r="BH145" s="59">
        <f t="shared" si="116"/>
        <v>1005.6577762886675</v>
      </c>
      <c r="BI145" s="59">
        <f ca="1">AVERAGE(OFFSET($BH$3,0,0,'Données projet'!$E$11+1,1))-AVERAGE(OFFSET($H$3,0,0,'Données projet'!$E$11+1,1))</f>
        <v>316.58509520829671</v>
      </c>
      <c r="BJ145" s="59">
        <f t="shared" si="146"/>
        <v>240.71332110643596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0.27580644901048385</v>
      </c>
      <c r="BQ145" s="21">
        <f>EXP(-LN(2)/25)*BQ144+(1-EXP(-LN(2)/25))/(LN(2)/25)*Calculateur!BL145*Calculateur!BN145*VLOOKUP('Données projet'!$B$11,Paramètres!$A$1:$I$89,3,0)*0.475*44/12</f>
        <v>0.68417261397872076</v>
      </c>
      <c r="BR145" s="21">
        <f>EXP(-LN(2)/2)*BR144+(1-EXP(-LN(2)/2))/(LN(2)/2)*BL145*BO145*VLOOKUP('Données projet'!$B$11,Paramètres!$A$1:$I$89,3,0)*0.475*44/12</f>
        <v>3.0446954777026042E-16</v>
      </c>
      <c r="BS145" s="22">
        <f t="shared" si="117"/>
        <v>0.95997906298920499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-5.1159076974727213E-13</v>
      </c>
      <c r="BZ145" s="13">
        <f>BY145*VLOOKUP('Données projet'!$B$12,Paramètres!$A$1:$I$89,3,0)*VLOOKUP('Données projet'!$B$12,Paramètres!$A$1:$I$89,5,0)</f>
        <v>-4.0702161641092972E-13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260.20517190557814</v>
      </c>
      <c r="CE145" s="59">
        <f t="shared" si="148"/>
        <v>307.22009971147133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0.35507476503554219</v>
      </c>
      <c r="CL145" s="21">
        <f>EXP(-LN(2)/25)*CL144+(1-EXP(-LN(2)/25))/(LN(2)/25)*Calculateur!CG145*Calculateur!CI145*VLOOKUP('Données projet'!$B$12,Paramètres!$A$1:$I$89,3,0)*0.475*44/12</f>
        <v>0.91950600045070396</v>
      </c>
      <c r="CM145" s="21">
        <f>EXP(-LN(2)/2)*CM144+(1-EXP(-LN(2)/2))/(LN(2)/2)*CG145*CJ145*VLOOKUP('Données projet'!$B$12,Paramètres!$A$1:$I$89,3,0)*0.475*44/12</f>
        <v>3.3360861646454918E-16</v>
      </c>
      <c r="CN145" s="22">
        <f t="shared" si="120"/>
        <v>1.2745807654862467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4.5</v>
      </c>
      <c r="CT145" s="12">
        <f>IF('Données projet'!$A$140&gt;35,CT144+CS145-DB144,IF(A145&lt;'Données projet'!$A$140,$CQ$205^A145,IF(A145='Données projet'!$A$140,'Données projet'!$B$140,CT144+CS145-DB144)))</f>
        <v>379.0000000000004</v>
      </c>
      <c r="CU145" s="17">
        <f>CT145*VLOOKUP('Données projet'!$B$13,Paramètres!$A$1:$I$89,3,0)*VLOOKUP('Données projet'!$B$13,Paramètres!$A$1:$I$89,5,0)</f>
        <v>325.18200000000041</v>
      </c>
      <c r="CV145" s="13">
        <f t="shared" si="149"/>
        <v>76.430559420348956</v>
      </c>
      <c r="CW145" s="20">
        <f t="shared" si="121"/>
        <v>699.47520765710851</v>
      </c>
      <c r="CX145" s="59">
        <f t="shared" si="122"/>
        <v>992.80854099044177</v>
      </c>
      <c r="CY145" s="59">
        <f ca="1">AVERAGE(OFFSET($CX$3,0,0,'Données projet'!$E$13+1,1))-AVERAGE(OFFSET($H$3,0,0,'Données projet'!$E$13+1,1))</f>
        <v>310.4018929413723</v>
      </c>
      <c r="CZ145" s="59">
        <f t="shared" si="150"/>
        <v>127.5231137583819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0.26382184335438907</v>
      </c>
      <c r="DH145" s="21">
        <f>EXP(-LN(2)/2)*DH144+(1-EXP(-LN(2)/2))/(LN(2)/2)*DB145*DE145*VLOOKUP('Données projet'!$B$13,Paramètres!$A$1:$I$89,3,0)*0.475*44/12</f>
        <v>1.2393288250427841E-16</v>
      </c>
      <c r="DI145" s="22">
        <f t="shared" si="123"/>
        <v>0.26382184335438918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>
        <f>DO145*VLOOKUP('Données projet'!$B$14,Paramètres!$A$1:$I$89,3,0)*VLOOKUP('Données projet'!$B$14,Paramètres!$A$1:$I$89,5,0)</f>
        <v>-3.7509835237869992E-13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234.09142087023463</v>
      </c>
      <c r="DU145" s="59">
        <f t="shared" si="152"/>
        <v>278.990685815294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0.26548505369472114</v>
      </c>
      <c r="EB145" s="21">
        <f>EXP(-LN(2)/25)*EB144+(1-EXP(-LN(2)/25))/(LN(2)/25)*Calculateur!DW145*Calculateur!DY145*VLOOKUP('Données projet'!$B$14,Paramètres!$A$1:$I$89,3,0)*0.475*44/12</f>
        <v>0.6875033765855999</v>
      </c>
      <c r="EC145" s="21">
        <f>EXP(-LN(2)/2)*EC144+(1-EXP(-LN(2)/2))/(LN(2)/2)*DW145*DZ145*VLOOKUP('Données projet'!$B$14,Paramètres!$A$1:$I$89,3,0)*0.475*44/12</f>
        <v>3.0744323478105785E-16</v>
      </c>
      <c r="ED145" s="22">
        <f t="shared" si="126"/>
        <v>0.95298843028032143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210.04871822652808</v>
      </c>
      <c r="AO146" s="59">
        <f t="shared" si="144"/>
        <v>250.17540614049324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0.77890535225561797</v>
      </c>
      <c r="AV146" s="21">
        <f>EXP(-LN(2)/25)*AV145+(1-EXP(-LN(2)/25))/(LN(2)/25)*Calculateur!AQ146*Calculateur!AS146*VLOOKUP('Données projet'!$B$10,Paramètres!$A$1:$I$89,3,0)*0.475*44/12</f>
        <v>1.2130222344223676</v>
      </c>
      <c r="AW146" s="21">
        <f>EXP(-LN(2)/2)*AW145+(1-EXP(-LN(2)/2))/(LN(2)/2)*AQ146*AT146*VLOOKUP('Données projet'!$B$10,Paramètres!$A$1:$I$89,3,0)*0.475*44/12</f>
        <v>2.1150998851140664E-16</v>
      </c>
      <c r="AX146" s="21">
        <f t="shared" si="114"/>
        <v>1.9919275866779858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553.99999999999955</v>
      </c>
      <c r="BE146" s="13">
        <f>BD146*VLOOKUP('Données projet'!$B$11,Paramètres!$A$1:$I$89,3,0)*VLOOKUP('Données projet'!$B$11,Paramètres!$A$1:$I$89,5,0)</f>
        <v>331.29199999999975</v>
      </c>
      <c r="BF146" s="13">
        <f t="shared" si="145"/>
        <v>77.698110787752</v>
      </c>
      <c r="BG146" s="20">
        <f t="shared" si="115"/>
        <v>712.32444295533423</v>
      </c>
      <c r="BH146" s="59">
        <f t="shared" si="116"/>
        <v>1005.6577762886675</v>
      </c>
      <c r="BI146" s="59">
        <f ca="1">AVERAGE(OFFSET($BH$3,0,0,'Données projet'!$E$11+1,1))-AVERAGE(OFFSET($H$3,0,0,'Données projet'!$E$11+1,1))</f>
        <v>316.58509520829671</v>
      </c>
      <c r="BJ146" s="59">
        <f t="shared" si="146"/>
        <v>240.71332110643596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0.27039805277071127</v>
      </c>
      <c r="BQ146" s="21">
        <f>EXP(-LN(2)/25)*BQ145+(1-EXP(-LN(2)/25))/(LN(2)/25)*Calculateur!BL146*Calculateur!BN146*VLOOKUP('Données projet'!$B$11,Paramètres!$A$1:$I$89,3,0)*0.475*44/12</f>
        <v>0.66546387787039851</v>
      </c>
      <c r="BR146" s="21">
        <f>EXP(-LN(2)/2)*BR145+(1-EXP(-LN(2)/2))/(LN(2)/2)*BL146*BO146*VLOOKUP('Données projet'!$B$11,Paramètres!$A$1:$I$89,3,0)*0.475*44/12</f>
        <v>2.1529248189315262E-16</v>
      </c>
      <c r="BS146" s="22">
        <f t="shared" si="117"/>
        <v>0.93586193064111001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-5.1159076974727213E-13</v>
      </c>
      <c r="BZ146" s="13">
        <f>BY146*VLOOKUP('Données projet'!$B$12,Paramètres!$A$1:$I$89,3,0)*VLOOKUP('Données projet'!$B$12,Paramètres!$A$1:$I$89,5,0)</f>
        <v>-4.0702161641092972E-13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260.20517190557814</v>
      </c>
      <c r="CE146" s="59">
        <f t="shared" si="148"/>
        <v>307.22009971147133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0.34811196546741696</v>
      </c>
      <c r="CL146" s="21">
        <f>EXP(-LN(2)/25)*CL145+(1-EXP(-LN(2)/25))/(LN(2)/25)*Calculateur!CG146*Calculateur!CI146*VLOOKUP('Données projet'!$B$12,Paramètres!$A$1:$I$89,3,0)*0.475*44/12</f>
        <v>0.89436206051366041</v>
      </c>
      <c r="CM146" s="21">
        <f>EXP(-LN(2)/2)*CM145+(1-EXP(-LN(2)/2))/(LN(2)/2)*CG146*CJ146*VLOOKUP('Données projet'!$B$12,Paramètres!$A$1:$I$89,3,0)*0.475*44/12</f>
        <v>2.3589691496434483E-16</v>
      </c>
      <c r="CN146" s="22">
        <f t="shared" si="120"/>
        <v>1.2424740259810776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4.5</v>
      </c>
      <c r="CT146" s="12">
        <f>IF('Données projet'!$A$140&gt;35,CT145+CS146-DB145,IF(A146&lt;'Données projet'!$A$140,$CQ$205^A146,IF(A146='Données projet'!$A$140,'Données projet'!$B$140,CT145+CS146-DB145)))</f>
        <v>383.5000000000004</v>
      </c>
      <c r="CU146" s="17">
        <f>CT146*VLOOKUP('Données projet'!$B$13,Paramètres!$A$1:$I$89,3,0)*VLOOKUP('Données projet'!$B$13,Paramètres!$A$1:$I$89,5,0)</f>
        <v>329.0430000000004</v>
      </c>
      <c r="CV146" s="13">
        <f t="shared" si="149"/>
        <v>77.231863131590558</v>
      </c>
      <c r="CW146" s="20">
        <f t="shared" si="121"/>
        <v>707.59538662085424</v>
      </c>
      <c r="CX146" s="59">
        <f t="shared" si="122"/>
        <v>1000.9287199541875</v>
      </c>
      <c r="CY146" s="59">
        <f ca="1">AVERAGE(OFFSET($CX$3,0,0,'Données projet'!$E$13+1,1))-AVERAGE(OFFSET($H$3,0,0,'Données projet'!$E$13+1,1))</f>
        <v>310.4018929413723</v>
      </c>
      <c r="CZ146" s="59">
        <f t="shared" si="150"/>
        <v>127.5231137583819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0.25660762117407554</v>
      </c>
      <c r="DH146" s="21">
        <f>EXP(-LN(2)/2)*DH145+(1-EXP(-LN(2)/2))/(LN(2)/2)*DB146*DE146*VLOOKUP('Données projet'!$B$13,Paramètres!$A$1:$I$89,3,0)*0.475*44/12</f>
        <v>8.7633781630770898E-17</v>
      </c>
      <c r="DI146" s="22">
        <f t="shared" si="123"/>
        <v>0.25660762117407565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>
        <f>DO146*VLOOKUP('Données projet'!$B$14,Paramètres!$A$1:$I$89,3,0)*VLOOKUP('Données projet'!$B$14,Paramètres!$A$1:$I$89,5,0)</f>
        <v>-3.7509835237869992E-13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234.09142087023463</v>
      </c>
      <c r="DU146" s="59">
        <f t="shared" si="152"/>
        <v>278.990685815294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0.26027905372166116</v>
      </c>
      <c r="EB146" s="21">
        <f>EXP(-LN(2)/25)*EB145+(1-EXP(-LN(2)/25))/(LN(2)/25)*Calculateur!DW146*Calculateur!DY146*VLOOKUP('Données projet'!$B$14,Paramètres!$A$1:$I$89,3,0)*0.475*44/12</f>
        <v>0.66870356059863545</v>
      </c>
      <c r="EC146" s="21">
        <f>EXP(-LN(2)/2)*EC145+(1-EXP(-LN(2)/2))/(LN(2)/2)*DW146*DZ146*VLOOKUP('Données projet'!$B$14,Paramètres!$A$1:$I$89,3,0)*0.475*44/12</f>
        <v>2.1739519614361384E-16</v>
      </c>
      <c r="ED146" s="22">
        <f t="shared" si="126"/>
        <v>0.92898261432029683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210.04871822652808</v>
      </c>
      <c r="AO147" s="59">
        <f t="shared" si="144"/>
        <v>250.17540614049324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0.76363149338323943</v>
      </c>
      <c r="AV147" s="21">
        <f>EXP(-LN(2)/25)*AV146+(1-EXP(-LN(2)/25))/(LN(2)/25)*Calculateur!AQ147*Calculateur!AS147*VLOOKUP('Données projet'!$B$10,Paramètres!$A$1:$I$89,3,0)*0.475*44/12</f>
        <v>1.1798520776320209</v>
      </c>
      <c r="AW147" s="21">
        <f>EXP(-LN(2)/2)*AW146+(1-EXP(-LN(2)/2))/(LN(2)/2)*AQ147*AT147*VLOOKUP('Données projet'!$B$10,Paramètres!$A$1:$I$89,3,0)*0.475*44/12</f>
        <v>1.4956014716510439E-16</v>
      </c>
      <c r="AX147" s="21">
        <f t="shared" si="114"/>
        <v>1.9434835710152607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553.99999999999955</v>
      </c>
      <c r="BE147" s="13">
        <f>BD147*VLOOKUP('Données projet'!$B$11,Paramètres!$A$1:$I$89,3,0)*VLOOKUP('Données projet'!$B$11,Paramètres!$A$1:$I$89,5,0)</f>
        <v>331.29199999999975</v>
      </c>
      <c r="BF147" s="13">
        <f t="shared" si="145"/>
        <v>77.698110787752</v>
      </c>
      <c r="BG147" s="20">
        <f t="shared" si="115"/>
        <v>712.32444295533423</v>
      </c>
      <c r="BH147" s="59">
        <f t="shared" si="116"/>
        <v>1005.6577762886675</v>
      </c>
      <c r="BI147" s="59">
        <f ca="1">AVERAGE(OFFSET($BH$3,0,0,'Données projet'!$E$11+1,1))-AVERAGE(OFFSET($H$3,0,0,'Données projet'!$E$11+1,1))</f>
        <v>316.58509520829671</v>
      </c>
      <c r="BJ147" s="59">
        <f t="shared" si="146"/>
        <v>240.71332110643596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0.26509571188240466</v>
      </c>
      <c r="BQ147" s="21">
        <f>EXP(-LN(2)/25)*BQ146+(1-EXP(-LN(2)/25))/(LN(2)/25)*Calculateur!BL147*Calculateur!BN147*VLOOKUP('Données projet'!$B$11,Paramètres!$A$1:$I$89,3,0)*0.475*44/12</f>
        <v>0.64726673313480809</v>
      </c>
      <c r="BR147" s="21">
        <f>EXP(-LN(2)/2)*BR146+(1-EXP(-LN(2)/2))/(LN(2)/2)*BL147*BO147*VLOOKUP('Données projet'!$B$11,Paramètres!$A$1:$I$89,3,0)*0.475*44/12</f>
        <v>1.5223477388513021E-16</v>
      </c>
      <c r="BS147" s="22">
        <f t="shared" si="117"/>
        <v>0.91236244501721286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-5.1159076974727213E-13</v>
      </c>
      <c r="BZ147" s="13">
        <f>BY147*VLOOKUP('Données projet'!$B$12,Paramètres!$A$1:$I$89,3,0)*VLOOKUP('Données projet'!$B$12,Paramètres!$A$1:$I$89,5,0)</f>
        <v>-4.0702161641092972E-13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260.20517190557814</v>
      </c>
      <c r="CE147" s="59">
        <f t="shared" si="148"/>
        <v>307.22009971147133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0.34128570215193427</v>
      </c>
      <c r="CL147" s="21">
        <f>EXP(-LN(2)/25)*CL146+(1-EXP(-LN(2)/25))/(LN(2)/25)*Calculateur!CG147*Calculateur!CI147*VLOOKUP('Données projet'!$B$12,Paramètres!$A$1:$I$89,3,0)*0.475*44/12</f>
        <v>0.86990568293645765</v>
      </c>
      <c r="CM147" s="21">
        <f>EXP(-LN(2)/2)*CM146+(1-EXP(-LN(2)/2))/(LN(2)/2)*CG147*CJ147*VLOOKUP('Données projet'!$B$12,Paramètres!$A$1:$I$89,3,0)*0.475*44/12</f>
        <v>1.6680430823227459E-16</v>
      </c>
      <c r="CN147" s="22">
        <f t="shared" si="120"/>
        <v>1.2111913850883922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4.5</v>
      </c>
      <c r="CT147" s="12">
        <f>IF('Données projet'!$A$140&gt;35,CT146+CS147-DB146,IF(A147&lt;'Données projet'!$A$140,$CQ$205^A147,IF(A147='Données projet'!$A$140,'Données projet'!$B$140,CT146+CS147-DB146)))</f>
        <v>388.0000000000004</v>
      </c>
      <c r="CU147" s="17">
        <f>CT147*VLOOKUP('Données projet'!$B$13,Paramètres!$A$1:$I$89,3,0)*VLOOKUP('Données projet'!$B$13,Paramètres!$A$1:$I$89,5,0)</f>
        <v>332.90400000000039</v>
      </c>
      <c r="CV147" s="13">
        <f t="shared" si="149"/>
        <v>78.032073109961104</v>
      </c>
      <c r="CW147" s="20">
        <f t="shared" si="121"/>
        <v>715.71366066651626</v>
      </c>
      <c r="CX147" s="59">
        <f t="shared" si="122"/>
        <v>1009.0469939998495</v>
      </c>
      <c r="CY147" s="59">
        <f ca="1">AVERAGE(OFFSET($CX$3,0,0,'Données projet'!$E$13+1,1))-AVERAGE(OFFSET($H$3,0,0,'Données projet'!$E$13+1,1))</f>
        <v>310.4018929413723</v>
      </c>
      <c r="CZ147" s="59">
        <f t="shared" si="150"/>
        <v>127.5231137583819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0.24959067227866213</v>
      </c>
      <c r="DH147" s="21">
        <f>EXP(-LN(2)/2)*DH146+(1-EXP(-LN(2)/2))/(LN(2)/2)*DB147*DE147*VLOOKUP('Données projet'!$B$13,Paramètres!$A$1:$I$89,3,0)*0.475*44/12</f>
        <v>6.1966441252139205E-17</v>
      </c>
      <c r="DI147" s="22">
        <f t="shared" si="123"/>
        <v>0.24959067227866219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>
        <f>DO147*VLOOKUP('Données projet'!$B$14,Paramètres!$A$1:$I$89,3,0)*VLOOKUP('Données projet'!$B$14,Paramètres!$A$1:$I$89,5,0)</f>
        <v>-3.7509835237869992E-13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234.09142087023463</v>
      </c>
      <c r="DU147" s="59">
        <f t="shared" si="152"/>
        <v>278.990685815294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0.25517514023272642</v>
      </c>
      <c r="EB147" s="21">
        <f>EXP(-LN(2)/25)*EB146+(1-EXP(-LN(2)/25))/(LN(2)/25)*Calculateur!DW147*Calculateur!DY147*VLOOKUP('Données projet'!$B$14,Paramètres!$A$1:$I$89,3,0)*0.475*44/12</f>
        <v>0.6504178265684738</v>
      </c>
      <c r="EC147" s="21">
        <f>EXP(-LN(2)/2)*EC146+(1-EXP(-LN(2)/2))/(LN(2)/2)*DW147*DZ147*VLOOKUP('Données projet'!$B$14,Paramètres!$A$1:$I$89,3,0)*0.475*44/12</f>
        <v>1.5372161739052895E-16</v>
      </c>
      <c r="ED147" s="22">
        <f t="shared" si="126"/>
        <v>0.90559296680120027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210.04871822652808</v>
      </c>
      <c r="AO148" s="59">
        <f t="shared" si="144"/>
        <v>250.17540614049324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0.74865714556721419</v>
      </c>
      <c r="AV148" s="21">
        <f>EXP(-LN(2)/25)*AV147+(1-EXP(-LN(2)/25))/(LN(2)/25)*Calculateur!AQ148*Calculateur!AS148*VLOOKUP('Données projet'!$B$10,Paramètres!$A$1:$I$89,3,0)*0.475*44/12</f>
        <v>1.1475889605234491</v>
      </c>
      <c r="AW148" s="21">
        <f>EXP(-LN(2)/2)*AW147+(1-EXP(-LN(2)/2))/(LN(2)/2)*AQ148*AT148*VLOOKUP('Données projet'!$B$10,Paramètres!$A$1:$I$89,3,0)*0.475*44/12</f>
        <v>1.0575499425570332E-16</v>
      </c>
      <c r="AX148" s="21">
        <f t="shared" si="114"/>
        <v>1.8962461060906632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553.99999999999955</v>
      </c>
      <c r="BE148" s="13">
        <f>BD148*VLOOKUP('Données projet'!$B$11,Paramètres!$A$1:$I$89,3,0)*VLOOKUP('Données projet'!$B$11,Paramètres!$A$1:$I$89,5,0)</f>
        <v>331.29199999999975</v>
      </c>
      <c r="BF148" s="13">
        <f t="shared" si="145"/>
        <v>77.698110787752</v>
      </c>
      <c r="BG148" s="20">
        <f t="shared" si="115"/>
        <v>712.32444295533423</v>
      </c>
      <c r="BH148" s="59">
        <f t="shared" si="116"/>
        <v>1005.6577762886675</v>
      </c>
      <c r="BI148" s="59">
        <f ca="1">AVERAGE(OFFSET($BH$3,0,0,'Données projet'!$E$11+1,1))-AVERAGE(OFFSET($H$3,0,0,'Données projet'!$E$11+1,1))</f>
        <v>316.58509520829671</v>
      </c>
      <c r="BJ148" s="59">
        <f t="shared" si="146"/>
        <v>240.71332110643596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0.25989734666480918</v>
      </c>
      <c r="BQ148" s="21">
        <f>EXP(-LN(2)/25)*BQ147+(1-EXP(-LN(2)/25))/(LN(2)/25)*Calculateur!BL148*Calculateur!BN148*VLOOKUP('Données projet'!$B$11,Paramètres!$A$1:$I$89,3,0)*0.475*44/12</f>
        <v>0.62956719027895858</v>
      </c>
      <c r="BR148" s="21">
        <f>EXP(-LN(2)/2)*BR147+(1-EXP(-LN(2)/2))/(LN(2)/2)*BL148*BO148*VLOOKUP('Données projet'!$B$11,Paramètres!$A$1:$I$89,3,0)*0.475*44/12</f>
        <v>1.0764624094657631E-16</v>
      </c>
      <c r="BS148" s="22">
        <f t="shared" si="117"/>
        <v>0.88946453694376781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-5.1159076974727213E-13</v>
      </c>
      <c r="BZ148" s="13">
        <f>BY148*VLOOKUP('Données projet'!$B$12,Paramètres!$A$1:$I$89,3,0)*VLOOKUP('Données projet'!$B$12,Paramètres!$A$1:$I$89,5,0)</f>
        <v>-4.0702161641092972E-13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260.20517190557814</v>
      </c>
      <c r="CE148" s="59">
        <f t="shared" si="148"/>
        <v>307.22009971147133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0.33459329769645868</v>
      </c>
      <c r="CL148" s="21">
        <f>EXP(-LN(2)/25)*CL147+(1-EXP(-LN(2)/25))/(LN(2)/25)*Calculateur!CG148*Calculateur!CI148*VLOOKUP('Données projet'!$B$12,Paramètres!$A$1:$I$89,3,0)*0.475*44/12</f>
        <v>0.84611806629020858</v>
      </c>
      <c r="CM148" s="21">
        <f>EXP(-LN(2)/2)*CM147+(1-EXP(-LN(2)/2))/(LN(2)/2)*CG148*CJ148*VLOOKUP('Données projet'!$B$12,Paramètres!$A$1:$I$89,3,0)*0.475*44/12</f>
        <v>1.1794845748217241E-16</v>
      </c>
      <c r="CN148" s="22">
        <f t="shared" si="120"/>
        <v>1.1807113639866675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4.5</v>
      </c>
      <c r="CT148" s="12">
        <f>IF('Données projet'!$A$140&gt;35,CT147+CS148-DB147,IF(A148&lt;'Données projet'!$A$140,$CQ$205^A148,IF(A148='Données projet'!$A$140,'Données projet'!$B$140,CT147+CS148-DB147)))</f>
        <v>392.5000000000004</v>
      </c>
      <c r="CU148" s="17">
        <f>CT148*VLOOKUP('Données projet'!$B$13,Paramètres!$A$1:$I$89,3,0)*VLOOKUP('Données projet'!$B$13,Paramètres!$A$1:$I$89,5,0)</f>
        <v>336.76500000000038</v>
      </c>
      <c r="CV148" s="13">
        <f t="shared" si="149"/>
        <v>78.831203508129136</v>
      </c>
      <c r="CW148" s="20">
        <f t="shared" si="121"/>
        <v>723.83005444332548</v>
      </c>
      <c r="CX148" s="59">
        <f t="shared" si="122"/>
        <v>1017.1633877766587</v>
      </c>
      <c r="CY148" s="59">
        <f ca="1">AVERAGE(OFFSET($CX$3,0,0,'Données projet'!$E$13+1,1))-AVERAGE(OFFSET($H$3,0,0,'Données projet'!$E$13+1,1))</f>
        <v>310.4018929413723</v>
      </c>
      <c r="CZ148" s="59">
        <f t="shared" si="150"/>
        <v>127.5231137583819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0.24276560221979912</v>
      </c>
      <c r="DH148" s="21">
        <f>EXP(-LN(2)/2)*DH147+(1-EXP(-LN(2)/2))/(LN(2)/2)*DB148*DE148*VLOOKUP('Données projet'!$B$13,Paramètres!$A$1:$I$89,3,0)*0.475*44/12</f>
        <v>4.3816890815385449E-17</v>
      </c>
      <c r="DI148" s="22">
        <f t="shared" si="123"/>
        <v>0.24276560221979918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>
        <f>DO148*VLOOKUP('Données projet'!$B$14,Paramètres!$A$1:$I$89,3,0)*VLOOKUP('Données projet'!$B$14,Paramètres!$A$1:$I$89,5,0)</f>
        <v>-3.7509835237869992E-13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234.09142087023463</v>
      </c>
      <c r="DU148" s="59">
        <f t="shared" si="152"/>
        <v>278.990685815294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0.25017131137422988</v>
      </c>
      <c r="EB148" s="21">
        <f>EXP(-LN(2)/25)*EB147+(1-EXP(-LN(2)/25))/(LN(2)/25)*Calculateur!DW148*Calculateur!DY148*VLOOKUP('Données projet'!$B$14,Paramètres!$A$1:$I$89,3,0)*0.475*44/12</f>
        <v>0.63263211689697196</v>
      </c>
      <c r="EC148" s="21">
        <f>EXP(-LN(2)/2)*EC147+(1-EXP(-LN(2)/2))/(LN(2)/2)*DW148*DZ148*VLOOKUP('Données projet'!$B$14,Paramètres!$A$1:$I$89,3,0)*0.475*44/12</f>
        <v>1.0869759807180693E-16</v>
      </c>
      <c r="ED148" s="22">
        <f t="shared" si="126"/>
        <v>0.88280342827120195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210.04871822652808</v>
      </c>
      <c r="AO149" s="59">
        <f t="shared" si="144"/>
        <v>250.17540614049324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0.73397643557841086</v>
      </c>
      <c r="AV149" s="21">
        <f>EXP(-LN(2)/25)*AV148+(1-EXP(-LN(2)/25))/(LN(2)/25)*Calculateur!AQ149*Calculateur!AS149*VLOOKUP('Données projet'!$B$10,Paramètres!$A$1:$I$89,3,0)*0.475*44/12</f>
        <v>1.1162080800488547</v>
      </c>
      <c r="AW149" s="21">
        <f>EXP(-LN(2)/2)*AW148+(1-EXP(-LN(2)/2))/(LN(2)/2)*AQ149*AT149*VLOOKUP('Données projet'!$B$10,Paramètres!$A$1:$I$89,3,0)*0.475*44/12</f>
        <v>7.4780073582552197E-17</v>
      </c>
      <c r="AX149" s="21">
        <f t="shared" si="114"/>
        <v>1.8501845156272656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553.99999999999955</v>
      </c>
      <c r="BE149" s="13">
        <f>BD149*VLOOKUP('Données projet'!$B$11,Paramètres!$A$1:$I$89,3,0)*VLOOKUP('Données projet'!$B$11,Paramètres!$A$1:$I$89,5,0)</f>
        <v>331.29199999999975</v>
      </c>
      <c r="BF149" s="13">
        <f t="shared" si="145"/>
        <v>77.698110787752</v>
      </c>
      <c r="BG149" s="20">
        <f t="shared" si="115"/>
        <v>712.32444295533423</v>
      </c>
      <c r="BH149" s="59">
        <f t="shared" si="116"/>
        <v>1005.6577762886675</v>
      </c>
      <c r="BI149" s="59">
        <f ca="1">AVERAGE(OFFSET($BH$3,0,0,'Données projet'!$E$11+1,1))-AVERAGE(OFFSET($H$3,0,0,'Données projet'!$E$11+1,1))</f>
        <v>316.58509520829671</v>
      </c>
      <c r="BJ149" s="59">
        <f t="shared" si="146"/>
        <v>240.71332110643596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0.25480091821844103</v>
      </c>
      <c r="BQ149" s="21">
        <f>EXP(-LN(2)/25)*BQ148+(1-EXP(-LN(2)/25))/(LN(2)/25)*Calculateur!BL149*Calculateur!BN149*VLOOKUP('Données projet'!$B$11,Paramètres!$A$1:$I$89,3,0)*0.475*44/12</f>
        <v>0.61235164235328077</v>
      </c>
      <c r="BR149" s="21">
        <f>EXP(-LN(2)/2)*BR148+(1-EXP(-LN(2)/2))/(LN(2)/2)*BL149*BO149*VLOOKUP('Données projet'!$B$11,Paramètres!$A$1:$I$89,3,0)*0.475*44/12</f>
        <v>7.6117386942565105E-17</v>
      </c>
      <c r="BS149" s="22">
        <f t="shared" si="117"/>
        <v>0.86715256057172196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-5.1159076974727213E-13</v>
      </c>
      <c r="BZ149" s="13">
        <f>BY149*VLOOKUP('Données projet'!$B$12,Paramètres!$A$1:$I$89,3,0)*VLOOKUP('Données projet'!$B$12,Paramètres!$A$1:$I$89,5,0)</f>
        <v>-4.0702161641092972E-13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260.20517190557814</v>
      </c>
      <c r="CE149" s="59">
        <f t="shared" si="148"/>
        <v>307.22009971147133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0.32803212721039132</v>
      </c>
      <c r="CL149" s="21">
        <f>EXP(-LN(2)/25)*CL148+(1-EXP(-LN(2)/25))/(LN(2)/25)*Calculateur!CG149*Calculateur!CI149*VLOOKUP('Données projet'!$B$12,Paramètres!$A$1:$I$89,3,0)*0.475*44/12</f>
        <v>0.82298092327208761</v>
      </c>
      <c r="CM149" s="21">
        <f>EXP(-LN(2)/2)*CM148+(1-EXP(-LN(2)/2))/(LN(2)/2)*CG149*CJ149*VLOOKUP('Données projet'!$B$12,Paramètres!$A$1:$I$89,3,0)*0.475*44/12</f>
        <v>8.3402154116137294E-17</v>
      </c>
      <c r="CN149" s="22">
        <f t="shared" si="120"/>
        <v>1.1510130504824789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4.5</v>
      </c>
      <c r="CT149" s="12">
        <f>IF('Données projet'!$A$140&gt;35,CT148+CS149-DB148,IF(A149&lt;'Données projet'!$A$140,$CQ$205^A149,IF(A149='Données projet'!$A$140,'Données projet'!$B$140,CT148+CS149-DB148)))</f>
        <v>397.0000000000004</v>
      </c>
      <c r="CU149" s="17">
        <f>CT149*VLOOKUP('Données projet'!$B$13,Paramètres!$A$1:$I$89,3,0)*VLOOKUP('Données projet'!$B$13,Paramètres!$A$1:$I$89,5,0)</f>
        <v>340.62600000000037</v>
      </c>
      <c r="CV149" s="13">
        <f t="shared" si="149"/>
        <v>79.629268135563379</v>
      </c>
      <c r="CW149" s="20">
        <f t="shared" si="121"/>
        <v>731.94459200277345</v>
      </c>
      <c r="CX149" s="59">
        <f t="shared" si="122"/>
        <v>1025.2779253361068</v>
      </c>
      <c r="CY149" s="59">
        <f ca="1">AVERAGE(OFFSET($CX$3,0,0,'Données projet'!$E$13+1,1))-AVERAGE(OFFSET($H$3,0,0,'Données projet'!$E$13+1,1))</f>
        <v>310.4018929413723</v>
      </c>
      <c r="CZ149" s="59">
        <f t="shared" si="150"/>
        <v>127.5231137583819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0.23612716406061054</v>
      </c>
      <c r="DH149" s="21">
        <f>EXP(-LN(2)/2)*DH148+(1-EXP(-LN(2)/2))/(LN(2)/2)*DB149*DE149*VLOOKUP('Données projet'!$B$13,Paramètres!$A$1:$I$89,3,0)*0.475*44/12</f>
        <v>3.0983220626069602E-17</v>
      </c>
      <c r="DI149" s="22">
        <f t="shared" si="123"/>
        <v>0.23612716406061057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>
        <f>DO149*VLOOKUP('Données projet'!$B$14,Paramètres!$A$1:$I$89,3,0)*VLOOKUP('Données projet'!$B$14,Paramètres!$A$1:$I$89,5,0)</f>
        <v>-3.7509835237869992E-13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234.09142087023463</v>
      </c>
      <c r="DU149" s="59">
        <f t="shared" si="152"/>
        <v>278.990685815294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0.2452656045476142</v>
      </c>
      <c r="EB149" s="21">
        <f>EXP(-LN(2)/25)*EB148+(1-EXP(-LN(2)/25))/(LN(2)/25)*Calculateur!DW149*Calculateur!DY149*VLOOKUP('Données projet'!$B$14,Paramètres!$A$1:$I$89,3,0)*0.475*44/12</f>
        <v>0.61533275839174717</v>
      </c>
      <c r="EC149" s="21">
        <f>EXP(-LN(2)/2)*EC148+(1-EXP(-LN(2)/2))/(LN(2)/2)*DW149*DZ149*VLOOKUP('Données projet'!$B$14,Paramètres!$A$1:$I$89,3,0)*0.475*44/12</f>
        <v>7.6860808695264487E-17</v>
      </c>
      <c r="ED149" s="22">
        <f t="shared" si="126"/>
        <v>0.86059836293936154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210.04871822652808</v>
      </c>
      <c r="AO150" s="59">
        <f t="shared" si="144"/>
        <v>250.17540614049324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0.71958360535813903</v>
      </c>
      <c r="AV150" s="21">
        <f>EXP(-LN(2)/25)*AV149+(1-EXP(-LN(2)/25))/(LN(2)/25)*Calculateur!AQ150*Calculateur!AS150*VLOOKUP('Données projet'!$B$10,Paramètres!$A$1:$I$89,3,0)*0.475*44/12</f>
        <v>1.0856853114010869</v>
      </c>
      <c r="AW150" s="21">
        <f>EXP(-LN(2)/2)*AW149+(1-EXP(-LN(2)/2))/(LN(2)/2)*AQ150*AT150*VLOOKUP('Données projet'!$B$10,Paramètres!$A$1:$I$89,3,0)*0.475*44/12</f>
        <v>5.287749712785166E-17</v>
      </c>
      <c r="AX150" s="21">
        <f t="shared" si="114"/>
        <v>1.805268916759226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553.99999999999955</v>
      </c>
      <c r="BE150" s="13">
        <f>BD150*VLOOKUP('Données projet'!$B$11,Paramètres!$A$1:$I$89,3,0)*VLOOKUP('Données projet'!$B$11,Paramètres!$A$1:$I$89,5,0)</f>
        <v>331.29199999999975</v>
      </c>
      <c r="BF150" s="13">
        <f t="shared" si="145"/>
        <v>77.698110787752</v>
      </c>
      <c r="BG150" s="20">
        <f t="shared" si="115"/>
        <v>712.32444295533423</v>
      </c>
      <c r="BH150" s="59">
        <f t="shared" si="116"/>
        <v>1005.6577762886675</v>
      </c>
      <c r="BI150" s="59">
        <f ca="1">AVERAGE(OFFSET($BH$3,0,0,'Données projet'!$E$11+1,1))-AVERAGE(OFFSET($H$3,0,0,'Données projet'!$E$11+1,1))</f>
        <v>316.58509520829671</v>
      </c>
      <c r="BJ150" s="59">
        <f t="shared" si="146"/>
        <v>240.71332110643596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0.24980442762539173</v>
      </c>
      <c r="BQ150" s="21">
        <f>EXP(-LN(2)/25)*BQ149+(1-EXP(-LN(2)/25))/(LN(2)/25)*Calculateur!BL150*Calculateur!BN150*VLOOKUP('Données projet'!$B$11,Paramètres!$A$1:$I$89,3,0)*0.475*44/12</f>
        <v>0.59560685449095696</v>
      </c>
      <c r="BR150" s="21">
        <f>EXP(-LN(2)/2)*BR149+(1-EXP(-LN(2)/2))/(LN(2)/2)*BL150*BO150*VLOOKUP('Données projet'!$B$11,Paramètres!$A$1:$I$89,3,0)*0.475*44/12</f>
        <v>5.3823120473288154E-17</v>
      </c>
      <c r="BS150" s="22">
        <f t="shared" si="117"/>
        <v>0.84541128211634864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-5.1159076974727213E-13</v>
      </c>
      <c r="BZ150" s="13">
        <f>BY150*VLOOKUP('Données projet'!$B$12,Paramètres!$A$1:$I$89,3,0)*VLOOKUP('Données projet'!$B$12,Paramètres!$A$1:$I$89,5,0)</f>
        <v>-4.0702161641092972E-13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260.20517190557814</v>
      </c>
      <c r="CE150" s="59">
        <f t="shared" si="148"/>
        <v>307.22009971147133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0.32159961727563691</v>
      </c>
      <c r="CL150" s="21">
        <f>EXP(-LN(2)/25)*CL149+(1-EXP(-LN(2)/25))/(LN(2)/25)*Calculateur!CG150*Calculateur!CI150*VLOOKUP('Données projet'!$B$12,Paramètres!$A$1:$I$89,3,0)*0.475*44/12</f>
        <v>0.80047646664652661</v>
      </c>
      <c r="CM150" s="21">
        <f>EXP(-LN(2)/2)*CM149+(1-EXP(-LN(2)/2))/(LN(2)/2)*CG150*CJ150*VLOOKUP('Données projet'!$B$12,Paramètres!$A$1:$I$89,3,0)*0.475*44/12</f>
        <v>5.8974228741086207E-17</v>
      </c>
      <c r="CN150" s="22">
        <f t="shared" si="120"/>
        <v>1.1220760839221635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4.5</v>
      </c>
      <c r="CT150" s="12">
        <f>IF('Données projet'!$A$140&gt;35,CT149+CS150-DB149,IF(A150&lt;'Données projet'!$A$140,$CQ$205^A150,IF(A150='Données projet'!$A$140,'Données projet'!$B$140,CT149+CS150-DB149)))</f>
        <v>401.5000000000004</v>
      </c>
      <c r="CU150" s="17">
        <f>CT150*VLOOKUP('Données projet'!$B$13,Paramètres!$A$1:$I$89,3,0)*VLOOKUP('Données projet'!$B$13,Paramètres!$A$1:$I$89,5,0)</f>
        <v>344.48700000000042</v>
      </c>
      <c r="CV150" s="13">
        <f t="shared" si="149"/>
        <v>80.426280470648379</v>
      </c>
      <c r="CW150" s="20">
        <f t="shared" si="121"/>
        <v>740.05729681971332</v>
      </c>
      <c r="CX150" s="59">
        <f t="shared" si="122"/>
        <v>1033.3906301530467</v>
      </c>
      <c r="CY150" s="59">
        <f ca="1">AVERAGE(OFFSET($CX$3,0,0,'Données projet'!$E$13+1,1))-AVERAGE(OFFSET($H$3,0,0,'Données projet'!$E$13+1,1))</f>
        <v>310.4018929413723</v>
      </c>
      <c r="CZ150" s="59">
        <f t="shared" si="150"/>
        <v>127.5231137583819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0.22967025434198526</v>
      </c>
      <c r="DH150" s="21">
        <f>EXP(-LN(2)/2)*DH149+(1-EXP(-LN(2)/2))/(LN(2)/2)*DB150*DE150*VLOOKUP('Données projet'!$B$13,Paramètres!$A$1:$I$89,3,0)*0.475*44/12</f>
        <v>2.1908445407692724E-17</v>
      </c>
      <c r="DI150" s="22">
        <f t="shared" si="123"/>
        <v>0.22967025434198529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>
        <f>DO150*VLOOKUP('Données projet'!$B$14,Paramètres!$A$1:$I$89,3,0)*VLOOKUP('Données projet'!$B$14,Paramètres!$A$1:$I$89,5,0)</f>
        <v>-3.7509835237869992E-13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234.09142087023463</v>
      </c>
      <c r="DU150" s="59">
        <f t="shared" si="152"/>
        <v>278.990685815294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0.24045609563968276</v>
      </c>
      <c r="EB150" s="21">
        <f>EXP(-LN(2)/25)*EB149+(1-EXP(-LN(2)/25))/(LN(2)/25)*Calculateur!DW150*Calculateur!DY150*VLOOKUP('Données projet'!$B$14,Paramètres!$A$1:$I$89,3,0)*0.475*44/12</f>
        <v>0.59850645175458139</v>
      </c>
      <c r="EC150" s="21">
        <f>EXP(-LN(2)/2)*EC149+(1-EXP(-LN(2)/2))/(LN(2)/2)*DW150*DZ150*VLOOKUP('Données projet'!$B$14,Paramètres!$A$1:$I$89,3,0)*0.475*44/12</f>
        <v>5.4348799035903479E-17</v>
      </c>
      <c r="ED150" s="22">
        <f t="shared" si="126"/>
        <v>0.83896254739426412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210.04871822652808</v>
      </c>
      <c r="AO151" s="59">
        <f t="shared" si="144"/>
        <v>250.17540614049324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0.70547300975972715</v>
      </c>
      <c r="AV151" s="21">
        <f>EXP(-LN(2)/25)*AV150+(1-EXP(-LN(2)/25))/(LN(2)/25)*Calculateur!AQ151*Calculateur!AS151*VLOOKUP('Données projet'!$B$10,Paramètres!$A$1:$I$89,3,0)*0.475*44/12</f>
        <v>1.055997189467115</v>
      </c>
      <c r="AW151" s="21">
        <f>EXP(-LN(2)/2)*AW150+(1-EXP(-LN(2)/2))/(LN(2)/2)*AQ151*AT151*VLOOKUP('Données projet'!$B$10,Paramètres!$A$1:$I$89,3,0)*0.475*44/12</f>
        <v>3.7390036791276098E-17</v>
      </c>
      <c r="AX151" s="21">
        <f t="shared" si="114"/>
        <v>1.7614701992268422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553.99999999999955</v>
      </c>
      <c r="BE151" s="13">
        <f>BD151*VLOOKUP('Données projet'!$B$11,Paramètres!$A$1:$I$89,3,0)*VLOOKUP('Données projet'!$B$11,Paramètres!$A$1:$I$89,5,0)</f>
        <v>331.29199999999975</v>
      </c>
      <c r="BF151" s="13">
        <f t="shared" si="145"/>
        <v>77.698110787752</v>
      </c>
      <c r="BG151" s="20">
        <f t="shared" si="115"/>
        <v>712.32444295533423</v>
      </c>
      <c r="BH151" s="59">
        <f t="shared" si="116"/>
        <v>1005.6577762886675</v>
      </c>
      <c r="BI151" s="59">
        <f ca="1">AVERAGE(OFFSET($BH$3,0,0,'Données projet'!$E$11+1,1))-AVERAGE(OFFSET($H$3,0,0,'Données projet'!$E$11+1,1))</f>
        <v>316.58509520829671</v>
      </c>
      <c r="BJ151" s="59">
        <f t="shared" si="146"/>
        <v>240.71332110643596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0.24490591516531379</v>
      </c>
      <c r="BQ151" s="21">
        <f>EXP(-LN(2)/25)*BQ150+(1-EXP(-LN(2)/25))/(LN(2)/25)*Calculateur!BL151*Calculateur!BN151*VLOOKUP('Données projet'!$B$11,Paramètres!$A$1:$I$89,3,0)*0.475*44/12</f>
        <v>0.57931995373329859</v>
      </c>
      <c r="BR151" s="21">
        <f>EXP(-LN(2)/2)*BR150+(1-EXP(-LN(2)/2))/(LN(2)/2)*BL151*BO151*VLOOKUP('Données projet'!$B$11,Paramètres!$A$1:$I$89,3,0)*0.475*44/12</f>
        <v>3.8058693471282553E-17</v>
      </c>
      <c r="BS151" s="22">
        <f t="shared" si="117"/>
        <v>0.82422586889861238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-5.1159076974727213E-13</v>
      </c>
      <c r="BZ151" s="13">
        <f>BY151*VLOOKUP('Données projet'!$B$12,Paramètres!$A$1:$I$89,3,0)*VLOOKUP('Données projet'!$B$12,Paramètres!$A$1:$I$89,5,0)</f>
        <v>-4.0702161641092972E-13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260.20517190557814</v>
      </c>
      <c r="CE151" s="59">
        <f t="shared" si="148"/>
        <v>307.22009971147133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0.31529324493725935</v>
      </c>
      <c r="CL151" s="21">
        <f>EXP(-LN(2)/25)*CL150+(1-EXP(-LN(2)/25))/(LN(2)/25)*Calculateur!CG151*Calculateur!CI151*VLOOKUP('Données projet'!$B$12,Paramètres!$A$1:$I$89,3,0)*0.475*44/12</f>
        <v>0.77858739557084944</v>
      </c>
      <c r="CM151" s="21">
        <f>EXP(-LN(2)/2)*CM150+(1-EXP(-LN(2)/2))/(LN(2)/2)*CG151*CJ151*VLOOKUP('Données projet'!$B$12,Paramètres!$A$1:$I$89,3,0)*0.475*44/12</f>
        <v>4.1701077058068647E-17</v>
      </c>
      <c r="CN151" s="22">
        <f t="shared" si="120"/>
        <v>1.0938806405081087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4.5</v>
      </c>
      <c r="CT151" s="12">
        <f>IF('Données projet'!$A$140&gt;35,CT150+CS151-DB150,IF(A151&lt;'Données projet'!$A$140,$CQ$205^A151,IF(A151='Données projet'!$A$140,'Données projet'!$B$140,CT150+CS151-DB150)))</f>
        <v>406.0000000000004</v>
      </c>
      <c r="CU151" s="17">
        <f>CT151*VLOOKUP('Données projet'!$B$13,Paramètres!$A$1:$I$89,3,0)*VLOOKUP('Données projet'!$B$13,Paramètres!$A$1:$I$89,5,0)</f>
        <v>348.34800000000041</v>
      </c>
      <c r="CV151" s="13">
        <f t="shared" si="149"/>
        <v>81.222253672242772</v>
      </c>
      <c r="CW151" s="20">
        <f t="shared" si="121"/>
        <v>748.16819181249014</v>
      </c>
      <c r="CX151" s="59">
        <f t="shared" si="122"/>
        <v>1041.5015251458235</v>
      </c>
      <c r="CY151" s="59">
        <f ca="1">AVERAGE(OFFSET($CX$3,0,0,'Données projet'!$E$13+1,1))-AVERAGE(OFFSET($H$3,0,0,'Données projet'!$E$13+1,1))</f>
        <v>310.4018929413723</v>
      </c>
      <c r="CZ151" s="59">
        <f t="shared" si="150"/>
        <v>127.5231137583819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0.22338990915916992</v>
      </c>
      <c r="DH151" s="21">
        <f>EXP(-LN(2)/2)*DH150+(1-EXP(-LN(2)/2))/(LN(2)/2)*DB151*DE151*VLOOKUP('Données projet'!$B$13,Paramètres!$A$1:$I$89,3,0)*0.475*44/12</f>
        <v>1.5491610313034801E-17</v>
      </c>
      <c r="DI151" s="22">
        <f t="shared" si="123"/>
        <v>0.22338990915916995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>
        <f>DO151*VLOOKUP('Données projet'!$B$14,Paramètres!$A$1:$I$89,3,0)*VLOOKUP('Données projet'!$B$14,Paramètres!$A$1:$I$89,5,0)</f>
        <v>-3.7509835237869992E-13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234.09142087023463</v>
      </c>
      <c r="DU151" s="59">
        <f t="shared" si="152"/>
        <v>278.990685815294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0.23574089826792508</v>
      </c>
      <c r="EB151" s="21">
        <f>EXP(-LN(2)/25)*EB150+(1-EXP(-LN(2)/25))/(LN(2)/25)*Calculateur!DW151*Calculateur!DY151*VLOOKUP('Données projet'!$B$14,Paramètres!$A$1:$I$89,3,0)*0.475*44/12</f>
        <v>0.58214026135726593</v>
      </c>
      <c r="EC151" s="21">
        <f>EXP(-LN(2)/2)*EC150+(1-EXP(-LN(2)/2))/(LN(2)/2)*DW151*DZ151*VLOOKUP('Données projet'!$B$14,Paramètres!$A$1:$I$89,3,0)*0.475*44/12</f>
        <v>3.843040434763225E-17</v>
      </c>
      <c r="ED151" s="22">
        <f t="shared" si="126"/>
        <v>0.81788115962519103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210.04871822652808</v>
      </c>
      <c r="AO152" s="59">
        <f t="shared" si="144"/>
        <v>250.17540614049324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0.69163911433438663</v>
      </c>
      <c r="AV152" s="21">
        <f>EXP(-LN(2)/25)*AV151+(1-EXP(-LN(2)/25))/(LN(2)/25)*Calculateur!AQ152*Calculateur!AS152*VLOOKUP('Données projet'!$B$10,Paramètres!$A$1:$I$89,3,0)*0.475*44/12</f>
        <v>1.027120890788658</v>
      </c>
      <c r="AW152" s="21">
        <f>EXP(-LN(2)/2)*AW151+(1-EXP(-LN(2)/2))/(LN(2)/2)*AQ152*AT152*VLOOKUP('Données projet'!$B$10,Paramètres!$A$1:$I$89,3,0)*0.475*44/12</f>
        <v>2.643874856392583E-17</v>
      </c>
      <c r="AX152" s="21">
        <f t="shared" si="114"/>
        <v>1.7187600051230447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553.99999999999955</v>
      </c>
      <c r="BE152" s="13">
        <f>BD152*VLOOKUP('Données projet'!$B$11,Paramètres!$A$1:$I$89,3,0)*VLOOKUP('Données projet'!$B$11,Paramètres!$A$1:$I$89,5,0)</f>
        <v>331.29199999999975</v>
      </c>
      <c r="BF152" s="13">
        <f t="shared" si="145"/>
        <v>77.698110787752</v>
      </c>
      <c r="BG152" s="20">
        <f t="shared" si="115"/>
        <v>712.32444295533423</v>
      </c>
      <c r="BH152" s="59">
        <f t="shared" si="116"/>
        <v>1005.6577762886675</v>
      </c>
      <c r="BI152" s="59">
        <f ca="1">AVERAGE(OFFSET($BH$3,0,0,'Données projet'!$E$11+1,1))-AVERAGE(OFFSET($H$3,0,0,'Données projet'!$E$11+1,1))</f>
        <v>316.58509520829671</v>
      </c>
      <c r="BJ152" s="59">
        <f t="shared" si="146"/>
        <v>240.71332110643596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0.24010345954678039</v>
      </c>
      <c r="BQ152" s="21">
        <f>EXP(-LN(2)/25)*BQ151+(1-EXP(-LN(2)/25))/(LN(2)/25)*Calculateur!BL152*Calculateur!BN152*VLOOKUP('Données projet'!$B$11,Paramètres!$A$1:$I$89,3,0)*0.475*44/12</f>
        <v>0.56347841913334917</v>
      </c>
      <c r="BR152" s="21">
        <f>EXP(-LN(2)/2)*BR151+(1-EXP(-LN(2)/2))/(LN(2)/2)*BL152*BO152*VLOOKUP('Données projet'!$B$11,Paramètres!$A$1:$I$89,3,0)*0.475*44/12</f>
        <v>2.6911560236644077E-17</v>
      </c>
      <c r="BS152" s="22">
        <f t="shared" si="117"/>
        <v>0.80358187868012954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-5.1159076974727213E-13</v>
      </c>
      <c r="BZ152" s="13">
        <f>BY152*VLOOKUP('Données projet'!$B$12,Paramètres!$A$1:$I$89,3,0)*VLOOKUP('Données projet'!$B$12,Paramètres!$A$1:$I$89,5,0)</f>
        <v>-4.0702161641092972E-13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260.20517190557814</v>
      </c>
      <c r="CE152" s="59">
        <f t="shared" si="148"/>
        <v>307.22009971147133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0.30911053671393007</v>
      </c>
      <c r="CL152" s="21">
        <f>EXP(-LN(2)/25)*CL151+(1-EXP(-LN(2)/25))/(LN(2)/25)*Calculateur!CG152*Calculateur!CI152*VLOOKUP('Données projet'!$B$12,Paramètres!$A$1:$I$89,3,0)*0.475*44/12</f>
        <v>0.75729688229483294</v>
      </c>
      <c r="CM152" s="21">
        <f>EXP(-LN(2)/2)*CM151+(1-EXP(-LN(2)/2))/(LN(2)/2)*CG152*CJ152*VLOOKUP('Données projet'!$B$12,Paramètres!$A$1:$I$89,3,0)*0.475*44/12</f>
        <v>2.9487114370543104E-17</v>
      </c>
      <c r="CN152" s="22">
        <f t="shared" si="120"/>
        <v>1.0664074190087631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4.5</v>
      </c>
      <c r="CT152" s="12">
        <f>IF('Données projet'!$A$140&gt;35,CT151+CS152-DB151,IF(A152&lt;'Données projet'!$A$140,$CQ$205^A152,IF(A152='Données projet'!$A$140,'Données projet'!$B$140,CT151+CS152-DB151)))</f>
        <v>410.5000000000004</v>
      </c>
      <c r="CU152" s="17">
        <f>CT152*VLOOKUP('Données projet'!$B$13,Paramètres!$A$1:$I$89,3,0)*VLOOKUP('Données projet'!$B$13,Paramètres!$A$1:$I$89,5,0)</f>
        <v>352.2090000000004</v>
      </c>
      <c r="CV152" s="13">
        <f t="shared" si="149"/>
        <v>82.01720059070972</v>
      </c>
      <c r="CW152" s="20">
        <f t="shared" si="121"/>
        <v>756.27729936215337</v>
      </c>
      <c r="CX152" s="59">
        <f t="shared" si="122"/>
        <v>1049.6106326954866</v>
      </c>
      <c r="CY152" s="59">
        <f ca="1">AVERAGE(OFFSET($CX$3,0,0,'Données projet'!$E$13+1,1))-AVERAGE(OFFSET($H$3,0,0,'Données projet'!$E$13+1,1))</f>
        <v>310.4018929413723</v>
      </c>
      <c r="CZ152" s="59">
        <f t="shared" si="150"/>
        <v>127.5231137583819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0.21728130034564766</v>
      </c>
      <c r="DH152" s="21">
        <f>EXP(-LN(2)/2)*DH151+(1-EXP(-LN(2)/2))/(LN(2)/2)*DB152*DE152*VLOOKUP('Données projet'!$B$13,Paramètres!$A$1:$I$89,3,0)*0.475*44/12</f>
        <v>1.0954222703846362E-17</v>
      </c>
      <c r="DI152" s="22">
        <f t="shared" si="123"/>
        <v>0.21728130034564766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>
        <f>DO152*VLOOKUP('Données projet'!$B$14,Paramètres!$A$1:$I$89,3,0)*VLOOKUP('Données projet'!$B$14,Paramètres!$A$1:$I$89,5,0)</f>
        <v>-3.7509835237869992E-13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234.09142087023463</v>
      </c>
      <c r="DU152" s="59">
        <f t="shared" si="152"/>
        <v>278.990685815294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0.23111816304064114</v>
      </c>
      <c r="EB152" s="21">
        <f>EXP(-LN(2)/25)*EB151+(1-EXP(-LN(2)/25))/(LN(2)/25)*Calculateur!DW152*Calculateur!DY152*VLOOKUP('Données projet'!$B$14,Paramètres!$A$1:$I$89,3,0)*0.475*44/12</f>
        <v>0.5662216052970257</v>
      </c>
      <c r="EC152" s="21">
        <f>EXP(-LN(2)/2)*EC151+(1-EXP(-LN(2)/2))/(LN(2)/2)*DW152*DZ152*VLOOKUP('Données projet'!$B$14,Paramètres!$A$1:$I$89,3,0)*0.475*44/12</f>
        <v>2.7174399517951743E-17</v>
      </c>
      <c r="ED152" s="22">
        <f t="shared" si="126"/>
        <v>0.79733976833766684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210.04871822652808</v>
      </c>
      <c r="AO153" s="59">
        <f t="shared" si="144"/>
        <v>250.17540614049324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0.67807649316049401</v>
      </c>
      <c r="AV153" s="21">
        <f>EXP(-LN(2)/25)*AV152+(1-EXP(-LN(2)/25))/(LN(2)/25)*Calculateur!AQ153*Calculateur!AS153*VLOOKUP('Données projet'!$B$10,Paramètres!$A$1:$I$89,3,0)*0.475*44/12</f>
        <v>0.99903421601610198</v>
      </c>
      <c r="AW153" s="21">
        <f>EXP(-LN(2)/2)*AW152+(1-EXP(-LN(2)/2))/(LN(2)/2)*AQ153*AT153*VLOOKUP('Données projet'!$B$10,Paramètres!$A$1:$I$89,3,0)*0.475*44/12</f>
        <v>1.8695018395638049E-17</v>
      </c>
      <c r="AX153" s="21">
        <f t="shared" si="114"/>
        <v>1.677110709176596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553.99999999999955</v>
      </c>
      <c r="BE153" s="13">
        <f>BD153*VLOOKUP('Données projet'!$B$11,Paramètres!$A$1:$I$89,3,0)*VLOOKUP('Données projet'!$B$11,Paramètres!$A$1:$I$89,5,0)</f>
        <v>331.29199999999975</v>
      </c>
      <c r="BF153" s="13">
        <f t="shared" si="145"/>
        <v>77.698110787752</v>
      </c>
      <c r="BG153" s="20">
        <f t="shared" si="115"/>
        <v>712.32444295533423</v>
      </c>
      <c r="BH153" s="59">
        <f t="shared" si="116"/>
        <v>1005.6577762886675</v>
      </c>
      <c r="BI153" s="59">
        <f ca="1">AVERAGE(OFFSET($BH$3,0,0,'Données projet'!$E$11+1,1))-AVERAGE(OFFSET($H$3,0,0,'Données projet'!$E$11+1,1))</f>
        <v>316.58509520829671</v>
      </c>
      <c r="BJ153" s="59">
        <f t="shared" si="146"/>
        <v>240.71332110643596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0.23539517715371774</v>
      </c>
      <c r="BQ153" s="21">
        <f>EXP(-LN(2)/25)*BQ152+(1-EXP(-LN(2)/25))/(LN(2)/25)*Calculateur!BL153*Calculateur!BN153*VLOOKUP('Données projet'!$B$11,Paramètres!$A$1:$I$89,3,0)*0.475*44/12</f>
        <v>0.5480700721301055</v>
      </c>
      <c r="BR153" s="21">
        <f>EXP(-LN(2)/2)*BR152+(1-EXP(-LN(2)/2))/(LN(2)/2)*BL153*BO153*VLOOKUP('Données projet'!$B$11,Paramètres!$A$1:$I$89,3,0)*0.475*44/12</f>
        <v>1.9029346735641276E-17</v>
      </c>
      <c r="BS153" s="22">
        <f t="shared" si="117"/>
        <v>0.78346524928382322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-5.1159076974727213E-13</v>
      </c>
      <c r="BZ153" s="13">
        <f>BY153*VLOOKUP('Données projet'!$B$12,Paramètres!$A$1:$I$89,3,0)*VLOOKUP('Données projet'!$B$12,Paramètres!$A$1:$I$89,5,0)</f>
        <v>-4.0702161641092972E-13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260.20517190557814</v>
      </c>
      <c r="CE153" s="59">
        <f t="shared" si="148"/>
        <v>307.22009971147133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0.30304906762778067</v>
      </c>
      <c r="CL153" s="21">
        <f>EXP(-LN(2)/25)*CL152+(1-EXP(-LN(2)/25))/(LN(2)/25)*Calculateur!CG153*Calculateur!CI153*VLOOKUP('Données projet'!$B$12,Paramètres!$A$1:$I$89,3,0)*0.475*44/12</f>
        <v>0.73658855922396849</v>
      </c>
      <c r="CM153" s="21">
        <f>EXP(-LN(2)/2)*CM152+(1-EXP(-LN(2)/2))/(LN(2)/2)*CG153*CJ153*VLOOKUP('Données projet'!$B$12,Paramètres!$A$1:$I$89,3,0)*0.475*44/12</f>
        <v>2.0850538529034324E-17</v>
      </c>
      <c r="CN153" s="22">
        <f t="shared" si="120"/>
        <v>1.0396376268517491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415</v>
      </c>
      <c r="CR153" s="12">
        <f>VLOOKUP(A153,'Données projet'!$A$139:$I$159,9,0)</f>
        <v>4.5</v>
      </c>
      <c r="CS153" s="12">
        <f t="array" ref="CS153">INDEX(CR:CR,MIN(IF(ISNUMBER(CR153:CR349),ROW(CR153:CR349),"")))</f>
        <v>4.5</v>
      </c>
      <c r="CT153" s="12">
        <f>IF('Données projet'!$A$140&gt;35,CT152+CS153-DB152,IF(A153&lt;'Données projet'!$A$140,$CQ$205^A153,IF(A153='Données projet'!$A$140,'Données projet'!$B$140,CT152+CS153-DB152)))</f>
        <v>415.0000000000004</v>
      </c>
      <c r="CU153" s="17">
        <f>CT153*VLOOKUP('Données projet'!$B$13,Paramètres!$A$1:$I$89,3,0)*VLOOKUP('Données projet'!$B$13,Paramètres!$A$1:$I$89,5,0)</f>
        <v>356.07000000000039</v>
      </c>
      <c r="CV153" s="13">
        <f t="shared" si="149"/>
        <v>82.811133778450127</v>
      </c>
      <c r="CW153" s="20">
        <f t="shared" si="121"/>
        <v>764.3846413308014</v>
      </c>
      <c r="CX153" s="59">
        <f t="shared" si="122"/>
        <v>1057.7179746641348</v>
      </c>
      <c r="CY153" s="59">
        <f ca="1">AVERAGE(OFFSET($CX$3,0,0,'Données projet'!$E$13+1,1))-AVERAGE(OFFSET($H$3,0,0,'Données projet'!$E$13+1,1))</f>
        <v>310.4018929413723</v>
      </c>
      <c r="CZ153" s="59">
        <f t="shared" si="150"/>
        <v>127.5231137583819</v>
      </c>
      <c r="DA153" s="15">
        <f>IF(ISNA(VLOOKUP(A153,'Données projet'!$A$139:$I$159,3,0)),0,VLOOKUP(A153,'Données projet'!$A$139:$I$159,3,0))</f>
        <v>14</v>
      </c>
      <c r="DB153" s="15">
        <f>IF(ISNA(VLOOKUP(A153,'Données projet'!$A$139:$I$159,4,0)),0,VLOOKUP(A153,'Données projet'!$A$139:$I$159,4,0))</f>
        <v>37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0.21133973176136894</v>
      </c>
      <c r="DH153" s="21">
        <f>EXP(-LN(2)/2)*DH152+(1-EXP(-LN(2)/2))/(LN(2)/2)*DB153*DE153*VLOOKUP('Données projet'!$B$13,Paramètres!$A$1:$I$89,3,0)*0.475*44/12</f>
        <v>7.7458051565174006E-18</v>
      </c>
      <c r="DI153" s="22">
        <f t="shared" si="123"/>
        <v>0.21133973176136894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>
        <f>DO153*VLOOKUP('Données projet'!$B$14,Paramètres!$A$1:$I$89,3,0)*VLOOKUP('Données projet'!$B$14,Paramètres!$A$1:$I$89,5,0)</f>
        <v>-3.7509835237869992E-13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234.09142087023463</v>
      </c>
      <c r="DU153" s="59">
        <f t="shared" si="152"/>
        <v>278.990685815294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0.22658607683157417</v>
      </c>
      <c r="EB153" s="21">
        <f>EXP(-LN(2)/25)*EB152+(1-EXP(-LN(2)/25))/(LN(2)/25)*Calculateur!DW153*Calculateur!DY153*VLOOKUP('Données projet'!$B$14,Paramètres!$A$1:$I$89,3,0)*0.475*44/12</f>
        <v>0.55073824572387842</v>
      </c>
      <c r="EC153" s="21">
        <f>EXP(-LN(2)/2)*EC152+(1-EXP(-LN(2)/2))/(LN(2)/2)*DW153*DZ153*VLOOKUP('Données projet'!$B$14,Paramètres!$A$1:$I$89,3,0)*0.475*44/12</f>
        <v>1.9215202173816128E-17</v>
      </c>
      <c r="ED153" s="22">
        <f t="shared" si="126"/>
        <v>0.77732432255545258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210.04871822652808</v>
      </c>
      <c r="AO154" s="59">
        <f t="shared" si="144"/>
        <v>250.17540614049324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0.66477982671543934</v>
      </c>
      <c r="AV154" s="21">
        <f>EXP(-LN(2)/25)*AV153+(1-EXP(-LN(2)/25))/(LN(2)/25)*Calculateur!AQ154*Calculateur!AS154*VLOOKUP('Données projet'!$B$10,Paramètres!$A$1:$I$89,3,0)*0.475*44/12</f>
        <v>0.97171557284221555</v>
      </c>
      <c r="AW154" s="21">
        <f>EXP(-LN(2)/2)*AW153+(1-EXP(-LN(2)/2))/(LN(2)/2)*AQ154*AT154*VLOOKUP('Données projet'!$B$10,Paramètres!$A$1:$I$89,3,0)*0.475*44/12</f>
        <v>1.3219374281962915E-17</v>
      </c>
      <c r="AX154" s="21">
        <f t="shared" ref="AX154:AX203" si="166">SUM(AU154:AW154)</f>
        <v>1.636495399557655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553.99999999999955</v>
      </c>
      <c r="BE154" s="13">
        <f>BD154*VLOOKUP('Données projet'!$B$11,Paramètres!$A$1:$I$89,3,0)*VLOOKUP('Données projet'!$B$11,Paramètres!$A$1:$I$89,5,0)</f>
        <v>331.29199999999975</v>
      </c>
      <c r="BF154" s="13">
        <f t="shared" ref="BF154:BF203" si="167">EXP(-1.0587+0.8836*LN(BE154)+0.284)</f>
        <v>77.698110787752</v>
      </c>
      <c r="BG154" s="20">
        <f t="shared" ref="BG154:BG203" si="168">(BE154+BF154)*0.475*44/12</f>
        <v>712.32444295533423</v>
      </c>
      <c r="BH154" s="59">
        <f t="shared" si="116"/>
        <v>1005.6577762886675</v>
      </c>
      <c r="BI154" s="59">
        <f ca="1">AVERAGE(OFFSET($BH$3,0,0,'Données projet'!$E$11+1,1))-AVERAGE(OFFSET($H$3,0,0,'Données projet'!$E$11+1,1))</f>
        <v>316.58509520829671</v>
      </c>
      <c r="BJ154" s="59">
        <f t="shared" si="146"/>
        <v>240.71332110643596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0.23077922130661435</v>
      </c>
      <c r="BQ154" s="21">
        <f>EXP(-LN(2)/25)*BQ153+(1-EXP(-LN(2)/25))/(LN(2)/25)*Calculateur!BL154*Calculateur!BN154*VLOOKUP('Données projet'!$B$11,Paramètres!$A$1:$I$89,3,0)*0.475*44/12</f>
        <v>0.53308306718595533</v>
      </c>
      <c r="BR154" s="21">
        <f>EXP(-LN(2)/2)*BR153+(1-EXP(-LN(2)/2))/(LN(2)/2)*BL154*BO154*VLOOKUP('Données projet'!$B$11,Paramètres!$A$1:$I$89,3,0)*0.475*44/12</f>
        <v>1.3455780118322039E-17</v>
      </c>
      <c r="BS154" s="22">
        <f t="shared" ref="BS154:BS203" si="169">SUM(BP154:BR154)</f>
        <v>0.76386228849256965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-5.1159076974727213E-13</v>
      </c>
      <c r="BZ154" s="13">
        <f>BY154*VLOOKUP('Données projet'!$B$12,Paramètres!$A$1:$I$89,3,0)*VLOOKUP('Données projet'!$B$12,Paramètres!$A$1:$I$89,5,0)</f>
        <v>-4.0702161641092972E-13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260.20517190557814</v>
      </c>
      <c r="CE154" s="59">
        <f t="shared" si="148"/>
        <v>307.22009971147133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0.29710646025327953</v>
      </c>
      <c r="CL154" s="21">
        <f>EXP(-LN(2)/25)*CL153+(1-EXP(-LN(2)/25))/(LN(2)/25)*Calculateur!CG154*Calculateur!CI154*VLOOKUP('Données projet'!$B$12,Paramètres!$A$1:$I$89,3,0)*0.475*44/12</f>
        <v>0.71644650633648022</v>
      </c>
      <c r="CM154" s="21">
        <f>EXP(-LN(2)/2)*CM153+(1-EXP(-LN(2)/2))/(LN(2)/2)*CG154*CJ154*VLOOKUP('Données projet'!$B$12,Paramètres!$A$1:$I$89,3,0)*0.475*44/12</f>
        <v>1.4743557185271552E-17</v>
      </c>
      <c r="CN154" s="22">
        <f t="shared" ref="CN154:CN203" si="172">SUM(CK154:CM154)</f>
        <v>1.0135529665897598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378.0000000000004</v>
      </c>
      <c r="CU154" s="17">
        <f>CT154*VLOOKUP('Données projet'!$B$13,Paramètres!$A$1:$I$89,3,0)*VLOOKUP('Données projet'!$B$13,Paramètres!$A$1:$I$89,5,0)</f>
        <v>324.32400000000035</v>
      </c>
      <c r="CV154" s="13">
        <f t="shared" ref="CV154:CV203" si="173">EXP(-1.0587+0.8836*LN(CU154)+0.284)</f>
        <v>76.252341944982831</v>
      </c>
      <c r="CW154" s="20">
        <f t="shared" ref="CW154:CW203" si="174">(CU154+CV154)*0.475*44/12</f>
        <v>697.67046222084571</v>
      </c>
      <c r="CX154" s="59">
        <f t="shared" si="122"/>
        <v>991.00379555417908</v>
      </c>
      <c r="CY154" s="59">
        <f ca="1">AVERAGE(OFFSET($CX$3,0,0,'Données projet'!$E$13+1,1))-AVERAGE(OFFSET($H$3,0,0,'Données projet'!$E$13+1,1))</f>
        <v>310.4018929413723</v>
      </c>
      <c r="CZ154" s="59">
        <f t="shared" si="150"/>
        <v>127.5231137583819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0.20556063568248084</v>
      </c>
      <c r="DH154" s="21">
        <f>EXP(-LN(2)/2)*DH153+(1-EXP(-LN(2)/2))/(LN(2)/2)*DB154*DE154*VLOOKUP('Données projet'!$B$13,Paramètres!$A$1:$I$89,3,0)*0.475*44/12</f>
        <v>5.4771113519231811E-18</v>
      </c>
      <c r="DI154" s="22">
        <f t="shared" ref="DI154:DI203" si="175">SUM(DF154:DH154)</f>
        <v>0.20556063568248084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>
        <f>DO154*VLOOKUP('Données projet'!$B$14,Paramètres!$A$1:$I$89,3,0)*VLOOKUP('Données projet'!$B$14,Paramètres!$A$1:$I$89,5,0)</f>
        <v>-3.7509835237869992E-13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234.09142087023463</v>
      </c>
      <c r="DU154" s="59">
        <f t="shared" si="152"/>
        <v>278.990685815294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0.22214286206876738</v>
      </c>
      <c r="EB154" s="21">
        <f>EXP(-LN(2)/25)*EB153+(1-EXP(-LN(2)/25))/(LN(2)/25)*Calculateur!DW154*Calculateur!DY154*VLOOKUP('Données projet'!$B$14,Paramètres!$A$1:$I$89,3,0)*0.475*44/12</f>
        <v>0.53567827943249335</v>
      </c>
      <c r="EC154" s="21">
        <f>EXP(-LN(2)/2)*EC153+(1-EXP(-LN(2)/2))/(LN(2)/2)*DW154*DZ154*VLOOKUP('Données projet'!$B$14,Paramètres!$A$1:$I$89,3,0)*0.475*44/12</f>
        <v>1.3587199758975874E-17</v>
      </c>
      <c r="ED154" s="22">
        <f t="shared" ref="ED154:ED203" si="178">SUM(EA154:EC154)</f>
        <v>0.75782114150126079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210.04871822652808</v>
      </c>
      <c r="AO155" s="59">
        <f t="shared" si="144"/>
        <v>250.17540614049324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0.65174389978920644</v>
      </c>
      <c r="AV155" s="21">
        <f>EXP(-LN(2)/25)*AV154+(1-EXP(-LN(2)/25))/(LN(2)/25)*Calculateur!AQ155*Calculateur!AS155*VLOOKUP('Données projet'!$B$10,Paramètres!$A$1:$I$89,3,0)*0.475*44/12</f>
        <v>0.94514395940254403</v>
      </c>
      <c r="AW155" s="21">
        <f>EXP(-LN(2)/2)*AW154+(1-EXP(-LN(2)/2))/(LN(2)/2)*AQ155*AT155*VLOOKUP('Données projet'!$B$10,Paramètres!$A$1:$I$89,3,0)*0.475*44/12</f>
        <v>9.3475091978190246E-18</v>
      </c>
      <c r="AX155" s="21">
        <f t="shared" si="166"/>
        <v>1.5968878591917504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553.99999999999955</v>
      </c>
      <c r="BE155" s="13">
        <f>BD155*VLOOKUP('Données projet'!$B$11,Paramètres!$A$1:$I$89,3,0)*VLOOKUP('Données projet'!$B$11,Paramètres!$A$1:$I$89,5,0)</f>
        <v>331.29199999999975</v>
      </c>
      <c r="BF155" s="13">
        <f t="shared" si="167"/>
        <v>77.698110787752</v>
      </c>
      <c r="BG155" s="20">
        <f t="shared" si="168"/>
        <v>712.32444295533423</v>
      </c>
      <c r="BH155" s="59">
        <f t="shared" si="116"/>
        <v>1005.6577762886675</v>
      </c>
      <c r="BI155" s="59">
        <f ca="1">AVERAGE(OFFSET($BH$3,0,0,'Données projet'!$E$11+1,1))-AVERAGE(OFFSET($H$3,0,0,'Données projet'!$E$11+1,1))</f>
        <v>316.58509520829671</v>
      </c>
      <c r="BJ155" s="59">
        <f t="shared" si="146"/>
        <v>240.71332110643596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0.2262537815382176</v>
      </c>
      <c r="BQ155" s="21">
        <f>EXP(-LN(2)/25)*BQ154+(1-EXP(-LN(2)/25))/(LN(2)/25)*Calculateur!BL155*Calculateur!BN155*VLOOKUP('Données projet'!$B$11,Paramètres!$A$1:$I$89,3,0)*0.475*44/12</f>
        <v>0.5185058826801352</v>
      </c>
      <c r="BR155" s="21">
        <f>EXP(-LN(2)/2)*BR154+(1-EXP(-LN(2)/2))/(LN(2)/2)*BL155*BO155*VLOOKUP('Données projet'!$B$11,Paramètres!$A$1:$I$89,3,0)*0.475*44/12</f>
        <v>9.5146733678206382E-18</v>
      </c>
      <c r="BS155" s="22">
        <f t="shared" si="169"/>
        <v>0.74475966421835282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-5.1159076974727213E-13</v>
      </c>
      <c r="BZ155" s="13">
        <f>BY155*VLOOKUP('Données projet'!$B$12,Paramètres!$A$1:$I$89,3,0)*VLOOKUP('Données projet'!$B$12,Paramètres!$A$1:$I$89,5,0)</f>
        <v>-4.0702161641092972E-13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260.20517190557814</v>
      </c>
      <c r="CE155" s="59">
        <f t="shared" si="148"/>
        <v>307.22009971147133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0.29128038378475979</v>
      </c>
      <c r="CL155" s="21">
        <f>EXP(-LN(2)/25)*CL154+(1-EXP(-LN(2)/25))/(LN(2)/25)*Calculateur!CG155*Calculateur!CI155*VLOOKUP('Données projet'!$B$12,Paramètres!$A$1:$I$89,3,0)*0.475*44/12</f>
        <v>0.6968552389444248</v>
      </c>
      <c r="CM155" s="21">
        <f>EXP(-LN(2)/2)*CM154+(1-EXP(-LN(2)/2))/(LN(2)/2)*CG155*CJ155*VLOOKUP('Données projet'!$B$12,Paramètres!$A$1:$I$89,3,0)*0.475*44/12</f>
        <v>1.0425269264517162E-17</v>
      </c>
      <c r="CN155" s="22">
        <f t="shared" si="172"/>
        <v>0.98813562272918465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378.0000000000004</v>
      </c>
      <c r="CU155" s="17">
        <f>CT155*VLOOKUP('Données projet'!$B$13,Paramètres!$A$1:$I$89,3,0)*VLOOKUP('Données projet'!$B$13,Paramètres!$A$1:$I$89,5,0)</f>
        <v>324.32400000000035</v>
      </c>
      <c r="CV155" s="13">
        <f t="shared" si="173"/>
        <v>76.252341944982831</v>
      </c>
      <c r="CW155" s="20">
        <f t="shared" si="174"/>
        <v>697.67046222084571</v>
      </c>
      <c r="CX155" s="59">
        <f t="shared" si="122"/>
        <v>991.00379555417908</v>
      </c>
      <c r="CY155" s="59">
        <f ca="1">AVERAGE(OFFSET($CX$3,0,0,'Données projet'!$E$13+1,1))-AVERAGE(OFFSET($H$3,0,0,'Données projet'!$E$13+1,1))</f>
        <v>310.4018929413723</v>
      </c>
      <c r="CZ155" s="59">
        <f t="shared" si="150"/>
        <v>127.5231137583819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0.19993956928977938</v>
      </c>
      <c r="DH155" s="21">
        <f>EXP(-LN(2)/2)*DH154+(1-EXP(-LN(2)/2))/(LN(2)/2)*DB155*DE155*VLOOKUP('Données projet'!$B$13,Paramètres!$A$1:$I$89,3,0)*0.475*44/12</f>
        <v>3.8729025782587003E-18</v>
      </c>
      <c r="DI155" s="22">
        <f t="shared" si="175"/>
        <v>0.19993956928977938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>
        <f>DO155*VLOOKUP('Données projet'!$B$14,Paramètres!$A$1:$I$89,3,0)*VLOOKUP('Données projet'!$B$14,Paramètres!$A$1:$I$89,5,0)</f>
        <v>-3.7509835237869992E-13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234.09142087023463</v>
      </c>
      <c r="DU155" s="59">
        <f t="shared" si="152"/>
        <v>278.990685815294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0.21778677603736582</v>
      </c>
      <c r="EB155" s="21">
        <f>EXP(-LN(2)/25)*EB154+(1-EXP(-LN(2)/25))/(LN(2)/25)*Calculateur!DW155*Calculateur!DY155*VLOOKUP('Données projet'!$B$14,Paramètres!$A$1:$I$89,3,0)*0.475*44/12</f>
        <v>0.52103012871131538</v>
      </c>
      <c r="EC155" s="21">
        <f>EXP(-LN(2)/2)*EC154+(1-EXP(-LN(2)/2))/(LN(2)/2)*DW155*DZ155*VLOOKUP('Données projet'!$B$14,Paramètres!$A$1:$I$89,3,0)*0.475*44/12</f>
        <v>9.6076010869080655E-18</v>
      </c>
      <c r="ED155" s="22">
        <f t="shared" si="178"/>
        <v>0.73881690474868122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210.04871822652808</v>
      </c>
      <c r="AO156" s="59">
        <f t="shared" si="144"/>
        <v>250.17540614049324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0.63896359943886671</v>
      </c>
      <c r="AV156" s="21">
        <f>EXP(-LN(2)/25)*AV155+(1-EXP(-LN(2)/25))/(LN(2)/25)*Calculateur!AQ156*Calculateur!AS156*VLOOKUP('Données projet'!$B$10,Paramètres!$A$1:$I$89,3,0)*0.475*44/12</f>
        <v>0.91929894812972079</v>
      </c>
      <c r="AW156" s="21">
        <f>EXP(-LN(2)/2)*AW155+(1-EXP(-LN(2)/2))/(LN(2)/2)*AQ156*AT156*VLOOKUP('Données projet'!$B$10,Paramètres!$A$1:$I$89,3,0)*0.475*44/12</f>
        <v>6.6096871409814575E-18</v>
      </c>
      <c r="AX156" s="21">
        <f t="shared" si="166"/>
        <v>1.5582625475685874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553.99999999999955</v>
      </c>
      <c r="BE156" s="13">
        <f>BD156*VLOOKUP('Données projet'!$B$11,Paramètres!$A$1:$I$89,3,0)*VLOOKUP('Données projet'!$B$11,Paramètres!$A$1:$I$89,5,0)</f>
        <v>331.29199999999975</v>
      </c>
      <c r="BF156" s="13">
        <f t="shared" si="167"/>
        <v>77.698110787752</v>
      </c>
      <c r="BG156" s="20">
        <f t="shared" si="168"/>
        <v>712.32444295533423</v>
      </c>
      <c r="BH156" s="59">
        <f t="shared" si="116"/>
        <v>1005.6577762886675</v>
      </c>
      <c r="BI156" s="59">
        <f ca="1">AVERAGE(OFFSET($BH$3,0,0,'Données projet'!$E$11+1,1))-AVERAGE(OFFSET($H$3,0,0,'Données projet'!$E$11+1,1))</f>
        <v>316.58509520829671</v>
      </c>
      <c r="BJ156" s="59">
        <f t="shared" si="146"/>
        <v>240.71332110643596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0.22181708288343341</v>
      </c>
      <c r="BQ156" s="21">
        <f>EXP(-LN(2)/25)*BQ155+(1-EXP(-LN(2)/25))/(LN(2)/25)*Calculateur!BL156*Calculateur!BN156*VLOOKUP('Données projet'!$B$11,Paramètres!$A$1:$I$89,3,0)*0.475*44/12</f>
        <v>0.50432731205120762</v>
      </c>
      <c r="BR156" s="21">
        <f>EXP(-LN(2)/2)*BR155+(1-EXP(-LN(2)/2))/(LN(2)/2)*BL156*BO156*VLOOKUP('Données projet'!$B$11,Paramètres!$A$1:$I$89,3,0)*0.475*44/12</f>
        <v>6.7278900591610193E-18</v>
      </c>
      <c r="BS156" s="22">
        <f t="shared" si="169"/>
        <v>0.726144394934641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-5.1159076974727213E-13</v>
      </c>
      <c r="BZ156" s="13">
        <f>BY156*VLOOKUP('Données projet'!$B$12,Paramètres!$A$1:$I$89,3,0)*VLOOKUP('Données projet'!$B$12,Paramètres!$A$1:$I$89,5,0)</f>
        <v>-4.0702161641092972E-13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260.20517190557814</v>
      </c>
      <c r="CE156" s="59">
        <f t="shared" si="148"/>
        <v>307.22009971147133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0.28556855312223195</v>
      </c>
      <c r="CL156" s="21">
        <f>EXP(-LN(2)/25)*CL155+(1-EXP(-LN(2)/25))/(LN(2)/25)*Calculateur!CG156*Calculateur!CI156*VLOOKUP('Données projet'!$B$12,Paramètres!$A$1:$I$89,3,0)*0.475*44/12</f>
        <v>0.6777996957894652</v>
      </c>
      <c r="CM156" s="21">
        <f>EXP(-LN(2)/2)*CM155+(1-EXP(-LN(2)/2))/(LN(2)/2)*CG156*CJ156*VLOOKUP('Données projet'!$B$12,Paramètres!$A$1:$I$89,3,0)*0.475*44/12</f>
        <v>7.3717785926357759E-18</v>
      </c>
      <c r="CN156" s="22">
        <f t="shared" si="172"/>
        <v>0.96336824891169714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378.0000000000004</v>
      </c>
      <c r="CU156" s="17">
        <f>CT156*VLOOKUP('Données projet'!$B$13,Paramètres!$A$1:$I$89,3,0)*VLOOKUP('Données projet'!$B$13,Paramètres!$A$1:$I$89,5,0)</f>
        <v>324.32400000000035</v>
      </c>
      <c r="CV156" s="13">
        <f t="shared" si="173"/>
        <v>76.252341944982831</v>
      </c>
      <c r="CW156" s="20">
        <f t="shared" si="174"/>
        <v>697.67046222084571</v>
      </c>
      <c r="CX156" s="59">
        <f t="shared" si="122"/>
        <v>991.00379555417908</v>
      </c>
      <c r="CY156" s="59">
        <f ca="1">AVERAGE(OFFSET($CX$3,0,0,'Données projet'!$E$13+1,1))-AVERAGE(OFFSET($H$3,0,0,'Données projet'!$E$13+1,1))</f>
        <v>310.4018929413723</v>
      </c>
      <c r="CZ156" s="59">
        <f t="shared" si="150"/>
        <v>127.5231137583819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0.19447221125318537</v>
      </c>
      <c r="DH156" s="21">
        <f>EXP(-LN(2)/2)*DH155+(1-EXP(-LN(2)/2))/(LN(2)/2)*DB156*DE156*VLOOKUP('Données projet'!$B$13,Paramètres!$A$1:$I$89,3,0)*0.475*44/12</f>
        <v>2.7385556759615906E-18</v>
      </c>
      <c r="DI156" s="22">
        <f t="shared" si="175"/>
        <v>0.19447221125318537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>
        <f>DO156*VLOOKUP('Données projet'!$B$14,Paramètres!$A$1:$I$89,3,0)*VLOOKUP('Données projet'!$B$14,Paramètres!$A$1:$I$89,5,0)</f>
        <v>-3.7509835237869992E-13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234.09142087023463</v>
      </c>
      <c r="DU156" s="59">
        <f t="shared" si="152"/>
        <v>278.990685815294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0.2135161101960899</v>
      </c>
      <c r="EB156" s="21">
        <f>EXP(-LN(2)/25)*EB155+(1-EXP(-LN(2)/25))/(LN(2)/25)*Calculateur!DW156*Calculateur!DY156*VLOOKUP('Données projet'!$B$14,Paramètres!$A$1:$I$89,3,0)*0.475*44/12</f>
        <v>0.50678253244192084</v>
      </c>
      <c r="EC156" s="21">
        <f>EXP(-LN(2)/2)*EC155+(1-EXP(-LN(2)/2))/(LN(2)/2)*DW156*DZ156*VLOOKUP('Données projet'!$B$14,Paramètres!$A$1:$I$89,3,0)*0.475*44/12</f>
        <v>6.793599879487938E-18</v>
      </c>
      <c r="ED156" s="22">
        <f t="shared" si="178"/>
        <v>0.72029864263801069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210.04871822652808</v>
      </c>
      <c r="AO157" s="59">
        <f t="shared" si="144"/>
        <v>250.17540614049324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0.62643391298318363</v>
      </c>
      <c r="AV157" s="21">
        <f>EXP(-LN(2)/25)*AV156+(1-EXP(-LN(2)/25))/(LN(2)/25)*Calculateur!AQ157*Calculateur!AS157*VLOOKUP('Données projet'!$B$10,Paramètres!$A$1:$I$89,3,0)*0.475*44/12</f>
        <v>0.89416067004928301</v>
      </c>
      <c r="AW157" s="21">
        <f>EXP(-LN(2)/2)*AW156+(1-EXP(-LN(2)/2))/(LN(2)/2)*AQ157*AT157*VLOOKUP('Données projet'!$B$10,Paramètres!$A$1:$I$89,3,0)*0.475*44/12</f>
        <v>4.6737545989095123E-18</v>
      </c>
      <c r="AX157" s="21">
        <f t="shared" si="166"/>
        <v>1.5205945830324668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553.99999999999955</v>
      </c>
      <c r="BE157" s="13">
        <f>BD157*VLOOKUP('Données projet'!$B$11,Paramètres!$A$1:$I$89,3,0)*VLOOKUP('Données projet'!$B$11,Paramètres!$A$1:$I$89,5,0)</f>
        <v>331.29199999999975</v>
      </c>
      <c r="BF157" s="13">
        <f t="shared" si="167"/>
        <v>77.698110787752</v>
      </c>
      <c r="BG157" s="20">
        <f t="shared" si="168"/>
        <v>712.32444295533423</v>
      </c>
      <c r="BH157" s="59">
        <f t="shared" si="116"/>
        <v>1005.6577762886675</v>
      </c>
      <c r="BI157" s="59">
        <f ca="1">AVERAGE(OFFSET($BH$3,0,0,'Données projet'!$E$11+1,1))-AVERAGE(OFFSET($H$3,0,0,'Données projet'!$E$11+1,1))</f>
        <v>316.58509520829671</v>
      </c>
      <c r="BJ157" s="59">
        <f t="shared" si="146"/>
        <v>240.71332110643596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0.21746738518315056</v>
      </c>
      <c r="BQ157" s="21">
        <f>EXP(-LN(2)/25)*BQ156+(1-EXP(-LN(2)/25))/(LN(2)/25)*Calculateur!BL157*Calculateur!BN157*VLOOKUP('Données projet'!$B$11,Paramètres!$A$1:$I$89,3,0)*0.475*44/12</f>
        <v>0.49053645518174666</v>
      </c>
      <c r="BR157" s="21">
        <f>EXP(-LN(2)/2)*BR156+(1-EXP(-LN(2)/2))/(LN(2)/2)*BL157*BO157*VLOOKUP('Données projet'!$B$11,Paramètres!$A$1:$I$89,3,0)*0.475*44/12</f>
        <v>4.7573366839103191E-18</v>
      </c>
      <c r="BS157" s="22">
        <f t="shared" si="169"/>
        <v>0.70800384036489716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-5.1159076974727213E-13</v>
      </c>
      <c r="BZ157" s="13">
        <f>BY157*VLOOKUP('Données projet'!$B$12,Paramètres!$A$1:$I$89,3,0)*VLOOKUP('Données projet'!$B$12,Paramètres!$A$1:$I$89,5,0)</f>
        <v>-4.0702161641092972E-13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260.20517190557814</v>
      </c>
      <c r="CE157" s="59">
        <f t="shared" si="148"/>
        <v>307.22009971147133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0.27996872797512357</v>
      </c>
      <c r="CL157" s="21">
        <f>EXP(-LN(2)/25)*CL156+(1-EXP(-LN(2)/25))/(LN(2)/25)*Calculateur!CG157*Calculateur!CI157*VLOOKUP('Données projet'!$B$12,Paramètres!$A$1:$I$89,3,0)*0.475*44/12</f>
        <v>0.65926522746416538</v>
      </c>
      <c r="CM157" s="21">
        <f>EXP(-LN(2)/2)*CM156+(1-EXP(-LN(2)/2))/(LN(2)/2)*CG157*CJ157*VLOOKUP('Données projet'!$B$12,Paramètres!$A$1:$I$89,3,0)*0.475*44/12</f>
        <v>5.2126346322585809E-18</v>
      </c>
      <c r="CN157" s="22">
        <f t="shared" si="172"/>
        <v>0.939233955439289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378.0000000000004</v>
      </c>
      <c r="CU157" s="17">
        <f>CT157*VLOOKUP('Données projet'!$B$13,Paramètres!$A$1:$I$89,3,0)*VLOOKUP('Données projet'!$B$13,Paramètres!$A$1:$I$89,5,0)</f>
        <v>324.32400000000035</v>
      </c>
      <c r="CV157" s="13">
        <f t="shared" si="173"/>
        <v>76.252341944982831</v>
      </c>
      <c r="CW157" s="20">
        <f t="shared" si="174"/>
        <v>697.67046222084571</v>
      </c>
      <c r="CX157" s="59">
        <f t="shared" si="122"/>
        <v>991.00379555417908</v>
      </c>
      <c r="CY157" s="59">
        <f ca="1">AVERAGE(OFFSET($CX$3,0,0,'Données projet'!$E$13+1,1))-AVERAGE(OFFSET($H$3,0,0,'Données projet'!$E$13+1,1))</f>
        <v>310.4018929413723</v>
      </c>
      <c r="CZ157" s="59">
        <f t="shared" si="150"/>
        <v>127.5231137583819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0.18915435840961789</v>
      </c>
      <c r="DH157" s="21">
        <f>EXP(-LN(2)/2)*DH156+(1-EXP(-LN(2)/2))/(LN(2)/2)*DB157*DE157*VLOOKUP('Données projet'!$B$13,Paramètres!$A$1:$I$89,3,0)*0.475*44/12</f>
        <v>1.9364512891293502E-18</v>
      </c>
      <c r="DI157" s="22">
        <f t="shared" si="175"/>
        <v>0.18915435840961789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>
        <f>DO157*VLOOKUP('Données projet'!$B$14,Paramètres!$A$1:$I$89,3,0)*VLOOKUP('Données projet'!$B$14,Paramètres!$A$1:$I$89,5,0)</f>
        <v>-3.7509835237869992E-13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234.09142087023463</v>
      </c>
      <c r="DU157" s="59">
        <f t="shared" si="152"/>
        <v>278.990685815294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0.20932918950711246</v>
      </c>
      <c r="EB157" s="21">
        <f>EXP(-LN(2)/25)*EB156+(1-EXP(-LN(2)/25))/(LN(2)/25)*Calculateur!DW157*Calculateur!DY157*VLOOKUP('Données projet'!$B$14,Paramètres!$A$1:$I$89,3,0)*0.475*44/12</f>
        <v>0.4929245374417614</v>
      </c>
      <c r="EC157" s="21">
        <f>EXP(-LN(2)/2)*EC156+(1-EXP(-LN(2)/2))/(LN(2)/2)*DW157*DZ157*VLOOKUP('Données projet'!$B$14,Paramètres!$A$1:$I$89,3,0)*0.475*44/12</f>
        <v>4.8038005434540335E-18</v>
      </c>
      <c r="ED157" s="22">
        <f t="shared" si="178"/>
        <v>0.70225372694887389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210.04871822652808</v>
      </c>
      <c r="AO158" s="59">
        <f t="shared" si="144"/>
        <v>250.17540614049324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0.61414992603654239</v>
      </c>
      <c r="AV158" s="21">
        <f>EXP(-LN(2)/25)*AV157+(1-EXP(-LN(2)/25))/(LN(2)/25)*Calculateur!AQ158*Calculateur!AS158*VLOOKUP('Données projet'!$B$10,Paramètres!$A$1:$I$89,3,0)*0.475*44/12</f>
        <v>0.86970979950491933</v>
      </c>
      <c r="AW158" s="21">
        <f>EXP(-LN(2)/2)*AW157+(1-EXP(-LN(2)/2))/(LN(2)/2)*AQ158*AT158*VLOOKUP('Données projet'!$B$10,Paramètres!$A$1:$I$89,3,0)*0.475*44/12</f>
        <v>3.3048435704907287E-18</v>
      </c>
      <c r="AX158" s="21">
        <f t="shared" si="166"/>
        <v>1.4838597255414618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553.99999999999955</v>
      </c>
      <c r="BE158" s="13">
        <f>BD158*VLOOKUP('Données projet'!$B$11,Paramètres!$A$1:$I$89,3,0)*VLOOKUP('Données projet'!$B$11,Paramètres!$A$1:$I$89,5,0)</f>
        <v>331.29199999999975</v>
      </c>
      <c r="BF158" s="13">
        <f t="shared" si="167"/>
        <v>77.698110787752</v>
      </c>
      <c r="BG158" s="20">
        <f t="shared" si="168"/>
        <v>712.32444295533423</v>
      </c>
      <c r="BH158" s="59">
        <f t="shared" si="116"/>
        <v>1005.6577762886675</v>
      </c>
      <c r="BI158" s="59">
        <f ca="1">AVERAGE(OFFSET($BH$3,0,0,'Données projet'!$E$11+1,1))-AVERAGE(OFFSET($H$3,0,0,'Données projet'!$E$11+1,1))</f>
        <v>316.58509520829671</v>
      </c>
      <c r="BJ158" s="59">
        <f t="shared" si="146"/>
        <v>240.71332110643596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0.21320298240171665</v>
      </c>
      <c r="BQ158" s="21">
        <f>EXP(-LN(2)/25)*BQ157+(1-EXP(-LN(2)/25))/(LN(2)/25)*Calculateur!BL158*Calculateur!BN158*VLOOKUP('Données projet'!$B$11,Paramètres!$A$1:$I$89,3,0)*0.475*44/12</f>
        <v>0.47712271001861073</v>
      </c>
      <c r="BR158" s="21">
        <f>EXP(-LN(2)/2)*BR157+(1-EXP(-LN(2)/2))/(LN(2)/2)*BL158*BO158*VLOOKUP('Données projet'!$B$11,Paramètres!$A$1:$I$89,3,0)*0.475*44/12</f>
        <v>3.3639450295805096E-18</v>
      </c>
      <c r="BS158" s="22">
        <f t="shared" si="169"/>
        <v>0.69032569242032737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-5.1159076974727213E-13</v>
      </c>
      <c r="BZ158" s="13">
        <f>BY158*VLOOKUP('Données projet'!$B$12,Paramètres!$A$1:$I$89,3,0)*VLOOKUP('Données projet'!$B$12,Paramètres!$A$1:$I$89,5,0)</f>
        <v>-4.0702161641092972E-13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260.20517190557814</v>
      </c>
      <c r="CE158" s="59">
        <f t="shared" si="148"/>
        <v>307.22009971147133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0.27447871198359391</v>
      </c>
      <c r="CL158" s="21">
        <f>EXP(-LN(2)/25)*CL157+(1-EXP(-LN(2)/25))/(LN(2)/25)*Calculateur!CG158*Calculateur!CI158*VLOOKUP('Données projet'!$B$12,Paramètres!$A$1:$I$89,3,0)*0.475*44/12</f>
        <v>0.64123758514990625</v>
      </c>
      <c r="CM158" s="21">
        <f>EXP(-LN(2)/2)*CM157+(1-EXP(-LN(2)/2))/(LN(2)/2)*CG158*CJ158*VLOOKUP('Données projet'!$B$12,Paramètres!$A$1:$I$89,3,0)*0.475*44/12</f>
        <v>3.6858892963178879E-18</v>
      </c>
      <c r="CN158" s="22">
        <f t="shared" si="172"/>
        <v>0.91571629713350022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378.0000000000004</v>
      </c>
      <c r="CU158" s="17">
        <f>CT158*VLOOKUP('Données projet'!$B$13,Paramètres!$A$1:$I$89,3,0)*VLOOKUP('Données projet'!$B$13,Paramètres!$A$1:$I$89,5,0)</f>
        <v>324.32400000000035</v>
      </c>
      <c r="CV158" s="13">
        <f t="shared" si="173"/>
        <v>76.252341944982831</v>
      </c>
      <c r="CW158" s="20">
        <f t="shared" si="174"/>
        <v>697.67046222084571</v>
      </c>
      <c r="CX158" s="59">
        <f t="shared" si="122"/>
        <v>991.00379555417908</v>
      </c>
      <c r="CY158" s="59">
        <f ca="1">AVERAGE(OFFSET($CX$3,0,0,'Données projet'!$E$13+1,1))-AVERAGE(OFFSET($H$3,0,0,'Données projet'!$E$13+1,1))</f>
        <v>310.4018929413723</v>
      </c>
      <c r="CZ158" s="59">
        <f t="shared" si="150"/>
        <v>127.5231137583819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0.1839819225317115</v>
      </c>
      <c r="DH158" s="21">
        <f>EXP(-LN(2)/2)*DH157+(1-EXP(-LN(2)/2))/(LN(2)/2)*DB158*DE158*VLOOKUP('Données projet'!$B$13,Paramètres!$A$1:$I$89,3,0)*0.475*44/12</f>
        <v>1.3692778379807953E-18</v>
      </c>
      <c r="DI158" s="22">
        <f t="shared" si="175"/>
        <v>0.1839819225317115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>
        <f>DO158*VLOOKUP('Données projet'!$B$14,Paramètres!$A$1:$I$89,3,0)*VLOOKUP('Données projet'!$B$14,Paramètres!$A$1:$I$89,5,0)</f>
        <v>-3.7509835237869992E-13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234.09142087023463</v>
      </c>
      <c r="DU158" s="59">
        <f t="shared" si="152"/>
        <v>278.990685815294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0.2052243717790764</v>
      </c>
      <c r="EB158" s="21">
        <f>EXP(-LN(2)/25)*EB157+(1-EXP(-LN(2)/25))/(LN(2)/25)*Calculateur!DW158*Calculateur!DY158*VLOOKUP('Données projet'!$B$14,Paramètres!$A$1:$I$89,3,0)*0.475*44/12</f>
        <v>0.47944549004364162</v>
      </c>
      <c r="EC158" s="21">
        <f>EXP(-LN(2)/2)*EC157+(1-EXP(-LN(2)/2))/(LN(2)/2)*DW158*DZ158*VLOOKUP('Données projet'!$B$14,Paramètres!$A$1:$I$89,3,0)*0.475*44/12</f>
        <v>3.3967999397439698E-18</v>
      </c>
      <c r="ED158" s="22">
        <f t="shared" si="178"/>
        <v>0.68466986182271805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210.04871822652808</v>
      </c>
      <c r="AO159" s="59">
        <f t="shared" si="144"/>
        <v>250.17540614049324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0.6021068205814325</v>
      </c>
      <c r="AV159" s="21">
        <f>EXP(-LN(2)/25)*AV158+(1-EXP(-LN(2)/25))/(LN(2)/25)*Calculateur!AQ159*Calculateur!AS159*VLOOKUP('Données projet'!$B$10,Paramètres!$A$1:$I$89,3,0)*0.475*44/12</f>
        <v>0.84592753930140674</v>
      </c>
      <c r="AW159" s="21">
        <f>EXP(-LN(2)/2)*AW158+(1-EXP(-LN(2)/2))/(LN(2)/2)*AQ159*AT159*VLOOKUP('Données projet'!$B$10,Paramètres!$A$1:$I$89,3,0)*0.475*44/12</f>
        <v>2.3368772994547561E-18</v>
      </c>
      <c r="AX159" s="21">
        <f t="shared" si="166"/>
        <v>1.4480343598828394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553.99999999999955</v>
      </c>
      <c r="BE159" s="13">
        <f>BD159*VLOOKUP('Données projet'!$B$11,Paramètres!$A$1:$I$89,3,0)*VLOOKUP('Données projet'!$B$11,Paramètres!$A$1:$I$89,5,0)</f>
        <v>331.29199999999975</v>
      </c>
      <c r="BF159" s="13">
        <f t="shared" si="167"/>
        <v>77.698110787752</v>
      </c>
      <c r="BG159" s="20">
        <f t="shared" si="168"/>
        <v>712.32444295533423</v>
      </c>
      <c r="BH159" s="59">
        <f t="shared" si="116"/>
        <v>1005.6577762886675</v>
      </c>
      <c r="BI159" s="59">
        <f ca="1">AVERAGE(OFFSET($BH$3,0,0,'Données projet'!$E$11+1,1))-AVERAGE(OFFSET($H$3,0,0,'Données projet'!$E$11+1,1))</f>
        <v>316.58509520829671</v>
      </c>
      <c r="BJ159" s="59">
        <f t="shared" si="146"/>
        <v>240.71332110643596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0.20902220195779778</v>
      </c>
      <c r="BQ159" s="21">
        <f>EXP(-LN(2)/25)*BQ158+(1-EXP(-LN(2)/25))/(LN(2)/25)*Calculateur!BL159*Calculateur!BN159*VLOOKUP('Données projet'!$B$11,Paramètres!$A$1:$I$89,3,0)*0.475*44/12</f>
        <v>0.46407576442235898</v>
      </c>
      <c r="BR159" s="21">
        <f>EXP(-LN(2)/2)*BR158+(1-EXP(-LN(2)/2))/(LN(2)/2)*BL159*BO159*VLOOKUP('Données projet'!$B$11,Paramètres!$A$1:$I$89,3,0)*0.475*44/12</f>
        <v>2.3786683419551595E-18</v>
      </c>
      <c r="BS159" s="22">
        <f t="shared" si="169"/>
        <v>0.67309796638015673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-5.1159076974727213E-13</v>
      </c>
      <c r="BZ159" s="13">
        <f>BY159*VLOOKUP('Données projet'!$B$12,Paramètres!$A$1:$I$89,3,0)*VLOOKUP('Données projet'!$B$12,Paramètres!$A$1:$I$89,5,0)</f>
        <v>-4.0702161641092972E-13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260.20517190557814</v>
      </c>
      <c r="CE159" s="59">
        <f t="shared" si="148"/>
        <v>307.22009971147133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0.26909635185707903</v>
      </c>
      <c r="CL159" s="21">
        <f>EXP(-LN(2)/25)*CL158+(1-EXP(-LN(2)/25))/(LN(2)/25)*Calculateur!CG159*Calculateur!CI159*VLOOKUP('Données projet'!$B$12,Paramètres!$A$1:$I$89,3,0)*0.475*44/12</f>
        <v>0.62370290966276298</v>
      </c>
      <c r="CM159" s="21">
        <f>EXP(-LN(2)/2)*CM158+(1-EXP(-LN(2)/2))/(LN(2)/2)*CG159*CJ159*VLOOKUP('Données projet'!$B$12,Paramètres!$A$1:$I$89,3,0)*0.475*44/12</f>
        <v>2.6063173161292904E-18</v>
      </c>
      <c r="CN159" s="22">
        <f t="shared" si="172"/>
        <v>0.89279926151984201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378.0000000000004</v>
      </c>
      <c r="CU159" s="17">
        <f>CT159*VLOOKUP('Données projet'!$B$13,Paramètres!$A$1:$I$89,3,0)*VLOOKUP('Données projet'!$B$13,Paramètres!$A$1:$I$89,5,0)</f>
        <v>324.32400000000035</v>
      </c>
      <c r="CV159" s="13">
        <f t="shared" si="173"/>
        <v>76.252341944982831</v>
      </c>
      <c r="CW159" s="20">
        <f t="shared" si="174"/>
        <v>697.67046222084571</v>
      </c>
      <c r="CX159" s="59">
        <f t="shared" si="122"/>
        <v>991.00379555417908</v>
      </c>
      <c r="CY159" s="59">
        <f ca="1">AVERAGE(OFFSET($CX$3,0,0,'Données projet'!$E$13+1,1))-AVERAGE(OFFSET($H$3,0,0,'Données projet'!$E$13+1,1))</f>
        <v>310.4018929413723</v>
      </c>
      <c r="CZ159" s="59">
        <f t="shared" si="150"/>
        <v>127.5231137583819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0.17895092718489303</v>
      </c>
      <c r="DH159" s="21">
        <f>EXP(-LN(2)/2)*DH158+(1-EXP(-LN(2)/2))/(LN(2)/2)*DB159*DE159*VLOOKUP('Données projet'!$B$13,Paramètres!$A$1:$I$89,3,0)*0.475*44/12</f>
        <v>9.6822564456467508E-19</v>
      </c>
      <c r="DI159" s="22">
        <f t="shared" si="175"/>
        <v>0.17895092718489303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>
        <f>DO159*VLOOKUP('Données projet'!$B$14,Paramètres!$A$1:$I$89,3,0)*VLOOKUP('Données projet'!$B$14,Paramètres!$A$1:$I$89,5,0)</f>
        <v>-3.7509835237869992E-13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234.09142087023463</v>
      </c>
      <c r="DU159" s="59">
        <f t="shared" si="152"/>
        <v>278.990685815294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0.20120004702299554</v>
      </c>
      <c r="EB159" s="21">
        <f>EXP(-LN(2)/25)*EB158+(1-EXP(-LN(2)/25))/(LN(2)/25)*Calculateur!DW159*Calculateur!DY159*VLOOKUP('Données projet'!$B$14,Paramètres!$A$1:$I$89,3,0)*0.475*44/12</f>
        <v>0.46633502790545572</v>
      </c>
      <c r="EC159" s="21">
        <f>EXP(-LN(2)/2)*EC158+(1-EXP(-LN(2)/2))/(LN(2)/2)*DW159*DZ159*VLOOKUP('Données projet'!$B$14,Paramètres!$A$1:$I$89,3,0)*0.475*44/12</f>
        <v>2.4019002717270171E-18</v>
      </c>
      <c r="ED159" s="22">
        <f t="shared" si="178"/>
        <v>0.66753507492845121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210.04871822652808</v>
      </c>
      <c r="AO160" s="59">
        <f t="shared" si="144"/>
        <v>250.17540614049324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0.59029987307872833</v>
      </c>
      <c r="AV160" s="21">
        <f>EXP(-LN(2)/25)*AV159+(1-EXP(-LN(2)/25))/(LN(2)/25)*Calculateur!AQ160*Calculateur!AS160*VLOOKUP('Données projet'!$B$10,Paramètres!$A$1:$I$89,3,0)*0.475*44/12</f>
        <v>0.82279560625381387</v>
      </c>
      <c r="AW160" s="21">
        <f>EXP(-LN(2)/2)*AW159+(1-EXP(-LN(2)/2))/(LN(2)/2)*AQ160*AT160*VLOOKUP('Données projet'!$B$10,Paramètres!$A$1:$I$89,3,0)*0.475*44/12</f>
        <v>1.6524217852453644E-18</v>
      </c>
      <c r="AX160" s="21">
        <f t="shared" si="166"/>
        <v>1.4130954793325423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553.99999999999955</v>
      </c>
      <c r="BE160" s="13">
        <f>BD160*VLOOKUP('Données projet'!$B$11,Paramètres!$A$1:$I$89,3,0)*VLOOKUP('Données projet'!$B$11,Paramètres!$A$1:$I$89,5,0)</f>
        <v>331.29199999999975</v>
      </c>
      <c r="BF160" s="13">
        <f t="shared" si="167"/>
        <v>77.698110787752</v>
      </c>
      <c r="BG160" s="20">
        <f t="shared" si="168"/>
        <v>712.32444295533423</v>
      </c>
      <c r="BH160" s="59">
        <f t="shared" si="116"/>
        <v>1005.6577762886675</v>
      </c>
      <c r="BI160" s="59">
        <f ca="1">AVERAGE(OFFSET($BH$3,0,0,'Données projet'!$E$11+1,1))-AVERAGE(OFFSET($H$3,0,0,'Données projet'!$E$11+1,1))</f>
        <v>316.58509520829671</v>
      </c>
      <c r="BJ160" s="59">
        <f t="shared" si="146"/>
        <v>240.71332110643596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0.20492340406835988</v>
      </c>
      <c r="BQ160" s="21">
        <f>EXP(-LN(2)/25)*BQ159+(1-EXP(-LN(2)/25))/(LN(2)/25)*Calculateur!BL160*Calculateur!BN160*VLOOKUP('Données projet'!$B$11,Paramètres!$A$1:$I$89,3,0)*0.475*44/12</f>
        <v>0.45138558823954578</v>
      </c>
      <c r="BR160" s="21">
        <f>EXP(-LN(2)/2)*BR159+(1-EXP(-LN(2)/2))/(LN(2)/2)*BL160*BO160*VLOOKUP('Données projet'!$B$11,Paramètres!$A$1:$I$89,3,0)*0.475*44/12</f>
        <v>1.6819725147902548E-18</v>
      </c>
      <c r="BS160" s="22">
        <f t="shared" si="169"/>
        <v>0.65630899230790563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-5.1159076974727213E-13</v>
      </c>
      <c r="BZ160" s="13">
        <f>BY160*VLOOKUP('Données projet'!$B$12,Paramètres!$A$1:$I$89,3,0)*VLOOKUP('Données projet'!$B$12,Paramètres!$A$1:$I$89,5,0)</f>
        <v>-4.0702161641092972E-13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260.20517190557814</v>
      </c>
      <c r="CE160" s="59">
        <f t="shared" si="148"/>
        <v>307.22009971147133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0.26381953652972961</v>
      </c>
      <c r="CL160" s="21">
        <f>EXP(-LN(2)/25)*CL159+(1-EXP(-LN(2)/25))/(LN(2)/25)*Calculateur!CG160*Calculateur!CI160*VLOOKUP('Données projet'!$B$12,Paramètres!$A$1:$I$89,3,0)*0.475*44/12</f>
        <v>0.60664772079892415</v>
      </c>
      <c r="CM160" s="21">
        <f>EXP(-LN(2)/2)*CM159+(1-EXP(-LN(2)/2))/(LN(2)/2)*CG160*CJ160*VLOOKUP('Données projet'!$B$12,Paramètres!$A$1:$I$89,3,0)*0.475*44/12</f>
        <v>1.842944648158944E-18</v>
      </c>
      <c r="CN160" s="22">
        <f t="shared" si="172"/>
        <v>0.87046725732865382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378.0000000000004</v>
      </c>
      <c r="CU160" s="17">
        <f>CT160*VLOOKUP('Données projet'!$B$13,Paramètres!$A$1:$I$89,3,0)*VLOOKUP('Données projet'!$B$13,Paramètres!$A$1:$I$89,5,0)</f>
        <v>324.32400000000035</v>
      </c>
      <c r="CV160" s="13">
        <f t="shared" si="173"/>
        <v>76.252341944982831</v>
      </c>
      <c r="CW160" s="20">
        <f t="shared" si="174"/>
        <v>697.67046222084571</v>
      </c>
      <c r="CX160" s="59">
        <f t="shared" si="122"/>
        <v>991.00379555417908</v>
      </c>
      <c r="CY160" s="59">
        <f ca="1">AVERAGE(OFFSET($CX$3,0,0,'Données projet'!$E$13+1,1))-AVERAGE(OFFSET($H$3,0,0,'Données projet'!$E$13+1,1))</f>
        <v>310.4018929413723</v>
      </c>
      <c r="CZ160" s="59">
        <f t="shared" si="150"/>
        <v>127.5231137583819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0.17405750467040187</v>
      </c>
      <c r="DH160" s="21">
        <f>EXP(-LN(2)/2)*DH159+(1-EXP(-LN(2)/2))/(LN(2)/2)*DB160*DE160*VLOOKUP('Données projet'!$B$13,Paramètres!$A$1:$I$89,3,0)*0.475*44/12</f>
        <v>6.8463891899039764E-19</v>
      </c>
      <c r="DI160" s="22">
        <f t="shared" si="175"/>
        <v>0.17405750467040187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>
        <f>DO160*VLOOKUP('Données projet'!$B$14,Paramètres!$A$1:$I$89,3,0)*VLOOKUP('Données projet'!$B$14,Paramètres!$A$1:$I$89,5,0)</f>
        <v>-3.7509835237869992E-13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234.09142087023463</v>
      </c>
      <c r="DU160" s="59">
        <f t="shared" si="152"/>
        <v>278.990685815294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0.1972546368207857</v>
      </c>
      <c r="EB160" s="21">
        <f>EXP(-LN(2)/25)*EB159+(1-EXP(-LN(2)/25))/(LN(2)/25)*Calculateur!DW160*Calculateur!DY160*VLOOKUP('Données projet'!$B$14,Paramètres!$A$1:$I$89,3,0)*0.475*44/12</f>
        <v>0.45358307204388776</v>
      </c>
      <c r="EC160" s="21">
        <f>EXP(-LN(2)/2)*EC159+(1-EXP(-LN(2)/2))/(LN(2)/2)*DW160*DZ160*VLOOKUP('Données projet'!$B$14,Paramètres!$A$1:$I$89,3,0)*0.475*44/12</f>
        <v>1.6983999698719851E-18</v>
      </c>
      <c r="ED160" s="22">
        <f t="shared" si="178"/>
        <v>0.65083770886467351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210.04871822652808</v>
      </c>
      <c r="AO161" s="59">
        <f t="shared" si="144"/>
        <v>250.17540614049324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0.57872445261502536</v>
      </c>
      <c r="AV161" s="21">
        <f>EXP(-LN(2)/25)*AV160+(1-EXP(-LN(2)/25))/(LN(2)/25)*Calculateur!AQ161*Calculateur!AS161*VLOOKUP('Données projet'!$B$10,Paramètres!$A$1:$I$89,3,0)*0.475*44/12</f>
        <v>0.80029621713186294</v>
      </c>
      <c r="AW161" s="21">
        <f>EXP(-LN(2)/2)*AW160+(1-EXP(-LN(2)/2))/(LN(2)/2)*AQ161*AT161*VLOOKUP('Données projet'!$B$10,Paramètres!$A$1:$I$89,3,0)*0.475*44/12</f>
        <v>1.1684386497273781E-18</v>
      </c>
      <c r="AX161" s="21">
        <f t="shared" si="166"/>
        <v>1.3790206697468883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553.99999999999955</v>
      </c>
      <c r="BE161" s="13">
        <f>BD161*VLOOKUP('Données projet'!$B$11,Paramètres!$A$1:$I$89,3,0)*VLOOKUP('Données projet'!$B$11,Paramètres!$A$1:$I$89,5,0)</f>
        <v>331.29199999999975</v>
      </c>
      <c r="BF161" s="13">
        <f t="shared" si="167"/>
        <v>77.698110787752</v>
      </c>
      <c r="BG161" s="20">
        <f t="shared" si="168"/>
        <v>712.32444295533423</v>
      </c>
      <c r="BH161" s="59">
        <f t="shared" si="116"/>
        <v>1005.6577762886675</v>
      </c>
      <c r="BI161" s="59">
        <f ca="1">AVERAGE(OFFSET($BH$3,0,0,'Données projet'!$E$11+1,1))-AVERAGE(OFFSET($H$3,0,0,'Données projet'!$E$11+1,1))</f>
        <v>316.58509520829671</v>
      </c>
      <c r="BJ161" s="59">
        <f t="shared" si="146"/>
        <v>240.71332110643596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0.200904981105514</v>
      </c>
      <c r="BQ161" s="21">
        <f>EXP(-LN(2)/25)*BQ160+(1-EXP(-LN(2)/25))/(LN(2)/25)*Calculateur!BL161*Calculateur!BN161*VLOOKUP('Données projet'!$B$11,Paramètres!$A$1:$I$89,3,0)*0.475*44/12</f>
        <v>0.43904242559179896</v>
      </c>
      <c r="BR161" s="21">
        <f>EXP(-LN(2)/2)*BR160+(1-EXP(-LN(2)/2))/(LN(2)/2)*BL161*BO161*VLOOKUP('Données projet'!$B$11,Paramètres!$A$1:$I$89,3,0)*0.475*44/12</f>
        <v>1.1893341709775798E-18</v>
      </c>
      <c r="BS161" s="22">
        <f t="shared" si="169"/>
        <v>0.63994740669731298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-5.1159076974727213E-13</v>
      </c>
      <c r="BZ161" s="13">
        <f>BY161*VLOOKUP('Données projet'!$B$12,Paramètres!$A$1:$I$89,3,0)*VLOOKUP('Données projet'!$B$12,Paramètres!$A$1:$I$89,5,0)</f>
        <v>-4.0702161641092972E-13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260.20517190557814</v>
      </c>
      <c r="CE161" s="59">
        <f t="shared" si="148"/>
        <v>307.22009971147133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0.25864619633240998</v>
      </c>
      <c r="CL161" s="21">
        <f>EXP(-LN(2)/25)*CL160+(1-EXP(-LN(2)/25))/(LN(2)/25)*Calculateur!CG161*Calculateur!CI161*VLOOKUP('Données projet'!$B$12,Paramètres!$A$1:$I$89,3,0)*0.475*44/12</f>
        <v>0.59005890697146046</v>
      </c>
      <c r="CM161" s="21">
        <f>EXP(-LN(2)/2)*CM160+(1-EXP(-LN(2)/2))/(LN(2)/2)*CG161*CJ161*VLOOKUP('Données projet'!$B$12,Paramètres!$A$1:$I$89,3,0)*0.475*44/12</f>
        <v>1.3031586580646452E-18</v>
      </c>
      <c r="CN161" s="22">
        <f t="shared" si="172"/>
        <v>0.84870510330387039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378.0000000000004</v>
      </c>
      <c r="CU161" s="17">
        <f>CT161*VLOOKUP('Données projet'!$B$13,Paramètres!$A$1:$I$89,3,0)*VLOOKUP('Données projet'!$B$13,Paramètres!$A$1:$I$89,5,0)</f>
        <v>324.32400000000035</v>
      </c>
      <c r="CV161" s="13">
        <f t="shared" si="173"/>
        <v>76.252341944982831</v>
      </c>
      <c r="CW161" s="20">
        <f t="shared" si="174"/>
        <v>697.67046222084571</v>
      </c>
      <c r="CX161" s="59">
        <f t="shared" si="122"/>
        <v>991.00379555417908</v>
      </c>
      <c r="CY161" s="59">
        <f ca="1">AVERAGE(OFFSET($CX$3,0,0,'Données projet'!$E$13+1,1))-AVERAGE(OFFSET($H$3,0,0,'Données projet'!$E$13+1,1))</f>
        <v>310.4018929413723</v>
      </c>
      <c r="CZ161" s="59">
        <f t="shared" si="150"/>
        <v>127.5231137583819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0.16929789305190338</v>
      </c>
      <c r="DH161" s="21">
        <f>EXP(-LN(2)/2)*DH160+(1-EXP(-LN(2)/2))/(LN(2)/2)*DB161*DE161*VLOOKUP('Données projet'!$B$13,Paramètres!$A$1:$I$89,3,0)*0.475*44/12</f>
        <v>4.8411282228233754E-19</v>
      </c>
      <c r="DI161" s="22">
        <f t="shared" si="175"/>
        <v>0.16929789305190338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>
        <f>DO161*VLOOKUP('Données projet'!$B$14,Paramètres!$A$1:$I$89,3,0)*VLOOKUP('Données projet'!$B$14,Paramètres!$A$1:$I$89,5,0)</f>
        <v>-3.7509835237869992E-13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234.09142087023463</v>
      </c>
      <c r="DU161" s="59">
        <f t="shared" si="152"/>
        <v>278.990685815294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0.19338659370617858</v>
      </c>
      <c r="EB161" s="21">
        <f>EXP(-LN(2)/25)*EB160+(1-EXP(-LN(2)/25))/(LN(2)/25)*Calculateur!DW161*Calculateur!DY161*VLOOKUP('Données projet'!$B$14,Paramètres!$A$1:$I$89,3,0)*0.475*44/12</f>
        <v>0.44117981908595055</v>
      </c>
      <c r="EC161" s="21">
        <f>EXP(-LN(2)/2)*EC160+(1-EXP(-LN(2)/2))/(LN(2)/2)*DW161*DZ161*VLOOKUP('Données projet'!$B$14,Paramètres!$A$1:$I$89,3,0)*0.475*44/12</f>
        <v>1.2009501358635088E-18</v>
      </c>
      <c r="ED161" s="22">
        <f t="shared" si="178"/>
        <v>0.63456641279212911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210.04871822652808</v>
      </c>
      <c r="AO162" s="59">
        <f t="shared" si="144"/>
        <v>250.17540614049324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0.56737601908630619</v>
      </c>
      <c r="AV162" s="21">
        <f>EXP(-LN(2)/25)*AV161+(1-EXP(-LN(2)/25))/(LN(2)/25)*Calculateur!AQ162*Calculateur!AS162*VLOOKUP('Données projet'!$B$10,Paramètres!$A$1:$I$89,3,0)*0.475*44/12</f>
        <v>0.77841207498864318</v>
      </c>
      <c r="AW162" s="21">
        <f>EXP(-LN(2)/2)*AW161+(1-EXP(-LN(2)/2))/(LN(2)/2)*AQ162*AT162*VLOOKUP('Données projet'!$B$10,Paramètres!$A$1:$I$89,3,0)*0.475*44/12</f>
        <v>8.2621089262268218E-19</v>
      </c>
      <c r="AX162" s="21">
        <f t="shared" si="166"/>
        <v>1.3457880940749494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553.99999999999955</v>
      </c>
      <c r="BE162" s="13">
        <f>BD162*VLOOKUP('Données projet'!$B$11,Paramètres!$A$1:$I$89,3,0)*VLOOKUP('Données projet'!$B$11,Paramètres!$A$1:$I$89,5,0)</f>
        <v>331.29199999999975</v>
      </c>
      <c r="BF162" s="13">
        <f t="shared" si="167"/>
        <v>77.698110787752</v>
      </c>
      <c r="BG162" s="20">
        <f t="shared" si="168"/>
        <v>712.32444295533423</v>
      </c>
      <c r="BH162" s="59">
        <f t="shared" si="116"/>
        <v>1005.6577762886675</v>
      </c>
      <c r="BI162" s="59">
        <f ca="1">AVERAGE(OFFSET($BH$3,0,0,'Données projet'!$E$11+1,1))-AVERAGE(OFFSET($H$3,0,0,'Données projet'!$E$11+1,1))</f>
        <v>316.58509520829671</v>
      </c>
      <c r="BJ162" s="59">
        <f t="shared" si="146"/>
        <v>240.71332110643596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0.19696535696597353</v>
      </c>
      <c r="BQ162" s="21">
        <f>EXP(-LN(2)/25)*BQ161+(1-EXP(-LN(2)/25))/(LN(2)/25)*Calculateur!BL162*Calculateur!BN162*VLOOKUP('Données projet'!$B$11,Paramètres!$A$1:$I$89,3,0)*0.475*44/12</f>
        <v>0.42703678737575351</v>
      </c>
      <c r="BR162" s="21">
        <f>EXP(-LN(2)/2)*BR161+(1-EXP(-LN(2)/2))/(LN(2)/2)*BL162*BO162*VLOOKUP('Données projet'!$B$11,Paramètres!$A$1:$I$89,3,0)*0.475*44/12</f>
        <v>8.4098625739512741E-19</v>
      </c>
      <c r="BS162" s="22">
        <f t="shared" si="169"/>
        <v>0.62400214434172707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-5.1159076974727213E-13</v>
      </c>
      <c r="BZ162" s="13">
        <f>BY162*VLOOKUP('Données projet'!$B$12,Paramètres!$A$1:$I$89,3,0)*VLOOKUP('Données projet'!$B$12,Paramètres!$A$1:$I$89,5,0)</f>
        <v>-4.0702161641092972E-13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260.20517190557814</v>
      </c>
      <c r="CE162" s="59">
        <f t="shared" si="148"/>
        <v>307.22009971147133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0.2535743021809338</v>
      </c>
      <c r="CL162" s="21">
        <f>EXP(-LN(2)/25)*CL161+(1-EXP(-LN(2)/25))/(LN(2)/25)*Calculateur!CG162*Calculateur!CI162*VLOOKUP('Données projet'!$B$12,Paramètres!$A$1:$I$89,3,0)*0.475*44/12</f>
        <v>0.57392371513047657</v>
      </c>
      <c r="CM162" s="21">
        <f>EXP(-LN(2)/2)*CM161+(1-EXP(-LN(2)/2))/(LN(2)/2)*CG162*CJ162*VLOOKUP('Données projet'!$B$12,Paramètres!$A$1:$I$89,3,0)*0.475*44/12</f>
        <v>9.2147232407947199E-19</v>
      </c>
      <c r="CN162" s="22">
        <f t="shared" si="172"/>
        <v>0.82749801731141037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378.0000000000004</v>
      </c>
      <c r="CU162" s="17">
        <f>CT162*VLOOKUP('Données projet'!$B$13,Paramètres!$A$1:$I$89,3,0)*VLOOKUP('Données projet'!$B$13,Paramètres!$A$1:$I$89,5,0)</f>
        <v>324.32400000000035</v>
      </c>
      <c r="CV162" s="13">
        <f t="shared" si="173"/>
        <v>76.252341944982831</v>
      </c>
      <c r="CW162" s="20">
        <f t="shared" si="174"/>
        <v>697.67046222084571</v>
      </c>
      <c r="CX162" s="59">
        <f t="shared" si="122"/>
        <v>991.00379555417908</v>
      </c>
      <c r="CY162" s="59">
        <f ca="1">AVERAGE(OFFSET($CX$3,0,0,'Données projet'!$E$13+1,1))-AVERAGE(OFFSET($H$3,0,0,'Données projet'!$E$13+1,1))</f>
        <v>310.4018929413723</v>
      </c>
      <c r="CZ162" s="59">
        <f t="shared" si="150"/>
        <v>127.5231137583819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0.16466843326340982</v>
      </c>
      <c r="DH162" s="21">
        <f>EXP(-LN(2)/2)*DH161+(1-EXP(-LN(2)/2))/(LN(2)/2)*DB162*DE162*VLOOKUP('Données projet'!$B$13,Paramètres!$A$1:$I$89,3,0)*0.475*44/12</f>
        <v>3.4231945949519882E-19</v>
      </c>
      <c r="DI162" s="22">
        <f t="shared" si="175"/>
        <v>0.16466843326340982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>
        <f>DO162*VLOOKUP('Données projet'!$B$14,Paramètres!$A$1:$I$89,3,0)*VLOOKUP('Données projet'!$B$14,Paramètres!$A$1:$I$89,5,0)</f>
        <v>-3.7509835237869992E-13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234.09142087023463</v>
      </c>
      <c r="DU162" s="59">
        <f t="shared" si="152"/>
        <v>278.990685815294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0.18959440055777557</v>
      </c>
      <c r="EB162" s="21">
        <f>EXP(-LN(2)/25)*EB161+(1-EXP(-LN(2)/25))/(LN(2)/25)*Calculateur!DW162*Calculateur!DY162*VLOOKUP('Données projet'!$B$14,Paramètres!$A$1:$I$89,3,0)*0.475*44/12</f>
        <v>0.42911573373240686</v>
      </c>
      <c r="EC162" s="21">
        <f>EXP(-LN(2)/2)*EC161+(1-EXP(-LN(2)/2))/(LN(2)/2)*DW162*DZ162*VLOOKUP('Données projet'!$B$14,Paramètres!$A$1:$I$89,3,0)*0.475*44/12</f>
        <v>8.4919998493599263E-19</v>
      </c>
      <c r="ED162" s="22">
        <f t="shared" si="178"/>
        <v>0.6187101342901824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210.04871822652808</v>
      </c>
      <c r="AO163" s="59">
        <f t="shared" si="144"/>
        <v>250.17540614049324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0.5562501214172243</v>
      </c>
      <c r="AV163" s="21">
        <f>EXP(-LN(2)/25)*AV162+(1-EXP(-LN(2)/25))/(LN(2)/25)*Calculateur!AQ163*Calculateur!AS163*VLOOKUP('Données projet'!$B$10,Paramètres!$A$1:$I$89,3,0)*0.475*44/12</f>
        <v>0.75712635586316679</v>
      </c>
      <c r="AW163" s="21">
        <f>EXP(-LN(2)/2)*AW162+(1-EXP(-LN(2)/2))/(LN(2)/2)*AQ163*AT163*VLOOKUP('Données projet'!$B$10,Paramètres!$A$1:$I$89,3,0)*0.475*44/12</f>
        <v>5.8421932486368904E-19</v>
      </c>
      <c r="AX163" s="21">
        <f t="shared" si="166"/>
        <v>1.3133764772803911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553.99999999999955</v>
      </c>
      <c r="BE163" s="13">
        <f>BD163*VLOOKUP('Données projet'!$B$11,Paramètres!$A$1:$I$89,3,0)*VLOOKUP('Données projet'!$B$11,Paramètres!$A$1:$I$89,5,0)</f>
        <v>331.29199999999975</v>
      </c>
      <c r="BF163" s="13">
        <f t="shared" si="167"/>
        <v>77.698110787752</v>
      </c>
      <c r="BG163" s="20">
        <f t="shared" si="168"/>
        <v>712.32444295533423</v>
      </c>
      <c r="BH163" s="59">
        <f t="shared" si="116"/>
        <v>1005.6577762886675</v>
      </c>
      <c r="BI163" s="59">
        <f ca="1">AVERAGE(OFFSET($BH$3,0,0,'Données projet'!$E$11+1,1))-AVERAGE(OFFSET($H$3,0,0,'Données projet'!$E$11+1,1))</f>
        <v>316.58509520829671</v>
      </c>
      <c r="BJ163" s="59">
        <f t="shared" si="146"/>
        <v>240.71332110643596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0.19310298645287599</v>
      </c>
      <c r="BQ163" s="21">
        <f>EXP(-LN(2)/25)*BQ162+(1-EXP(-LN(2)/25))/(LN(2)/25)*Calculateur!BL163*Calculateur!BN163*VLOOKUP('Données projet'!$B$11,Paramètres!$A$1:$I$89,3,0)*0.475*44/12</f>
        <v>0.41535944396807489</v>
      </c>
      <c r="BR163" s="21">
        <f>EXP(-LN(2)/2)*BR162+(1-EXP(-LN(2)/2))/(LN(2)/2)*BL163*BO163*VLOOKUP('Données projet'!$B$11,Paramètres!$A$1:$I$89,3,0)*0.475*44/12</f>
        <v>5.9466708548878988E-19</v>
      </c>
      <c r="BS163" s="22">
        <f t="shared" si="169"/>
        <v>0.60846243042095094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-5.1159076974727213E-13</v>
      </c>
      <c r="BZ163" s="13">
        <f>BY163*VLOOKUP('Données projet'!$B$12,Paramètres!$A$1:$I$89,3,0)*VLOOKUP('Données projet'!$B$12,Paramètres!$A$1:$I$89,5,0)</f>
        <v>-4.0702161641092972E-13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260.20517190557814</v>
      </c>
      <c r="CE163" s="59">
        <f t="shared" si="148"/>
        <v>307.22009971147133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0.24860186478021812</v>
      </c>
      <c r="CL163" s="21">
        <f>EXP(-LN(2)/25)*CL162+(1-EXP(-LN(2)/25))/(LN(2)/25)*Calculateur!CG163*Calculateur!CI163*VLOOKUP('Données projet'!$B$12,Paramètres!$A$1:$I$89,3,0)*0.475*44/12</f>
        <v>0.55822974095889721</v>
      </c>
      <c r="CM163" s="21">
        <f>EXP(-LN(2)/2)*CM162+(1-EXP(-LN(2)/2))/(LN(2)/2)*CG163*CJ163*VLOOKUP('Données projet'!$B$12,Paramètres!$A$1:$I$89,3,0)*0.475*44/12</f>
        <v>6.5157932903232261E-19</v>
      </c>
      <c r="CN163" s="22">
        <f t="shared" si="172"/>
        <v>0.80683160573911539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378.0000000000004</v>
      </c>
      <c r="CU163" s="17">
        <f>CT163*VLOOKUP('Données projet'!$B$13,Paramètres!$A$1:$I$89,3,0)*VLOOKUP('Données projet'!$B$13,Paramètres!$A$1:$I$89,5,0)</f>
        <v>324.32400000000035</v>
      </c>
      <c r="CV163" s="13">
        <f t="shared" si="173"/>
        <v>76.252341944982831</v>
      </c>
      <c r="CW163" s="20">
        <f t="shared" si="174"/>
        <v>697.67046222084571</v>
      </c>
      <c r="CX163" s="59">
        <f t="shared" si="122"/>
        <v>991.00379555417908</v>
      </c>
      <c r="CY163" s="59">
        <f ca="1">AVERAGE(OFFSET($CX$3,0,0,'Données projet'!$E$13+1,1))-AVERAGE(OFFSET($H$3,0,0,'Données projet'!$E$13+1,1))</f>
        <v>310.4018929413723</v>
      </c>
      <c r="CZ163" s="59">
        <f t="shared" si="150"/>
        <v>127.5231137583819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0.16016556629628534</v>
      </c>
      <c r="DH163" s="21">
        <f>EXP(-LN(2)/2)*DH162+(1-EXP(-LN(2)/2))/(LN(2)/2)*DB163*DE163*VLOOKUP('Données projet'!$B$13,Paramètres!$A$1:$I$89,3,0)*0.475*44/12</f>
        <v>2.4205641114116877E-19</v>
      </c>
      <c r="DI163" s="22">
        <f t="shared" si="175"/>
        <v>0.16016556629628534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>
        <f>DO163*VLOOKUP('Données projet'!$B$14,Paramètres!$A$1:$I$89,3,0)*VLOOKUP('Données projet'!$B$14,Paramètres!$A$1:$I$89,5,0)</f>
        <v>-3.7509835237869992E-13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234.09142087023463</v>
      </c>
      <c r="DU163" s="59">
        <f t="shared" si="152"/>
        <v>278.990685815294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0.18587657000400332</v>
      </c>
      <c r="EB163" s="21">
        <f>EXP(-LN(2)/25)*EB162+(1-EXP(-LN(2)/25))/(LN(2)/25)*Calculateur!DW163*Calculateur!DY163*VLOOKUP('Données projet'!$B$14,Paramètres!$A$1:$I$89,3,0)*0.475*44/12</f>
        <v>0.41738154142727851</v>
      </c>
      <c r="EC163" s="21">
        <f>EXP(-LN(2)/2)*EC162+(1-EXP(-LN(2)/2))/(LN(2)/2)*DW163*DZ163*VLOOKUP('Données projet'!$B$14,Paramètres!$A$1:$I$89,3,0)*0.475*44/12</f>
        <v>6.0047506793175448E-19</v>
      </c>
      <c r="ED163" s="22">
        <f t="shared" si="178"/>
        <v>0.60325811143128183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210.04871822652808</v>
      </c>
      <c r="AO164" s="59">
        <f t="shared" si="144"/>
        <v>250.17540614049324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0.54534239581530553</v>
      </c>
      <c r="AV164" s="21">
        <f>EXP(-LN(2)/25)*AV163+(1-EXP(-LN(2)/25))/(LN(2)/25)*Calculateur!AQ164*Calculateur!AS164*VLOOKUP('Données projet'!$B$10,Paramètres!$A$1:$I$89,3,0)*0.475*44/12</f>
        <v>0.73642269584654385</v>
      </c>
      <c r="AW164" s="21">
        <f>EXP(-LN(2)/2)*AW163+(1-EXP(-LN(2)/2))/(LN(2)/2)*AQ164*AT164*VLOOKUP('Données projet'!$B$10,Paramètres!$A$1:$I$89,3,0)*0.475*44/12</f>
        <v>4.1310544631134109E-19</v>
      </c>
      <c r="AX164" s="21">
        <f t="shared" si="166"/>
        <v>1.2817650916618493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553.99999999999955</v>
      </c>
      <c r="BE164" s="13">
        <f>BD164*VLOOKUP('Données projet'!$B$11,Paramètres!$A$1:$I$89,3,0)*VLOOKUP('Données projet'!$B$11,Paramètres!$A$1:$I$89,5,0)</f>
        <v>331.29199999999975</v>
      </c>
      <c r="BF164" s="13">
        <f t="shared" si="167"/>
        <v>77.698110787752</v>
      </c>
      <c r="BG164" s="20">
        <f t="shared" si="168"/>
        <v>712.32444295533423</v>
      </c>
      <c r="BH164" s="59">
        <f t="shared" si="116"/>
        <v>1005.6577762886675</v>
      </c>
      <c r="BI164" s="59">
        <f ca="1">AVERAGE(OFFSET($BH$3,0,0,'Données projet'!$E$11+1,1))-AVERAGE(OFFSET($H$3,0,0,'Données projet'!$E$11+1,1))</f>
        <v>316.58509520829671</v>
      </c>
      <c r="BJ164" s="59">
        <f t="shared" si="146"/>
        <v>240.71332110643596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0.18931635466972691</v>
      </c>
      <c r="BQ164" s="21">
        <f>EXP(-LN(2)/25)*BQ163+(1-EXP(-LN(2)/25))/(LN(2)/25)*Calculateur!BL164*Calculateur!BN164*VLOOKUP('Données projet'!$B$11,Paramètres!$A$1:$I$89,3,0)*0.475*44/12</f>
        <v>0.40400141812996404</v>
      </c>
      <c r="BR164" s="21">
        <f>EXP(-LN(2)/2)*BR163+(1-EXP(-LN(2)/2))/(LN(2)/2)*BL164*BO164*VLOOKUP('Données projet'!$B$11,Paramètres!$A$1:$I$89,3,0)*0.475*44/12</f>
        <v>4.204931286975637E-19</v>
      </c>
      <c r="BS164" s="22">
        <f t="shared" si="169"/>
        <v>0.593317772799691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-5.1159076974727213E-13</v>
      </c>
      <c r="BZ164" s="13">
        <f>BY164*VLOOKUP('Données projet'!$B$12,Paramètres!$A$1:$I$89,3,0)*VLOOKUP('Données projet'!$B$12,Paramètres!$A$1:$I$89,5,0)</f>
        <v>-4.0702161641092972E-13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260.20517190557814</v>
      </c>
      <c r="CE164" s="59">
        <f t="shared" si="148"/>
        <v>307.22009971147133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0.24372693384404312</v>
      </c>
      <c r="CL164" s="21">
        <f>EXP(-LN(2)/25)*CL163+(1-EXP(-LN(2)/25))/(LN(2)/25)*Calculateur!CG164*Calculateur!CI164*VLOOKUP('Données projet'!$B$12,Paramètres!$A$1:$I$89,3,0)*0.475*44/12</f>
        <v>0.54296491933634994</v>
      </c>
      <c r="CM164" s="21">
        <f>EXP(-LN(2)/2)*CM163+(1-EXP(-LN(2)/2))/(LN(2)/2)*CG164*CJ164*VLOOKUP('Données projet'!$B$12,Paramètres!$A$1:$I$89,3,0)*0.475*44/12</f>
        <v>4.6073616203973599E-19</v>
      </c>
      <c r="CN164" s="22">
        <f t="shared" si="172"/>
        <v>0.78669185318039303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378.0000000000004</v>
      </c>
      <c r="CU164" s="17">
        <f>CT164*VLOOKUP('Données projet'!$B$13,Paramètres!$A$1:$I$89,3,0)*VLOOKUP('Données projet'!$B$13,Paramètres!$A$1:$I$89,5,0)</f>
        <v>324.32400000000035</v>
      </c>
      <c r="CV164" s="13">
        <f t="shared" si="173"/>
        <v>76.252341944982831</v>
      </c>
      <c r="CW164" s="20">
        <f t="shared" si="174"/>
        <v>697.67046222084571</v>
      </c>
      <c r="CX164" s="59">
        <f t="shared" si="122"/>
        <v>991.00379555417908</v>
      </c>
      <c r="CY164" s="59">
        <f ca="1">AVERAGE(OFFSET($CX$3,0,0,'Données projet'!$E$13+1,1))-AVERAGE(OFFSET($H$3,0,0,'Données projet'!$E$13+1,1))</f>
        <v>310.4018929413723</v>
      </c>
      <c r="CZ164" s="59">
        <f t="shared" si="150"/>
        <v>127.5231137583819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0.15578583046317235</v>
      </c>
      <c r="DH164" s="21">
        <f>EXP(-LN(2)/2)*DH163+(1-EXP(-LN(2)/2))/(LN(2)/2)*DB164*DE164*VLOOKUP('Données projet'!$B$13,Paramètres!$A$1:$I$89,3,0)*0.475*44/12</f>
        <v>1.7115972974759941E-19</v>
      </c>
      <c r="DI164" s="22">
        <f t="shared" si="175"/>
        <v>0.15578583046317235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>
        <f>DO164*VLOOKUP('Données projet'!$B$14,Paramètres!$A$1:$I$89,3,0)*VLOOKUP('Données projet'!$B$14,Paramètres!$A$1:$I$89,5,0)</f>
        <v>-3.7509835237869992E-13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234.09142087023463</v>
      </c>
      <c r="DU164" s="59">
        <f t="shared" si="152"/>
        <v>278.990685815294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0.18223164383973781</v>
      </c>
      <c r="EB164" s="21">
        <f>EXP(-LN(2)/25)*EB163+(1-EXP(-LN(2)/25))/(LN(2)/25)*Calculateur!DW164*Calculateur!DY164*VLOOKUP('Données projet'!$B$14,Paramètres!$A$1:$I$89,3,0)*0.475*44/12</f>
        <v>0.40596822122780823</v>
      </c>
      <c r="EC164" s="21">
        <f>EXP(-LN(2)/2)*EC163+(1-EXP(-LN(2)/2))/(LN(2)/2)*DW164*DZ164*VLOOKUP('Données projet'!$B$14,Paramètres!$A$1:$I$89,3,0)*0.475*44/12</f>
        <v>4.2459999246799641E-19</v>
      </c>
      <c r="ED164" s="22">
        <f t="shared" si="178"/>
        <v>0.58819986506754607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210.04871822652808</v>
      </c>
      <c r="AO165" s="59">
        <f t="shared" si="144"/>
        <v>250.17540614049324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0.53464856405938477</v>
      </c>
      <c r="AV165" s="21">
        <f>EXP(-LN(2)/25)*AV164+(1-EXP(-LN(2)/25))/(LN(2)/25)*Calculateur!AQ165*Calculateur!AS165*VLOOKUP('Données projet'!$B$10,Paramètres!$A$1:$I$89,3,0)*0.475*44/12</f>
        <v>0.7162851785018336</v>
      </c>
      <c r="AW165" s="21">
        <f>EXP(-LN(2)/2)*AW164+(1-EXP(-LN(2)/2))/(LN(2)/2)*AQ165*AT165*VLOOKUP('Données projet'!$B$10,Paramètres!$A$1:$I$89,3,0)*0.475*44/12</f>
        <v>2.9210966243184452E-19</v>
      </c>
      <c r="AX165" s="21">
        <f t="shared" si="166"/>
        <v>1.2509337425612184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553.99999999999955</v>
      </c>
      <c r="BE165" s="13">
        <f>BD165*VLOOKUP('Données projet'!$B$11,Paramètres!$A$1:$I$89,3,0)*VLOOKUP('Données projet'!$B$11,Paramètres!$A$1:$I$89,5,0)</f>
        <v>331.29199999999975</v>
      </c>
      <c r="BF165" s="13">
        <f t="shared" si="167"/>
        <v>77.698110787752</v>
      </c>
      <c r="BG165" s="20">
        <f t="shared" si="168"/>
        <v>712.32444295533423</v>
      </c>
      <c r="BH165" s="59">
        <f t="shared" si="116"/>
        <v>1005.6577762886675</v>
      </c>
      <c r="BI165" s="59">
        <f ca="1">AVERAGE(OFFSET($BH$3,0,0,'Données projet'!$E$11+1,1))-AVERAGE(OFFSET($H$3,0,0,'Données projet'!$E$11+1,1))</f>
        <v>316.58509520829671</v>
      </c>
      <c r="BJ165" s="59">
        <f t="shared" si="146"/>
        <v>240.71332110643596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0.18560397642622803</v>
      </c>
      <c r="BQ165" s="21">
        <f>EXP(-LN(2)/25)*BQ164+(1-EXP(-LN(2)/25))/(LN(2)/25)*Calculateur!BL165*Calculateur!BN165*VLOOKUP('Données projet'!$B$11,Paramètres!$A$1:$I$89,3,0)*0.475*44/12</f>
        <v>0.39295397810568894</v>
      </c>
      <c r="BR165" s="21">
        <f>EXP(-LN(2)/2)*BR164+(1-EXP(-LN(2)/2))/(LN(2)/2)*BL165*BO165*VLOOKUP('Données projet'!$B$11,Paramètres!$A$1:$I$89,3,0)*0.475*44/12</f>
        <v>2.9733354274439494E-19</v>
      </c>
      <c r="BS165" s="22">
        <f t="shared" si="169"/>
        <v>0.57855795453191694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-5.1159076974727213E-13</v>
      </c>
      <c r="BZ165" s="13">
        <f>BY165*VLOOKUP('Données projet'!$B$12,Paramètres!$A$1:$I$89,3,0)*VLOOKUP('Données projet'!$B$12,Paramètres!$A$1:$I$89,5,0)</f>
        <v>-4.0702161641092972E-13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260.20517190557814</v>
      </c>
      <c r="CE165" s="59">
        <f t="shared" si="148"/>
        <v>307.22009971147133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0.23894759733011225</v>
      </c>
      <c r="CL165" s="21">
        <f>EXP(-LN(2)/25)*CL164+(1-EXP(-LN(2)/25))/(LN(2)/25)*Calculateur!CG165*Calculateur!CI165*VLOOKUP('Données projet'!$B$12,Paramètres!$A$1:$I$89,3,0)*0.475*44/12</f>
        <v>0.52811751506381333</v>
      </c>
      <c r="CM165" s="21">
        <f>EXP(-LN(2)/2)*CM164+(1-EXP(-LN(2)/2))/(LN(2)/2)*CG165*CJ165*VLOOKUP('Données projet'!$B$12,Paramètres!$A$1:$I$89,3,0)*0.475*44/12</f>
        <v>3.2578966451616131E-19</v>
      </c>
      <c r="CN165" s="22">
        <f t="shared" si="172"/>
        <v>0.76706511239392561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378.0000000000004</v>
      </c>
      <c r="CU165" s="17">
        <f>CT165*VLOOKUP('Données projet'!$B$13,Paramètres!$A$1:$I$89,3,0)*VLOOKUP('Données projet'!$B$13,Paramètres!$A$1:$I$89,5,0)</f>
        <v>324.32400000000035</v>
      </c>
      <c r="CV165" s="13">
        <f t="shared" si="173"/>
        <v>76.252341944982831</v>
      </c>
      <c r="CW165" s="20">
        <f t="shared" si="174"/>
        <v>697.67046222084571</v>
      </c>
      <c r="CX165" s="59">
        <f t="shared" si="122"/>
        <v>991.00379555417908</v>
      </c>
      <c r="CY165" s="59">
        <f ca="1">AVERAGE(OFFSET($CX$3,0,0,'Données projet'!$E$13+1,1))-AVERAGE(OFFSET($H$3,0,0,'Données projet'!$E$13+1,1))</f>
        <v>310.4018929413723</v>
      </c>
      <c r="CZ165" s="59">
        <f t="shared" si="150"/>
        <v>127.5231137583819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0.15152585873673613</v>
      </c>
      <c r="DH165" s="21">
        <f>EXP(-LN(2)/2)*DH164+(1-EXP(-LN(2)/2))/(LN(2)/2)*DB165*DE165*VLOOKUP('Données projet'!$B$13,Paramètres!$A$1:$I$89,3,0)*0.475*44/12</f>
        <v>1.2102820557058438E-19</v>
      </c>
      <c r="DI165" s="22">
        <f t="shared" si="175"/>
        <v>0.15152585873673613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>
        <f>DO165*VLOOKUP('Données projet'!$B$14,Paramètres!$A$1:$I$89,3,0)*VLOOKUP('Données projet'!$B$14,Paramètres!$A$1:$I$89,5,0)</f>
        <v>-3.7509835237869992E-13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234.09142087023463</v>
      </c>
      <c r="DU165" s="59">
        <f t="shared" si="152"/>
        <v>278.990685815294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0.17865819245436812</v>
      </c>
      <c r="EB165" s="21">
        <f>EXP(-LN(2)/25)*EB164+(1-EXP(-LN(2)/25))/(LN(2)/25)*Calculateur!DW165*Calculateur!DY165*VLOOKUP('Données projet'!$B$14,Paramètres!$A$1:$I$89,3,0)*0.475*44/12</f>
        <v>0.39486699886939292</v>
      </c>
      <c r="EC165" s="21">
        <f>EXP(-LN(2)/2)*EC164+(1-EXP(-LN(2)/2))/(LN(2)/2)*DW165*DZ165*VLOOKUP('Données projet'!$B$14,Paramètres!$A$1:$I$89,3,0)*0.475*44/12</f>
        <v>3.0023753396587729E-19</v>
      </c>
      <c r="ED165" s="22">
        <f t="shared" si="178"/>
        <v>0.57352519132376101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210.04871822652808</v>
      </c>
      <c r="AO166" s="59">
        <f t="shared" si="144"/>
        <v>250.17540614049324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0.52416443182160422</v>
      </c>
      <c r="AV166" s="21">
        <f>EXP(-LN(2)/25)*AV165+(1-EXP(-LN(2)/25))/(LN(2)/25)*Calculateur!AQ166*Calculateur!AS166*VLOOKUP('Données projet'!$B$10,Paramètres!$A$1:$I$89,3,0)*0.475*44/12</f>
        <v>0.69669832262790055</v>
      </c>
      <c r="AW166" s="21">
        <f>EXP(-LN(2)/2)*AW165+(1-EXP(-LN(2)/2))/(LN(2)/2)*AQ166*AT166*VLOOKUP('Données projet'!$B$10,Paramètres!$A$1:$I$89,3,0)*0.475*44/12</f>
        <v>2.0655272315567055E-19</v>
      </c>
      <c r="AX166" s="21">
        <f t="shared" si="166"/>
        <v>1.2208627544495048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553.99999999999955</v>
      </c>
      <c r="BE166" s="13">
        <f>BD166*VLOOKUP('Données projet'!$B$11,Paramètres!$A$1:$I$89,3,0)*VLOOKUP('Données projet'!$B$11,Paramètres!$A$1:$I$89,5,0)</f>
        <v>331.29199999999975</v>
      </c>
      <c r="BF166" s="13">
        <f t="shared" si="167"/>
        <v>77.698110787752</v>
      </c>
      <c r="BG166" s="20">
        <f t="shared" si="168"/>
        <v>712.32444295533423</v>
      </c>
      <c r="BH166" s="59">
        <f t="shared" si="116"/>
        <v>1005.6577762886675</v>
      </c>
      <c r="BI166" s="59">
        <f ca="1">AVERAGE(OFFSET($BH$3,0,0,'Données projet'!$E$11+1,1))-AVERAGE(OFFSET($H$3,0,0,'Données projet'!$E$11+1,1))</f>
        <v>316.58509520829671</v>
      </c>
      <c r="BJ166" s="59">
        <f t="shared" si="146"/>
        <v>240.71332110643596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0.18196439565575703</v>
      </c>
      <c r="BQ166" s="21">
        <f>EXP(-LN(2)/25)*BQ165+(1-EXP(-LN(2)/25))/(LN(2)/25)*Calculateur!BL166*Calculateur!BN166*VLOOKUP('Données projet'!$B$11,Paramètres!$A$1:$I$89,3,0)*0.475*44/12</f>
        <v>0.38220863090983725</v>
      </c>
      <c r="BR166" s="21">
        <f>EXP(-LN(2)/2)*BR165+(1-EXP(-LN(2)/2))/(LN(2)/2)*BL166*BO166*VLOOKUP('Données projet'!$B$11,Paramètres!$A$1:$I$89,3,0)*0.475*44/12</f>
        <v>2.1024656434878185E-19</v>
      </c>
      <c r="BS166" s="22">
        <f t="shared" si="169"/>
        <v>0.56417302656559432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-5.1159076974727213E-13</v>
      </c>
      <c r="BZ166" s="13">
        <f>BY166*VLOOKUP('Données projet'!$B$12,Paramètres!$A$1:$I$89,3,0)*VLOOKUP('Données projet'!$B$12,Paramètres!$A$1:$I$89,5,0)</f>
        <v>-4.0702161641092972E-13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260.20517190557814</v>
      </c>
      <c r="CE166" s="59">
        <f t="shared" si="148"/>
        <v>307.22009971147133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0.23426198069011214</v>
      </c>
      <c r="CL166" s="21">
        <f>EXP(-LN(2)/25)*CL165+(1-EXP(-LN(2)/25))/(LN(2)/25)*Calculateur!CG166*Calculateur!CI166*VLOOKUP('Données projet'!$B$12,Paramètres!$A$1:$I$89,3,0)*0.475*44/12</f>
        <v>0.51367611384190026</v>
      </c>
      <c r="CM166" s="21">
        <f>EXP(-LN(2)/2)*CM165+(1-EXP(-LN(2)/2))/(LN(2)/2)*CG166*CJ166*VLOOKUP('Données projet'!$B$12,Paramètres!$A$1:$I$89,3,0)*0.475*44/12</f>
        <v>2.30368081019868E-19</v>
      </c>
      <c r="CN166" s="22">
        <f t="shared" si="172"/>
        <v>0.74793809453201243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378.0000000000004</v>
      </c>
      <c r="CU166" s="17">
        <f>CT166*VLOOKUP('Données projet'!$B$13,Paramètres!$A$1:$I$89,3,0)*VLOOKUP('Données projet'!$B$13,Paramètres!$A$1:$I$89,5,0)</f>
        <v>324.32400000000035</v>
      </c>
      <c r="CV166" s="13">
        <f t="shared" si="173"/>
        <v>76.252341944982831</v>
      </c>
      <c r="CW166" s="20">
        <f t="shared" si="174"/>
        <v>697.67046222084571</v>
      </c>
      <c r="CX166" s="59">
        <f t="shared" si="122"/>
        <v>991.00379555417908</v>
      </c>
      <c r="CY166" s="59">
        <f ca="1">AVERAGE(OFFSET($CX$3,0,0,'Données projet'!$E$13+1,1))-AVERAGE(OFFSET($H$3,0,0,'Données projet'!$E$13+1,1))</f>
        <v>310.4018929413723</v>
      </c>
      <c r="CZ166" s="59">
        <f t="shared" si="150"/>
        <v>127.5231137583819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0.14738237616118149</v>
      </c>
      <c r="DH166" s="21">
        <f>EXP(-LN(2)/2)*DH165+(1-EXP(-LN(2)/2))/(LN(2)/2)*DB166*DE166*VLOOKUP('Données projet'!$B$13,Paramètres!$A$1:$I$89,3,0)*0.475*44/12</f>
        <v>8.5579864873799705E-20</v>
      </c>
      <c r="DI166" s="22">
        <f t="shared" si="175"/>
        <v>0.14738237616118149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>
        <f>DO166*VLOOKUP('Données projet'!$B$14,Paramètres!$A$1:$I$89,3,0)*VLOOKUP('Données projet'!$B$14,Paramètres!$A$1:$I$89,5,0)</f>
        <v>-3.7509835237869992E-13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234.09142087023463</v>
      </c>
      <c r="DU166" s="59">
        <f t="shared" si="152"/>
        <v>278.990685815294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0.1751548142710754</v>
      </c>
      <c r="EB166" s="21">
        <f>EXP(-LN(2)/25)*EB165+(1-EXP(-LN(2)/25))/(LN(2)/25)*Calculateur!DW166*Calculateur!DY166*VLOOKUP('Données projet'!$B$14,Paramètres!$A$1:$I$89,3,0)*0.475*44/12</f>
        <v>0.38406934002015636</v>
      </c>
      <c r="EC166" s="21">
        <f>EXP(-LN(2)/2)*EC165+(1-EXP(-LN(2)/2))/(LN(2)/2)*DW166*DZ166*VLOOKUP('Données projet'!$B$14,Paramètres!$A$1:$I$89,3,0)*0.475*44/12</f>
        <v>2.1229999623399823E-19</v>
      </c>
      <c r="ED166" s="22">
        <f t="shared" si="178"/>
        <v>0.55922415429123173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210.04871822652808</v>
      </c>
      <c r="AO167" s="59">
        <f t="shared" si="144"/>
        <v>250.17540614049324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0.5138858870223173</v>
      </c>
      <c r="AV167" s="21">
        <f>EXP(-LN(2)/25)*AV166+(1-EXP(-LN(2)/25))/(LN(2)/25)*Calculateur!AQ167*Calculateur!AS167*VLOOKUP('Données projet'!$B$10,Paramètres!$A$1:$I$89,3,0)*0.475*44/12</f>
        <v>0.6776470703578682</v>
      </c>
      <c r="AW167" s="21">
        <f>EXP(-LN(2)/2)*AW166+(1-EXP(-LN(2)/2))/(LN(2)/2)*AQ167*AT167*VLOOKUP('Données projet'!$B$10,Paramètres!$A$1:$I$89,3,0)*0.475*44/12</f>
        <v>1.4605483121592226E-19</v>
      </c>
      <c r="AX167" s="21">
        <f t="shared" si="166"/>
        <v>1.1915329573801854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553.99999999999955</v>
      </c>
      <c r="BE167" s="13">
        <f>BD167*VLOOKUP('Données projet'!$B$11,Paramètres!$A$1:$I$89,3,0)*VLOOKUP('Données projet'!$B$11,Paramètres!$A$1:$I$89,5,0)</f>
        <v>331.29199999999975</v>
      </c>
      <c r="BF167" s="13">
        <f t="shared" si="167"/>
        <v>77.698110787752</v>
      </c>
      <c r="BG167" s="20">
        <f t="shared" si="168"/>
        <v>712.32444295533423</v>
      </c>
      <c r="BH167" s="59">
        <f t="shared" si="116"/>
        <v>1005.6577762886675</v>
      </c>
      <c r="BI167" s="59">
        <f ca="1">AVERAGE(OFFSET($BH$3,0,0,'Données projet'!$E$11+1,1))-AVERAGE(OFFSET($H$3,0,0,'Données projet'!$E$11+1,1))</f>
        <v>316.58509520829671</v>
      </c>
      <c r="BJ167" s="59">
        <f t="shared" si="146"/>
        <v>240.71332110643596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0.17839618484426989</v>
      </c>
      <c r="BQ167" s="21">
        <f>EXP(-LN(2)/25)*BQ166+(1-EXP(-LN(2)/25))/(LN(2)/25)*Calculateur!BL167*Calculateur!BN167*VLOOKUP('Données projet'!$B$11,Paramètres!$A$1:$I$89,3,0)*0.475*44/12</f>
        <v>0.37175711579812942</v>
      </c>
      <c r="BR167" s="21">
        <f>EXP(-LN(2)/2)*BR166+(1-EXP(-LN(2)/2))/(LN(2)/2)*BL167*BO167*VLOOKUP('Données projet'!$B$11,Paramètres!$A$1:$I$89,3,0)*0.475*44/12</f>
        <v>1.4866677137219747E-19</v>
      </c>
      <c r="BS167" s="22">
        <f t="shared" si="169"/>
        <v>0.55015330064239931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-5.1159076974727213E-13</v>
      </c>
      <c r="BZ167" s="13">
        <f>BY167*VLOOKUP('Données projet'!$B$12,Paramètres!$A$1:$I$89,3,0)*VLOOKUP('Données projet'!$B$12,Paramètres!$A$1:$I$89,5,0)</f>
        <v>-4.0702161641092972E-13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260.20517190557814</v>
      </c>
      <c r="CE167" s="59">
        <f t="shared" si="148"/>
        <v>307.22009971147133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0.22966824613447848</v>
      </c>
      <c r="CL167" s="21">
        <f>EXP(-LN(2)/25)*CL166+(1-EXP(-LN(2)/25))/(LN(2)/25)*Calculateur!CG167*Calculateur!CI167*VLOOKUP('Données projet'!$B$12,Paramètres!$A$1:$I$89,3,0)*0.475*44/12</f>
        <v>0.49962961349584067</v>
      </c>
      <c r="CM167" s="21">
        <f>EXP(-LN(2)/2)*CM166+(1-EXP(-LN(2)/2))/(LN(2)/2)*CG167*CJ167*VLOOKUP('Données projet'!$B$12,Paramètres!$A$1:$I$89,3,0)*0.475*44/12</f>
        <v>1.6289483225808065E-19</v>
      </c>
      <c r="CN167" s="22">
        <f t="shared" si="172"/>
        <v>0.72929785963031912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378.0000000000004</v>
      </c>
      <c r="CU167" s="17">
        <f>CT167*VLOOKUP('Données projet'!$B$13,Paramètres!$A$1:$I$89,3,0)*VLOOKUP('Données projet'!$B$13,Paramètres!$A$1:$I$89,5,0)</f>
        <v>324.32400000000035</v>
      </c>
      <c r="CV167" s="13">
        <f t="shared" si="173"/>
        <v>76.252341944982831</v>
      </c>
      <c r="CW167" s="20">
        <f t="shared" si="174"/>
        <v>697.67046222084571</v>
      </c>
      <c r="CX167" s="59">
        <f t="shared" si="122"/>
        <v>991.00379555417908</v>
      </c>
      <c r="CY167" s="59">
        <f ca="1">AVERAGE(OFFSET($CX$3,0,0,'Données projet'!$E$13+1,1))-AVERAGE(OFFSET($H$3,0,0,'Données projet'!$E$13+1,1))</f>
        <v>310.4018929413723</v>
      </c>
      <c r="CZ167" s="59">
        <f t="shared" si="150"/>
        <v>127.5231137583819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0.14335219733455168</v>
      </c>
      <c r="DH167" s="21">
        <f>EXP(-LN(2)/2)*DH166+(1-EXP(-LN(2)/2))/(LN(2)/2)*DB167*DE167*VLOOKUP('Données projet'!$B$13,Paramètres!$A$1:$I$89,3,0)*0.475*44/12</f>
        <v>6.0514102785292192E-20</v>
      </c>
      <c r="DI167" s="22">
        <f t="shared" si="175"/>
        <v>0.14335219733455168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>
        <f>DO167*VLOOKUP('Données projet'!$B$14,Paramètres!$A$1:$I$89,3,0)*VLOOKUP('Données projet'!$B$14,Paramètres!$A$1:$I$89,5,0)</f>
        <v>-3.7509835237869992E-13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234.09142087023463</v>
      </c>
      <c r="DU167" s="59">
        <f t="shared" si="152"/>
        <v>278.990685815294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0.17172013519710735</v>
      </c>
      <c r="EB167" s="21">
        <f>EXP(-LN(2)/25)*EB166+(1-EXP(-LN(2)/25))/(LN(2)/25)*Calculateur!DW167*Calculateur!DY167*VLOOKUP('Données projet'!$B$14,Paramètres!$A$1:$I$89,3,0)*0.475*44/12</f>
        <v>0.3735669437199764</v>
      </c>
      <c r="EC167" s="21">
        <f>EXP(-LN(2)/2)*EC166+(1-EXP(-LN(2)/2))/(LN(2)/2)*DW167*DZ167*VLOOKUP('Données projet'!$B$14,Paramètres!$A$1:$I$89,3,0)*0.475*44/12</f>
        <v>1.5011876698293867E-19</v>
      </c>
      <c r="ED167" s="22">
        <f t="shared" si="178"/>
        <v>0.54528707891708372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210.04871822652808</v>
      </c>
      <c r="AO168" s="59">
        <f t="shared" si="144"/>
        <v>250.17540614049324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0.50380889821725117</v>
      </c>
      <c r="AV168" s="21">
        <f>EXP(-LN(2)/25)*AV167+(1-EXP(-LN(2)/25))/(LN(2)/25)*Calculateur!AQ168*Calculateur!AS168*VLOOKUP('Données projet'!$B$10,Paramètres!$A$1:$I$89,3,0)*0.475*44/12</f>
        <v>0.65911677558302162</v>
      </c>
      <c r="AW168" s="21">
        <f>EXP(-LN(2)/2)*AW167+(1-EXP(-LN(2)/2))/(LN(2)/2)*AQ168*AT168*VLOOKUP('Données projet'!$B$10,Paramètres!$A$1:$I$89,3,0)*0.475*44/12</f>
        <v>1.0327636157783527E-19</v>
      </c>
      <c r="AX168" s="21">
        <f t="shared" si="166"/>
        <v>1.1629256738002729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553.99999999999955</v>
      </c>
      <c r="BE168" s="13">
        <f>BD168*VLOOKUP('Données projet'!$B$11,Paramètres!$A$1:$I$89,3,0)*VLOOKUP('Données projet'!$B$11,Paramètres!$A$1:$I$89,5,0)</f>
        <v>331.29199999999975</v>
      </c>
      <c r="BF168" s="13">
        <f t="shared" si="167"/>
        <v>77.698110787752</v>
      </c>
      <c r="BG168" s="20">
        <f t="shared" si="168"/>
        <v>712.32444295533423</v>
      </c>
      <c r="BH168" s="59">
        <f t="shared" si="116"/>
        <v>1005.6577762886675</v>
      </c>
      <c r="BI168" s="59">
        <f ca="1">AVERAGE(OFFSET($BH$3,0,0,'Données projet'!$E$11+1,1))-AVERAGE(OFFSET($H$3,0,0,'Données projet'!$E$11+1,1))</f>
        <v>316.58509520829671</v>
      </c>
      <c r="BJ168" s="59">
        <f t="shared" si="146"/>
        <v>240.71332110643596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0.17489794447040233</v>
      </c>
      <c r="BQ168" s="21">
        <f>EXP(-LN(2)/25)*BQ167+(1-EXP(-LN(2)/25))/(LN(2)/25)*Calculateur!BL168*Calculateur!BN168*VLOOKUP('Données projet'!$B$11,Paramètres!$A$1:$I$89,3,0)*0.475*44/12</f>
        <v>0.36159139791677253</v>
      </c>
      <c r="BR168" s="21">
        <f>EXP(-LN(2)/2)*BR167+(1-EXP(-LN(2)/2))/(LN(2)/2)*BL168*BO168*VLOOKUP('Données projet'!$B$11,Paramètres!$A$1:$I$89,3,0)*0.475*44/12</f>
        <v>1.0512328217439093E-19</v>
      </c>
      <c r="BS168" s="22">
        <f t="shared" si="169"/>
        <v>0.53648934238717483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-5.1159076974727213E-13</v>
      </c>
      <c r="BZ168" s="13">
        <f>BY168*VLOOKUP('Données projet'!$B$12,Paramètres!$A$1:$I$89,3,0)*VLOOKUP('Données projet'!$B$12,Paramètres!$A$1:$I$89,5,0)</f>
        <v>-4.0702161641092972E-13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260.20517190557814</v>
      </c>
      <c r="CE168" s="59">
        <f t="shared" si="148"/>
        <v>307.22009971147133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0.22516459191157936</v>
      </c>
      <c r="CL168" s="21">
        <f>EXP(-LN(2)/25)*CL167+(1-EXP(-LN(2)/25))/(LN(2)/25)*Calculateur!CG168*Calculateur!CI168*VLOOKUP('Données projet'!$B$12,Paramètres!$A$1:$I$89,3,0)*0.475*44/12</f>
        <v>0.48596721544041743</v>
      </c>
      <c r="CM168" s="21">
        <f>EXP(-LN(2)/2)*CM167+(1-EXP(-LN(2)/2))/(LN(2)/2)*CG168*CJ168*VLOOKUP('Données projet'!$B$12,Paramètres!$A$1:$I$89,3,0)*0.475*44/12</f>
        <v>1.15184040509934E-19</v>
      </c>
      <c r="CN168" s="22">
        <f t="shared" si="172"/>
        <v>0.71113180735199677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378.0000000000004</v>
      </c>
      <c r="CU168" s="17">
        <f>CT168*VLOOKUP('Données projet'!$B$13,Paramètres!$A$1:$I$89,3,0)*VLOOKUP('Données projet'!$B$13,Paramètres!$A$1:$I$89,5,0)</f>
        <v>324.32400000000035</v>
      </c>
      <c r="CV168" s="13">
        <f t="shared" si="173"/>
        <v>76.252341944982831</v>
      </c>
      <c r="CW168" s="20">
        <f t="shared" si="174"/>
        <v>697.67046222084571</v>
      </c>
      <c r="CX168" s="59">
        <f t="shared" si="122"/>
        <v>991.00379555417908</v>
      </c>
      <c r="CY168" s="59">
        <f ca="1">AVERAGE(OFFSET($CX$3,0,0,'Données projet'!$E$13+1,1))-AVERAGE(OFFSET($H$3,0,0,'Données projet'!$E$13+1,1))</f>
        <v>310.4018929413723</v>
      </c>
      <c r="CZ168" s="59">
        <f t="shared" si="150"/>
        <v>127.5231137583819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0.13943222395987395</v>
      </c>
      <c r="DH168" s="21">
        <f>EXP(-LN(2)/2)*DH167+(1-EXP(-LN(2)/2))/(LN(2)/2)*DB168*DE168*VLOOKUP('Données projet'!$B$13,Paramètres!$A$1:$I$89,3,0)*0.475*44/12</f>
        <v>4.2789932436899852E-20</v>
      </c>
      <c r="DI168" s="22">
        <f t="shared" si="175"/>
        <v>0.13943222395987395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>
        <f>DO168*VLOOKUP('Données projet'!$B$14,Paramètres!$A$1:$I$89,3,0)*VLOOKUP('Données projet'!$B$14,Paramètres!$A$1:$I$89,5,0)</f>
        <v>-3.7509835237869992E-13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234.09142087023463</v>
      </c>
      <c r="DU168" s="59">
        <f t="shared" si="152"/>
        <v>278.990685815294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0.16835280808483244</v>
      </c>
      <c r="EB168" s="21">
        <f>EXP(-LN(2)/25)*EB167+(1-EXP(-LN(2)/25))/(LN(2)/25)*Calculateur!DW168*Calculateur!DY168*VLOOKUP('Données projet'!$B$14,Paramètres!$A$1:$I$89,3,0)*0.475*44/12</f>
        <v>0.36335173599892184</v>
      </c>
      <c r="EC168" s="21">
        <f>EXP(-LN(2)/2)*EC167+(1-EXP(-LN(2)/2))/(LN(2)/2)*DW168*DZ168*VLOOKUP('Données projet'!$B$14,Paramètres!$A$1:$I$89,3,0)*0.475*44/12</f>
        <v>1.0614999811699914E-19</v>
      </c>
      <c r="ED168" s="22">
        <f t="shared" si="178"/>
        <v>0.53170454408375423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210.04871822652808</v>
      </c>
      <c r="AO169" s="59">
        <f t="shared" si="144"/>
        <v>250.17540614049324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0.49392951301629612</v>
      </c>
      <c r="AV169" s="21">
        <f>EXP(-LN(2)/25)*AV168+(1-EXP(-LN(2)/25))/(LN(2)/25)*Calculateur!AQ169*Calculateur!AS169*VLOOKUP('Données projet'!$B$10,Paramètres!$A$1:$I$89,3,0)*0.475*44/12</f>
        <v>0.64109319269325915</v>
      </c>
      <c r="AW169" s="21">
        <f>EXP(-LN(2)/2)*AW168+(1-EXP(-LN(2)/2))/(LN(2)/2)*AQ169*AT169*VLOOKUP('Données projet'!$B$10,Paramètres!$A$1:$I$89,3,0)*0.475*44/12</f>
        <v>7.302741560796113E-20</v>
      </c>
      <c r="AX169" s="21">
        <f t="shared" si="166"/>
        <v>1.1350227057095552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553.99999999999955</v>
      </c>
      <c r="BE169" s="13">
        <f>BD169*VLOOKUP('Données projet'!$B$11,Paramètres!$A$1:$I$89,3,0)*VLOOKUP('Données projet'!$B$11,Paramètres!$A$1:$I$89,5,0)</f>
        <v>331.29199999999975</v>
      </c>
      <c r="BF169" s="13">
        <f t="shared" si="167"/>
        <v>77.698110787752</v>
      </c>
      <c r="BG169" s="20">
        <f t="shared" si="168"/>
        <v>712.32444295533423</v>
      </c>
      <c r="BH169" s="59">
        <f t="shared" si="116"/>
        <v>1005.6577762886675</v>
      </c>
      <c r="BI169" s="59">
        <f ca="1">AVERAGE(OFFSET($BH$3,0,0,'Données projet'!$E$11+1,1))-AVERAGE(OFFSET($H$3,0,0,'Données projet'!$E$11+1,1))</f>
        <v>316.58509520829671</v>
      </c>
      <c r="BJ169" s="59">
        <f t="shared" si="146"/>
        <v>240.71332110643596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0.17146830245655037</v>
      </c>
      <c r="BQ169" s="21">
        <f>EXP(-LN(2)/25)*BQ168+(1-EXP(-LN(2)/25))/(LN(2)/25)*Calculateur!BL169*Calculateur!BN169*VLOOKUP('Données projet'!$B$11,Paramètres!$A$1:$I$89,3,0)*0.475*44/12</f>
        <v>0.35170366212547322</v>
      </c>
      <c r="BR169" s="21">
        <f>EXP(-LN(2)/2)*BR168+(1-EXP(-LN(2)/2))/(LN(2)/2)*BL169*BO169*VLOOKUP('Données projet'!$B$11,Paramètres!$A$1:$I$89,3,0)*0.475*44/12</f>
        <v>7.4333385686098736E-20</v>
      </c>
      <c r="BS169" s="22">
        <f t="shared" si="169"/>
        <v>0.52317196458202364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-5.1159076974727213E-13</v>
      </c>
      <c r="BZ169" s="13">
        <f>BY169*VLOOKUP('Données projet'!$B$12,Paramètres!$A$1:$I$89,3,0)*VLOOKUP('Données projet'!$B$12,Paramètres!$A$1:$I$89,5,0)</f>
        <v>-4.0702161641092972E-13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260.20517190557814</v>
      </c>
      <c r="CE169" s="59">
        <f t="shared" si="148"/>
        <v>307.22009971147133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0.22074925160103348</v>
      </c>
      <c r="CL169" s="21">
        <f>EXP(-LN(2)/25)*CL168+(1-EXP(-LN(2)/25))/(LN(2)/25)*Calculateur!CG169*Calculateur!CI169*VLOOKUP('Données projet'!$B$12,Paramètres!$A$1:$I$89,3,0)*0.475*44/12</f>
        <v>0.47267841637829405</v>
      </c>
      <c r="CM169" s="21">
        <f>EXP(-LN(2)/2)*CM168+(1-EXP(-LN(2)/2))/(LN(2)/2)*CG169*CJ169*VLOOKUP('Données projet'!$B$12,Paramètres!$A$1:$I$89,3,0)*0.475*44/12</f>
        <v>8.1447416129040326E-20</v>
      </c>
      <c r="CN169" s="22">
        <f t="shared" si="172"/>
        <v>0.69342766797932753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378.0000000000004</v>
      </c>
      <c r="CU169" s="17">
        <f>CT169*VLOOKUP('Données projet'!$B$13,Paramètres!$A$1:$I$89,3,0)*VLOOKUP('Données projet'!$B$13,Paramètres!$A$1:$I$89,5,0)</f>
        <v>324.32400000000035</v>
      </c>
      <c r="CV169" s="13">
        <f t="shared" si="173"/>
        <v>76.252341944982831</v>
      </c>
      <c r="CW169" s="20">
        <f t="shared" si="174"/>
        <v>697.67046222084571</v>
      </c>
      <c r="CX169" s="59">
        <f t="shared" si="122"/>
        <v>991.00379555417908</v>
      </c>
      <c r="CY169" s="59">
        <f ca="1">AVERAGE(OFFSET($CX$3,0,0,'Données projet'!$E$13+1,1))-AVERAGE(OFFSET($H$3,0,0,'Données projet'!$E$13+1,1))</f>
        <v>310.4018929413723</v>
      </c>
      <c r="CZ169" s="59">
        <f t="shared" si="150"/>
        <v>127.5231137583819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0.13561944246326921</v>
      </c>
      <c r="DH169" s="21">
        <f>EXP(-LN(2)/2)*DH168+(1-EXP(-LN(2)/2))/(LN(2)/2)*DB169*DE169*VLOOKUP('Données projet'!$B$13,Paramètres!$A$1:$I$89,3,0)*0.475*44/12</f>
        <v>3.0257051392646096E-20</v>
      </c>
      <c r="DI169" s="22">
        <f t="shared" si="175"/>
        <v>0.13561944246326921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>
        <f>DO169*VLOOKUP('Données projet'!$B$14,Paramètres!$A$1:$I$89,3,0)*VLOOKUP('Données projet'!$B$14,Paramètres!$A$1:$I$89,5,0)</f>
        <v>-3.7509835237869992E-13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234.09142087023463</v>
      </c>
      <c r="DU169" s="59">
        <f t="shared" si="152"/>
        <v>278.990685815294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0.1650515122033625</v>
      </c>
      <c r="EB169" s="21">
        <f>EXP(-LN(2)/25)*EB168+(1-EXP(-LN(2)/25))/(LN(2)/25)*Calculateur!DW169*Calculateur!DY169*VLOOKUP('Données projet'!$B$14,Paramètres!$A$1:$I$89,3,0)*0.475*44/12</f>
        <v>0.35341586367019401</v>
      </c>
      <c r="EC169" s="21">
        <f>EXP(-LN(2)/2)*EC168+(1-EXP(-LN(2)/2))/(LN(2)/2)*DW169*DZ169*VLOOKUP('Données projet'!$B$14,Paramètres!$A$1:$I$89,3,0)*0.475*44/12</f>
        <v>7.5059383491469346E-20</v>
      </c>
      <c r="ED169" s="22">
        <f t="shared" si="178"/>
        <v>0.51846737587355651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210.04871822652808</v>
      </c>
      <c r="AO170" s="59">
        <f t="shared" si="144"/>
        <v>250.17540614049324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0.48424385653330182</v>
      </c>
      <c r="AV170" s="21">
        <f>EXP(-LN(2)/25)*AV169+(1-EXP(-LN(2)/25))/(LN(2)/25)*Calculateur!AQ170*Calculateur!AS170*VLOOKUP('Données projet'!$B$10,Paramètres!$A$1:$I$89,3,0)*0.475*44/12</f>
        <v>0.62356246562543627</v>
      </c>
      <c r="AW170" s="21">
        <f>EXP(-LN(2)/2)*AW169+(1-EXP(-LN(2)/2))/(LN(2)/2)*AQ170*AT170*VLOOKUP('Données projet'!$B$10,Paramètres!$A$1:$I$89,3,0)*0.475*44/12</f>
        <v>5.1638180788917637E-20</v>
      </c>
      <c r="AX170" s="21">
        <f t="shared" si="166"/>
        <v>1.107806322158738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553.99999999999955</v>
      </c>
      <c r="BE170" s="13">
        <f>BD170*VLOOKUP('Données projet'!$B$11,Paramètres!$A$1:$I$89,3,0)*VLOOKUP('Données projet'!$B$11,Paramètres!$A$1:$I$89,5,0)</f>
        <v>331.29199999999975</v>
      </c>
      <c r="BF170" s="13">
        <f t="shared" si="167"/>
        <v>77.698110787752</v>
      </c>
      <c r="BG170" s="20">
        <f t="shared" si="168"/>
        <v>712.32444295533423</v>
      </c>
      <c r="BH170" s="59">
        <f t="shared" si="116"/>
        <v>1005.6577762886675</v>
      </c>
      <c r="BI170" s="59">
        <f ca="1">AVERAGE(OFFSET($BH$3,0,0,'Données projet'!$E$11+1,1))-AVERAGE(OFFSET($H$3,0,0,'Données projet'!$E$11+1,1))</f>
        <v>316.58509520829671</v>
      </c>
      <c r="BJ170" s="59">
        <f t="shared" si="146"/>
        <v>240.71332110643596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0.16810591363071498</v>
      </c>
      <c r="BQ170" s="21">
        <f>EXP(-LN(2)/25)*BQ169+(1-EXP(-LN(2)/25))/(LN(2)/25)*Calculateur!BL170*Calculateur!BN170*VLOOKUP('Données projet'!$B$11,Paramètres!$A$1:$I$89,3,0)*0.475*44/12</f>
        <v>0.34208630698936038</v>
      </c>
      <c r="BR170" s="21">
        <f>EXP(-LN(2)/2)*BR169+(1-EXP(-LN(2)/2))/(LN(2)/2)*BL170*BO170*VLOOKUP('Données projet'!$B$11,Paramètres!$A$1:$I$89,3,0)*0.475*44/12</f>
        <v>5.2561641087195463E-20</v>
      </c>
      <c r="BS170" s="22">
        <f t="shared" si="169"/>
        <v>0.5101922206200753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-5.1159076974727213E-13</v>
      </c>
      <c r="BZ170" s="13">
        <f>BY170*VLOOKUP('Données projet'!$B$12,Paramètres!$A$1:$I$89,3,0)*VLOOKUP('Données projet'!$B$12,Paramètres!$A$1:$I$89,5,0)</f>
        <v>-4.0702161641092972E-13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260.20517190557814</v>
      </c>
      <c r="CE170" s="59">
        <f t="shared" si="148"/>
        <v>307.22009971147133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0.21642049342088573</v>
      </c>
      <c r="CL170" s="21">
        <f>EXP(-LN(2)/25)*CL169+(1-EXP(-LN(2)/25))/(LN(2)/25)*Calculateur!CG170*Calculateur!CI170*VLOOKUP('Données projet'!$B$12,Paramètres!$A$1:$I$89,3,0)*0.475*44/12</f>
        <v>0.45975300022535198</v>
      </c>
      <c r="CM170" s="21">
        <f>EXP(-LN(2)/2)*CM169+(1-EXP(-LN(2)/2))/(LN(2)/2)*CG170*CJ170*VLOOKUP('Données projet'!$B$12,Paramètres!$A$1:$I$89,3,0)*0.475*44/12</f>
        <v>5.7592020254966999E-20</v>
      </c>
      <c r="CN170" s="22">
        <f t="shared" si="172"/>
        <v>0.67617349364623769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378.0000000000004</v>
      </c>
      <c r="CU170" s="17">
        <f>CT170*VLOOKUP('Données projet'!$B$13,Paramètres!$A$1:$I$89,3,0)*VLOOKUP('Données projet'!$B$13,Paramètres!$A$1:$I$89,5,0)</f>
        <v>324.32400000000035</v>
      </c>
      <c r="CV170" s="13">
        <f t="shared" si="173"/>
        <v>76.252341944982831</v>
      </c>
      <c r="CW170" s="20">
        <f t="shared" si="174"/>
        <v>697.67046222084571</v>
      </c>
      <c r="CX170" s="59">
        <f t="shared" si="122"/>
        <v>991.00379555417908</v>
      </c>
      <c r="CY170" s="59">
        <f ca="1">AVERAGE(OFFSET($CX$3,0,0,'Données projet'!$E$13+1,1))-AVERAGE(OFFSET($H$3,0,0,'Données projet'!$E$13+1,1))</f>
        <v>310.4018929413723</v>
      </c>
      <c r="CZ170" s="59">
        <f t="shared" si="150"/>
        <v>127.5231137583819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0.13191092167719459</v>
      </c>
      <c r="DH170" s="21">
        <f>EXP(-LN(2)/2)*DH169+(1-EXP(-LN(2)/2))/(LN(2)/2)*DB170*DE170*VLOOKUP('Données projet'!$B$13,Paramètres!$A$1:$I$89,3,0)*0.475*44/12</f>
        <v>2.1394966218449926E-20</v>
      </c>
      <c r="DI170" s="22">
        <f t="shared" si="175"/>
        <v>0.13191092167719459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>
        <f>DO170*VLOOKUP('Données projet'!$B$14,Paramètres!$A$1:$I$89,3,0)*VLOOKUP('Données projet'!$B$14,Paramètres!$A$1:$I$89,5,0)</f>
        <v>-3.7509835237869992E-13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234.09142087023463</v>
      </c>
      <c r="DU170" s="59">
        <f t="shared" si="152"/>
        <v>278.990685815294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0.16181495272053653</v>
      </c>
      <c r="EB170" s="21">
        <f>EXP(-LN(2)/25)*EB169+(1-EXP(-LN(2)/25))/(LN(2)/25)*Calculateur!DW170*Calculateur!DY170*VLOOKUP('Données projet'!$B$14,Paramètres!$A$1:$I$89,3,0)*0.475*44/12</f>
        <v>0.34375168829280001</v>
      </c>
      <c r="EC170" s="21">
        <f>EXP(-LN(2)/2)*EC169+(1-EXP(-LN(2)/2))/(LN(2)/2)*DW170*DZ170*VLOOKUP('Données projet'!$B$14,Paramètres!$A$1:$I$89,3,0)*0.475*44/12</f>
        <v>5.3074999058499576E-20</v>
      </c>
      <c r="ED170" s="22">
        <f t="shared" si="178"/>
        <v>0.50556664101333659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210.04871822652808</v>
      </c>
      <c r="AO171" s="59">
        <f t="shared" si="144"/>
        <v>250.17540614049324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0.47474812986627191</v>
      </c>
      <c r="AV171" s="21">
        <f>EXP(-LN(2)/25)*AV170+(1-EXP(-LN(2)/25))/(LN(2)/25)*Calculateur!AQ171*Calculateur!AS171*VLOOKUP('Données projet'!$B$10,Paramètres!$A$1:$I$89,3,0)*0.475*44/12</f>
        <v>0.60651111721118378</v>
      </c>
      <c r="AW171" s="21">
        <f>EXP(-LN(2)/2)*AW170+(1-EXP(-LN(2)/2))/(LN(2)/2)*AQ171*AT171*VLOOKUP('Données projet'!$B$10,Paramètres!$A$1:$I$89,3,0)*0.475*44/12</f>
        <v>3.6513707803980565E-20</v>
      </c>
      <c r="AX171" s="21">
        <f t="shared" si="166"/>
        <v>1.0812592470774556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553.99999999999955</v>
      </c>
      <c r="BE171" s="13">
        <f>BD171*VLOOKUP('Données projet'!$B$11,Paramètres!$A$1:$I$89,3,0)*VLOOKUP('Données projet'!$B$11,Paramètres!$A$1:$I$89,5,0)</f>
        <v>331.29199999999975</v>
      </c>
      <c r="BF171" s="13">
        <f t="shared" si="167"/>
        <v>77.698110787752</v>
      </c>
      <c r="BG171" s="20">
        <f t="shared" si="168"/>
        <v>712.32444295533423</v>
      </c>
      <c r="BH171" s="59">
        <f t="shared" si="116"/>
        <v>1005.6577762886675</v>
      </c>
      <c r="BI171" s="59">
        <f ca="1">AVERAGE(OFFSET($BH$3,0,0,'Données projet'!$E$11+1,1))-AVERAGE(OFFSET($H$3,0,0,'Données projet'!$E$11+1,1))</f>
        <v>316.58509520829671</v>
      </c>
      <c r="BJ171" s="59">
        <f t="shared" si="146"/>
        <v>240.71332110643596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0.16480945919889953</v>
      </c>
      <c r="BQ171" s="21">
        <f>EXP(-LN(2)/25)*BQ170+(1-EXP(-LN(2)/25))/(LN(2)/25)*Calculateur!BL171*Calculateur!BN171*VLOOKUP('Données projet'!$B$11,Paramètres!$A$1:$I$89,3,0)*0.475*44/12</f>
        <v>0.33273193893519926</v>
      </c>
      <c r="BR171" s="21">
        <f>EXP(-LN(2)/2)*BR170+(1-EXP(-LN(2)/2))/(LN(2)/2)*BL171*BO171*VLOOKUP('Données projet'!$B$11,Paramètres!$A$1:$I$89,3,0)*0.475*44/12</f>
        <v>3.7166692843049368E-20</v>
      </c>
      <c r="BS171" s="22">
        <f t="shared" si="169"/>
        <v>0.49754139813409881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-5.1159076974727213E-13</v>
      </c>
      <c r="BZ171" s="13">
        <f>BY171*VLOOKUP('Données projet'!$B$12,Paramètres!$A$1:$I$89,3,0)*VLOOKUP('Données projet'!$B$12,Paramètres!$A$1:$I$89,5,0)</f>
        <v>-4.0702161641092972E-13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260.20517190557814</v>
      </c>
      <c r="CE171" s="59">
        <f t="shared" si="148"/>
        <v>307.22009971147133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0.21217661954836889</v>
      </c>
      <c r="CL171" s="21">
        <f>EXP(-LN(2)/25)*CL170+(1-EXP(-LN(2)/25))/(LN(2)/25)*Calculateur!CG171*Calculateur!CI171*VLOOKUP('Données projet'!$B$12,Paramètres!$A$1:$I$89,3,0)*0.475*44/12</f>
        <v>0.4471810302568302</v>
      </c>
      <c r="CM171" s="21">
        <f>EXP(-LN(2)/2)*CM170+(1-EXP(-LN(2)/2))/(LN(2)/2)*CG171*CJ171*VLOOKUP('Données projet'!$B$12,Paramètres!$A$1:$I$89,3,0)*0.475*44/12</f>
        <v>4.0723708064520163E-20</v>
      </c>
      <c r="CN171" s="22">
        <f t="shared" si="172"/>
        <v>0.65935764980519906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378.0000000000004</v>
      </c>
      <c r="CU171" s="17">
        <f>CT171*VLOOKUP('Données projet'!$B$13,Paramètres!$A$1:$I$89,3,0)*VLOOKUP('Données projet'!$B$13,Paramètres!$A$1:$I$89,5,0)</f>
        <v>324.32400000000035</v>
      </c>
      <c r="CV171" s="13">
        <f t="shared" si="173"/>
        <v>76.252341944982831</v>
      </c>
      <c r="CW171" s="20">
        <f t="shared" si="174"/>
        <v>697.67046222084571</v>
      </c>
      <c r="CX171" s="59">
        <f t="shared" si="122"/>
        <v>991.00379555417908</v>
      </c>
      <c r="CY171" s="59">
        <f ca="1">AVERAGE(OFFSET($CX$3,0,0,'Données projet'!$E$13+1,1))-AVERAGE(OFFSET($H$3,0,0,'Données projet'!$E$13+1,1))</f>
        <v>310.4018929413723</v>
      </c>
      <c r="CZ171" s="59">
        <f t="shared" si="150"/>
        <v>127.5231137583819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0.12830381058703783</v>
      </c>
      <c r="DH171" s="21">
        <f>EXP(-LN(2)/2)*DH170+(1-EXP(-LN(2)/2))/(LN(2)/2)*DB171*DE171*VLOOKUP('Données projet'!$B$13,Paramètres!$A$1:$I$89,3,0)*0.475*44/12</f>
        <v>1.5128525696323048E-20</v>
      </c>
      <c r="DI171" s="22">
        <f t="shared" si="175"/>
        <v>0.12830381058703783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>
        <f>DO171*VLOOKUP('Données projet'!$B$14,Paramètres!$A$1:$I$89,3,0)*VLOOKUP('Données projet'!$B$14,Paramètres!$A$1:$I$89,5,0)</f>
        <v>-3.7509835237869992E-13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234.09142087023463</v>
      </c>
      <c r="DU171" s="59">
        <f t="shared" si="152"/>
        <v>278.990685815294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0.15864186019506241</v>
      </c>
      <c r="EB171" s="21">
        <f>EXP(-LN(2)/25)*EB170+(1-EXP(-LN(2)/25))/(LN(2)/25)*Calculateur!DW171*Calculateur!DY171*VLOOKUP('Données projet'!$B$14,Paramètres!$A$1:$I$89,3,0)*0.475*44/12</f>
        <v>0.33435178029931778</v>
      </c>
      <c r="EC171" s="21">
        <f>EXP(-LN(2)/2)*EC170+(1-EXP(-LN(2)/2))/(LN(2)/2)*DW171*DZ171*VLOOKUP('Données projet'!$B$14,Paramètres!$A$1:$I$89,3,0)*0.475*44/12</f>
        <v>3.7529691745734679E-20</v>
      </c>
      <c r="ED171" s="22">
        <f t="shared" si="178"/>
        <v>0.49299364049438021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210.04871822652808</v>
      </c>
      <c r="AO172" s="59">
        <f t="shared" si="144"/>
        <v>250.17540614049324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0.46543860860736108</v>
      </c>
      <c r="AV172" s="21">
        <f>EXP(-LN(2)/25)*AV171+(1-EXP(-LN(2)/25))/(LN(2)/25)*Calculateur!AQ172*Calculateur!AS172*VLOOKUP('Données projet'!$B$10,Paramètres!$A$1:$I$89,3,0)*0.475*44/12</f>
        <v>0.58992603881601047</v>
      </c>
      <c r="AW172" s="21">
        <f>EXP(-LN(2)/2)*AW171+(1-EXP(-LN(2)/2))/(LN(2)/2)*AQ172*AT172*VLOOKUP('Données projet'!$B$10,Paramètres!$A$1:$I$89,3,0)*0.475*44/12</f>
        <v>2.5819090394458818E-20</v>
      </c>
      <c r="AX172" s="21">
        <f t="shared" si="166"/>
        <v>1.0553646474233715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553.99999999999955</v>
      </c>
      <c r="BE172" s="13">
        <f>BD172*VLOOKUP('Données projet'!$B$11,Paramètres!$A$1:$I$89,3,0)*VLOOKUP('Données projet'!$B$11,Paramètres!$A$1:$I$89,5,0)</f>
        <v>331.29199999999975</v>
      </c>
      <c r="BF172" s="13">
        <f t="shared" si="167"/>
        <v>77.698110787752</v>
      </c>
      <c r="BG172" s="20">
        <f t="shared" si="168"/>
        <v>712.32444295533423</v>
      </c>
      <c r="BH172" s="59">
        <f t="shared" si="116"/>
        <v>1005.6577762886675</v>
      </c>
      <c r="BI172" s="59">
        <f ca="1">AVERAGE(OFFSET($BH$3,0,0,'Données projet'!$E$11+1,1))-AVERAGE(OFFSET($H$3,0,0,'Données projet'!$E$11+1,1))</f>
        <v>316.58509520829671</v>
      </c>
      <c r="BJ172" s="59">
        <f t="shared" si="146"/>
        <v>240.71332110643596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0.16157764622785331</v>
      </c>
      <c r="BQ172" s="21">
        <f>EXP(-LN(2)/25)*BQ171+(1-EXP(-LN(2)/25))/(LN(2)/25)*Calculateur!BL172*Calculateur!BN172*VLOOKUP('Données projet'!$B$11,Paramètres!$A$1:$I$89,3,0)*0.475*44/12</f>
        <v>0.32363336656740405</v>
      </c>
      <c r="BR172" s="21">
        <f>EXP(-LN(2)/2)*BR171+(1-EXP(-LN(2)/2))/(LN(2)/2)*BL172*BO172*VLOOKUP('Données projet'!$B$11,Paramètres!$A$1:$I$89,3,0)*0.475*44/12</f>
        <v>2.6280820543597732E-20</v>
      </c>
      <c r="BS172" s="22">
        <f t="shared" si="169"/>
        <v>0.48521101279525736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-5.1159076974727213E-13</v>
      </c>
      <c r="BZ172" s="13">
        <f>BY172*VLOOKUP('Données projet'!$B$12,Paramètres!$A$1:$I$89,3,0)*VLOOKUP('Données projet'!$B$12,Paramètres!$A$1:$I$89,5,0)</f>
        <v>-4.0702161641092972E-13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260.20517190557814</v>
      </c>
      <c r="CE172" s="59">
        <f t="shared" si="148"/>
        <v>307.22009971147133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0.20801596545398462</v>
      </c>
      <c r="CL172" s="21">
        <f>EXP(-LN(2)/25)*CL171+(1-EXP(-LN(2)/25))/(LN(2)/25)*Calculateur!CG172*Calculateur!CI172*VLOOKUP('Données projet'!$B$12,Paramètres!$A$1:$I$89,3,0)*0.475*44/12</f>
        <v>0.43495284146822882</v>
      </c>
      <c r="CM172" s="21">
        <f>EXP(-LN(2)/2)*CM171+(1-EXP(-LN(2)/2))/(LN(2)/2)*CG172*CJ172*VLOOKUP('Données projet'!$B$12,Paramètres!$A$1:$I$89,3,0)*0.475*44/12</f>
        <v>2.87960101274835E-20</v>
      </c>
      <c r="CN172" s="22">
        <f t="shared" si="172"/>
        <v>0.64296880692221348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378.0000000000004</v>
      </c>
      <c r="CU172" s="17">
        <f>CT172*VLOOKUP('Données projet'!$B$13,Paramètres!$A$1:$I$89,3,0)*VLOOKUP('Données projet'!$B$13,Paramètres!$A$1:$I$89,5,0)</f>
        <v>324.32400000000035</v>
      </c>
      <c r="CV172" s="13">
        <f t="shared" si="173"/>
        <v>76.252341944982831</v>
      </c>
      <c r="CW172" s="20">
        <f t="shared" si="174"/>
        <v>697.67046222084571</v>
      </c>
      <c r="CX172" s="59">
        <f t="shared" si="122"/>
        <v>991.00379555417908</v>
      </c>
      <c r="CY172" s="59">
        <f ca="1">AVERAGE(OFFSET($CX$3,0,0,'Données projet'!$E$13+1,1))-AVERAGE(OFFSET($H$3,0,0,'Données projet'!$E$13+1,1))</f>
        <v>310.4018929413723</v>
      </c>
      <c r="CZ172" s="59">
        <f t="shared" si="150"/>
        <v>127.5231137583819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0.12479533613933112</v>
      </c>
      <c r="DH172" s="21">
        <f>EXP(-LN(2)/2)*DH171+(1-EXP(-LN(2)/2))/(LN(2)/2)*DB172*DE172*VLOOKUP('Données projet'!$B$13,Paramètres!$A$1:$I$89,3,0)*0.475*44/12</f>
        <v>1.0697483109224963E-20</v>
      </c>
      <c r="DI172" s="22">
        <f t="shared" si="175"/>
        <v>0.12479533613933112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>
        <f>DO172*VLOOKUP('Données projet'!$B$14,Paramètres!$A$1:$I$89,3,0)*VLOOKUP('Données projet'!$B$14,Paramètres!$A$1:$I$89,5,0)</f>
        <v>-3.7509835237869992E-13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234.09142087023463</v>
      </c>
      <c r="DU172" s="59">
        <f t="shared" si="152"/>
        <v>278.990685815294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0.15553099007861751</v>
      </c>
      <c r="EB172" s="21">
        <f>EXP(-LN(2)/25)*EB171+(1-EXP(-LN(2)/25))/(LN(2)/25)*Calculateur!DW172*Calculateur!DY172*VLOOKUP('Données projet'!$B$14,Paramètres!$A$1:$I$89,3,0)*0.475*44/12</f>
        <v>0.32520891328423696</v>
      </c>
      <c r="EC172" s="21">
        <f>EXP(-LN(2)/2)*EC171+(1-EXP(-LN(2)/2))/(LN(2)/2)*DW172*DZ172*VLOOKUP('Données projet'!$B$14,Paramètres!$A$1:$I$89,3,0)*0.475*44/12</f>
        <v>2.6537499529249791E-20</v>
      </c>
      <c r="ED172" s="22">
        <f t="shared" si="178"/>
        <v>0.48073990336285444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210.04871822652808</v>
      </c>
      <c r="AO173" s="59">
        <f t="shared" si="144"/>
        <v>250.17540614049324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0.45631164138209024</v>
      </c>
      <c r="AV173" s="21">
        <f>EXP(-LN(2)/25)*AV172+(1-EXP(-LN(2)/25))/(LN(2)/25)*Calculateur!AQ173*Calculateur!AS173*VLOOKUP('Données projet'!$B$10,Paramètres!$A$1:$I$89,3,0)*0.475*44/12</f>
        <v>0.57379448026172453</v>
      </c>
      <c r="AW173" s="21">
        <f>EXP(-LN(2)/2)*AW172+(1-EXP(-LN(2)/2))/(LN(2)/2)*AQ173*AT173*VLOOKUP('Données projet'!$B$10,Paramètres!$A$1:$I$89,3,0)*0.475*44/12</f>
        <v>1.8256853901990282E-20</v>
      </c>
      <c r="AX173" s="21">
        <f t="shared" si="166"/>
        <v>1.0301061216438148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553.99999999999955</v>
      </c>
      <c r="BE173" s="13">
        <f>BD173*VLOOKUP('Données projet'!$B$11,Paramètres!$A$1:$I$89,3,0)*VLOOKUP('Données projet'!$B$11,Paramètres!$A$1:$I$89,5,0)</f>
        <v>331.29199999999975</v>
      </c>
      <c r="BF173" s="13">
        <f t="shared" si="167"/>
        <v>77.698110787752</v>
      </c>
      <c r="BG173" s="20">
        <f t="shared" si="168"/>
        <v>712.32444295533423</v>
      </c>
      <c r="BH173" s="59">
        <f t="shared" si="116"/>
        <v>1005.6577762886675</v>
      </c>
      <c r="BI173" s="59">
        <f ca="1">AVERAGE(OFFSET($BH$3,0,0,'Données projet'!$E$11+1,1))-AVERAGE(OFFSET($H$3,0,0,'Données projet'!$E$11+1,1))</f>
        <v>316.58509520829671</v>
      </c>
      <c r="BJ173" s="59">
        <f t="shared" si="146"/>
        <v>240.71332110643596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0.15840920713795803</v>
      </c>
      <c r="BQ173" s="21">
        <f>EXP(-LN(2)/25)*BQ172+(1-EXP(-LN(2)/25))/(LN(2)/25)*Calculateur!BL173*Calculateur!BN173*VLOOKUP('Données projet'!$B$11,Paramètres!$A$1:$I$89,3,0)*0.475*44/12</f>
        <v>0.31478359513947929</v>
      </c>
      <c r="BR173" s="21">
        <f>EXP(-LN(2)/2)*BR172+(1-EXP(-LN(2)/2))/(LN(2)/2)*BL173*BO173*VLOOKUP('Données projet'!$B$11,Paramètres!$A$1:$I$89,3,0)*0.475*44/12</f>
        <v>1.8583346421524684E-20</v>
      </c>
      <c r="BS173" s="22">
        <f t="shared" si="169"/>
        <v>0.47319280227743732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-5.1159076974727213E-13</v>
      </c>
      <c r="BZ173" s="13">
        <f>BY173*VLOOKUP('Données projet'!$B$12,Paramètres!$A$1:$I$89,3,0)*VLOOKUP('Données projet'!$B$12,Paramètres!$A$1:$I$89,5,0)</f>
        <v>-4.0702161641092972E-13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260.20517190557814</v>
      </c>
      <c r="CE173" s="59">
        <f t="shared" si="148"/>
        <v>307.22009971147133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0.20393689924864283</v>
      </c>
      <c r="CL173" s="21">
        <f>EXP(-LN(2)/25)*CL172+(1-EXP(-LN(2)/25))/(LN(2)/25)*Calculateur!CG173*Calculateur!CI173*VLOOKUP('Données projet'!$B$12,Paramètres!$A$1:$I$89,3,0)*0.475*44/12</f>
        <v>0.42305903314510429</v>
      </c>
      <c r="CM173" s="21">
        <f>EXP(-LN(2)/2)*CM172+(1-EXP(-LN(2)/2))/(LN(2)/2)*CG173*CJ173*VLOOKUP('Données projet'!$B$12,Paramètres!$A$1:$I$89,3,0)*0.475*44/12</f>
        <v>2.0361854032260082E-20</v>
      </c>
      <c r="CN173" s="22">
        <f t="shared" si="172"/>
        <v>0.62699593239374707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378.0000000000004</v>
      </c>
      <c r="CU173" s="17">
        <f>CT173*VLOOKUP('Données projet'!$B$13,Paramètres!$A$1:$I$89,3,0)*VLOOKUP('Données projet'!$B$13,Paramètres!$A$1:$I$89,5,0)</f>
        <v>324.32400000000035</v>
      </c>
      <c r="CV173" s="13">
        <f t="shared" si="173"/>
        <v>76.252341944982831</v>
      </c>
      <c r="CW173" s="20">
        <f t="shared" si="174"/>
        <v>697.67046222084571</v>
      </c>
      <c r="CX173" s="59">
        <f t="shared" si="122"/>
        <v>991.00379555417908</v>
      </c>
      <c r="CY173" s="59">
        <f ca="1">AVERAGE(OFFSET($CX$3,0,0,'Données projet'!$E$13+1,1))-AVERAGE(OFFSET($H$3,0,0,'Données projet'!$E$13+1,1))</f>
        <v>310.4018929413723</v>
      </c>
      <c r="CZ173" s="59">
        <f t="shared" si="150"/>
        <v>127.5231137583819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0.12138280110989962</v>
      </c>
      <c r="DH173" s="21">
        <f>EXP(-LN(2)/2)*DH172+(1-EXP(-LN(2)/2))/(LN(2)/2)*DB173*DE173*VLOOKUP('Données projet'!$B$13,Paramètres!$A$1:$I$89,3,0)*0.475*44/12</f>
        <v>7.564262848161524E-21</v>
      </c>
      <c r="DI173" s="22">
        <f t="shared" si="175"/>
        <v>0.12138280110989962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>
        <f>DO173*VLOOKUP('Données projet'!$B$14,Paramètres!$A$1:$I$89,3,0)*VLOOKUP('Données projet'!$B$14,Paramètres!$A$1:$I$89,5,0)</f>
        <v>-3.7509835237869992E-13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234.09142087023463</v>
      </c>
      <c r="DU173" s="59">
        <f t="shared" si="152"/>
        <v>278.990685815294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0.15248112222771268</v>
      </c>
      <c r="EB173" s="21">
        <f>EXP(-LN(2)/25)*EB172+(1-EXP(-LN(2)/25))/(LN(2)/25)*Calculateur!DW173*Calculateur!DY173*VLOOKUP('Données projet'!$B$14,Paramètres!$A$1:$I$89,3,0)*0.475*44/12</f>
        <v>0.31631605844848604</v>
      </c>
      <c r="EC173" s="21">
        <f>EXP(-LN(2)/2)*EC172+(1-EXP(-LN(2)/2))/(LN(2)/2)*DW173*DZ173*VLOOKUP('Données projet'!$B$14,Paramètres!$A$1:$I$89,3,0)*0.475*44/12</f>
        <v>1.8764845872867343E-20</v>
      </c>
      <c r="ED173" s="22">
        <f t="shared" si="178"/>
        <v>0.46879718067619869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210.04871822652808</v>
      </c>
      <c r="AO174" s="59">
        <f t="shared" si="144"/>
        <v>250.17540614049324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0.44736364841720661</v>
      </c>
      <c r="AV174" s="21">
        <f>EXP(-LN(2)/25)*AV173+(1-EXP(-LN(2)/25))/(LN(2)/25)*Calculateur!AQ174*Calculateur!AS174*VLOOKUP('Données projet'!$B$10,Paramètres!$A$1:$I$89,3,0)*0.475*44/12</f>
        <v>0.55810404002442737</v>
      </c>
      <c r="AW174" s="21">
        <f>EXP(-LN(2)/2)*AW173+(1-EXP(-LN(2)/2))/(LN(2)/2)*AQ174*AT174*VLOOKUP('Données projet'!$B$10,Paramètres!$A$1:$I$89,3,0)*0.475*44/12</f>
        <v>1.2909545197229409E-20</v>
      </c>
      <c r="AX174" s="21">
        <f t="shared" si="166"/>
        <v>1.005467688441634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553.99999999999955</v>
      </c>
      <c r="BE174" s="13">
        <f>BD174*VLOOKUP('Données projet'!$B$11,Paramètres!$A$1:$I$89,3,0)*VLOOKUP('Données projet'!$B$11,Paramètres!$A$1:$I$89,5,0)</f>
        <v>331.29199999999975</v>
      </c>
      <c r="BF174" s="13">
        <f t="shared" si="167"/>
        <v>77.698110787752</v>
      </c>
      <c r="BG174" s="20">
        <f t="shared" si="168"/>
        <v>712.32444295533423</v>
      </c>
      <c r="BH174" s="59">
        <f t="shared" si="116"/>
        <v>1005.6577762886675</v>
      </c>
      <c r="BI174" s="59">
        <f ca="1">AVERAGE(OFFSET($BH$3,0,0,'Données projet'!$E$11+1,1))-AVERAGE(OFFSET($H$3,0,0,'Données projet'!$E$11+1,1))</f>
        <v>316.58509520829671</v>
      </c>
      <c r="BJ174" s="59">
        <f t="shared" si="146"/>
        <v>240.71332110643596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0.15530289920605858</v>
      </c>
      <c r="BQ174" s="21">
        <f>EXP(-LN(2)/25)*BQ173+(1-EXP(-LN(2)/25))/(LN(2)/25)*Calculateur!BL174*Calculateur!BN174*VLOOKUP('Données projet'!$B$11,Paramètres!$A$1:$I$89,3,0)*0.475*44/12</f>
        <v>0.30617582117664038</v>
      </c>
      <c r="BR174" s="21">
        <f>EXP(-LN(2)/2)*BR173+(1-EXP(-LN(2)/2))/(LN(2)/2)*BL174*BO174*VLOOKUP('Données projet'!$B$11,Paramètres!$A$1:$I$89,3,0)*0.475*44/12</f>
        <v>1.3140410271798866E-20</v>
      </c>
      <c r="BS174" s="22">
        <f t="shared" si="169"/>
        <v>0.46147872038269899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-5.1159076974727213E-13</v>
      </c>
      <c r="BZ174" s="13">
        <f>BY174*VLOOKUP('Données projet'!$B$12,Paramètres!$A$1:$I$89,3,0)*VLOOKUP('Données projet'!$B$12,Paramètres!$A$1:$I$89,5,0)</f>
        <v>-4.0702161641092972E-13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260.20517190557814</v>
      </c>
      <c r="CE174" s="59">
        <f t="shared" si="148"/>
        <v>307.22009971147133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0.19993782104360308</v>
      </c>
      <c r="CL174" s="21">
        <f>EXP(-LN(2)/25)*CL173+(1-EXP(-LN(2)/25))/(LN(2)/25)*Calculateur!CG174*Calculateur!CI174*VLOOKUP('Données projet'!$B$12,Paramètres!$A$1:$I$89,3,0)*0.475*44/12</f>
        <v>0.4114904616360438</v>
      </c>
      <c r="CM174" s="21">
        <f>EXP(-LN(2)/2)*CM173+(1-EXP(-LN(2)/2))/(LN(2)/2)*CG174*CJ174*VLOOKUP('Données projet'!$B$12,Paramètres!$A$1:$I$89,3,0)*0.475*44/12</f>
        <v>1.439800506374175E-20</v>
      </c>
      <c r="CN174" s="22">
        <f t="shared" si="172"/>
        <v>0.61142828267964688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378.0000000000004</v>
      </c>
      <c r="CU174" s="17">
        <f>CT174*VLOOKUP('Données projet'!$B$13,Paramètres!$A$1:$I$89,3,0)*VLOOKUP('Données projet'!$B$13,Paramètres!$A$1:$I$89,5,0)</f>
        <v>324.32400000000035</v>
      </c>
      <c r="CV174" s="13">
        <f t="shared" si="173"/>
        <v>76.252341944982831</v>
      </c>
      <c r="CW174" s="20">
        <f t="shared" si="174"/>
        <v>697.67046222084571</v>
      </c>
      <c r="CX174" s="59">
        <f t="shared" si="122"/>
        <v>991.00379555417908</v>
      </c>
      <c r="CY174" s="59">
        <f ca="1">AVERAGE(OFFSET($CX$3,0,0,'Données projet'!$E$13+1,1))-AVERAGE(OFFSET($H$3,0,0,'Données projet'!$E$13+1,1))</f>
        <v>310.4018929413723</v>
      </c>
      <c r="CZ174" s="59">
        <f t="shared" si="150"/>
        <v>127.5231137583819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0.11806358203030533</v>
      </c>
      <c r="DH174" s="21">
        <f>EXP(-LN(2)/2)*DH173+(1-EXP(-LN(2)/2))/(LN(2)/2)*DB174*DE174*VLOOKUP('Données projet'!$B$13,Paramètres!$A$1:$I$89,3,0)*0.475*44/12</f>
        <v>5.3487415546124816E-21</v>
      </c>
      <c r="DI174" s="22">
        <f t="shared" si="175"/>
        <v>0.11806358203030533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>
        <f>DO174*VLOOKUP('Données projet'!$B$14,Paramètres!$A$1:$I$89,3,0)*VLOOKUP('Données projet'!$B$14,Paramètres!$A$1:$I$89,5,0)</f>
        <v>-3.7509835237869992E-13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234.09142087023463</v>
      </c>
      <c r="DU174" s="59">
        <f t="shared" si="152"/>
        <v>278.990685815294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0.14949106042512839</v>
      </c>
      <c r="EB174" s="21">
        <f>EXP(-LN(2)/25)*EB173+(1-EXP(-LN(2)/25))/(LN(2)/25)*Calculateur!DW174*Calculateur!DY174*VLOOKUP('Données projet'!$B$14,Paramètres!$A$1:$I$89,3,0)*0.475*44/12</f>
        <v>0.30766637919587364</v>
      </c>
      <c r="EC174" s="21">
        <f>EXP(-LN(2)/2)*EC173+(1-EXP(-LN(2)/2))/(LN(2)/2)*DW174*DZ174*VLOOKUP('Données projet'!$B$14,Paramètres!$A$1:$I$89,3,0)*0.475*44/12</f>
        <v>1.3268749764624898E-20</v>
      </c>
      <c r="ED174" s="22">
        <f t="shared" si="178"/>
        <v>0.45715743962100203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210.04871822652808</v>
      </c>
      <c r="AO175" s="59">
        <f t="shared" si="144"/>
        <v>250.17540614049324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0.43859112013662754</v>
      </c>
      <c r="AV175" s="21">
        <f>EXP(-LN(2)/25)*AV174+(1-EXP(-LN(2)/25))/(LN(2)/25)*Calculateur!AQ175*Calculateur!AS175*VLOOKUP('Données projet'!$B$10,Paramètres!$A$1:$I$89,3,0)*0.475*44/12</f>
        <v>0.54284265570054346</v>
      </c>
      <c r="AW175" s="21">
        <f>EXP(-LN(2)/2)*AW174+(1-EXP(-LN(2)/2))/(LN(2)/2)*AQ175*AT175*VLOOKUP('Données projet'!$B$10,Paramètres!$A$1:$I$89,3,0)*0.475*44/12</f>
        <v>9.1284269509951412E-21</v>
      </c>
      <c r="AX175" s="21">
        <f t="shared" si="166"/>
        <v>0.98143377583717095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553.99999999999955</v>
      </c>
      <c r="BE175" s="13">
        <f>BD175*VLOOKUP('Données projet'!$B$11,Paramètres!$A$1:$I$89,3,0)*VLOOKUP('Données projet'!$B$11,Paramètres!$A$1:$I$89,5,0)</f>
        <v>331.29199999999975</v>
      </c>
      <c r="BF175" s="13">
        <f t="shared" si="167"/>
        <v>77.698110787752</v>
      </c>
      <c r="BG175" s="20">
        <f t="shared" si="168"/>
        <v>712.32444295533423</v>
      </c>
      <c r="BH175" s="59">
        <f t="shared" si="116"/>
        <v>1005.6577762886675</v>
      </c>
      <c r="BI175" s="59">
        <f ca="1">AVERAGE(OFFSET($BH$3,0,0,'Données projet'!$E$11+1,1))-AVERAGE(OFFSET($H$3,0,0,'Données projet'!$E$11+1,1))</f>
        <v>316.58509520829671</v>
      </c>
      <c r="BJ175" s="59">
        <f t="shared" si="146"/>
        <v>240.71332110643596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0.15225750407804292</v>
      </c>
      <c r="BQ175" s="21">
        <f>EXP(-LN(2)/25)*BQ174+(1-EXP(-LN(2)/25))/(LN(2)/25)*Calculateur!BL175*Calculateur!BN175*VLOOKUP('Données projet'!$B$11,Paramètres!$A$1:$I$89,3,0)*0.475*44/12</f>
        <v>0.29780342724547848</v>
      </c>
      <c r="BR175" s="21">
        <f>EXP(-LN(2)/2)*BR174+(1-EXP(-LN(2)/2))/(LN(2)/2)*BL175*BO175*VLOOKUP('Données projet'!$B$11,Paramètres!$A$1:$I$89,3,0)*0.475*44/12</f>
        <v>9.2916732107623419E-21</v>
      </c>
      <c r="BS175" s="22">
        <f t="shared" si="169"/>
        <v>0.45006093132352143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-5.1159076974727213E-13</v>
      </c>
      <c r="BZ175" s="13">
        <f>BY175*VLOOKUP('Données projet'!$B$12,Paramètres!$A$1:$I$89,3,0)*VLOOKUP('Données projet'!$B$12,Paramètres!$A$1:$I$89,5,0)</f>
        <v>-4.0702161641092972E-13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260.20517190557814</v>
      </c>
      <c r="CE175" s="59">
        <f t="shared" si="148"/>
        <v>307.22009971147133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0.19601716232296729</v>
      </c>
      <c r="CL175" s="21">
        <f>EXP(-LN(2)/25)*CL174+(1-EXP(-LN(2)/25))/(LN(2)/25)*Calculateur!CG175*Calculateur!CI175*VLOOKUP('Données projet'!$B$12,Paramètres!$A$1:$I$89,3,0)*0.475*44/12</f>
        <v>0.4002382333232633</v>
      </c>
      <c r="CM175" s="21">
        <f>EXP(-LN(2)/2)*CM174+(1-EXP(-LN(2)/2))/(LN(2)/2)*CG175*CJ175*VLOOKUP('Données projet'!$B$12,Paramètres!$A$1:$I$89,3,0)*0.475*44/12</f>
        <v>1.0180927016130041E-20</v>
      </c>
      <c r="CN175" s="22">
        <f t="shared" si="172"/>
        <v>0.59625539564623065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378.0000000000004</v>
      </c>
      <c r="CU175" s="17">
        <f>CT175*VLOOKUP('Données projet'!$B$13,Paramètres!$A$1:$I$89,3,0)*VLOOKUP('Données projet'!$B$13,Paramètres!$A$1:$I$89,5,0)</f>
        <v>324.32400000000035</v>
      </c>
      <c r="CV175" s="13">
        <f t="shared" si="173"/>
        <v>76.252341944982831</v>
      </c>
      <c r="CW175" s="20">
        <f t="shared" si="174"/>
        <v>697.67046222084571</v>
      </c>
      <c r="CX175" s="59">
        <f t="shared" si="122"/>
        <v>991.00379555417908</v>
      </c>
      <c r="CY175" s="59">
        <f ca="1">AVERAGE(OFFSET($CX$3,0,0,'Données projet'!$E$13+1,1))-AVERAGE(OFFSET($H$3,0,0,'Données projet'!$E$13+1,1))</f>
        <v>310.4018929413723</v>
      </c>
      <c r="CZ175" s="59">
        <f t="shared" si="150"/>
        <v>127.5231137583819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0.11483512717099269</v>
      </c>
      <c r="DH175" s="21">
        <f>EXP(-LN(2)/2)*DH174+(1-EXP(-LN(2)/2))/(LN(2)/2)*DB175*DE175*VLOOKUP('Données projet'!$B$13,Paramètres!$A$1:$I$89,3,0)*0.475*44/12</f>
        <v>3.782131424080762E-21</v>
      </c>
      <c r="DI175" s="22">
        <f t="shared" si="175"/>
        <v>0.11483512717099269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>
        <f>DO175*VLOOKUP('Données projet'!$B$14,Paramètres!$A$1:$I$89,3,0)*VLOOKUP('Données projet'!$B$14,Paramètres!$A$1:$I$89,5,0)</f>
        <v>-3.7509835237869992E-13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234.09142087023463</v>
      </c>
      <c r="DU175" s="59">
        <f t="shared" si="152"/>
        <v>278.990685815294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0.14655963191073515</v>
      </c>
      <c r="EB175" s="21">
        <f>EXP(-LN(2)/25)*EB174+(1-EXP(-LN(2)/25))/(LN(2)/25)*Calculateur!DW175*Calculateur!DY175*VLOOKUP('Données projet'!$B$14,Paramètres!$A$1:$I$89,3,0)*0.475*44/12</f>
        <v>0.29925322587729075</v>
      </c>
      <c r="EC175" s="21">
        <f>EXP(-LN(2)/2)*EC174+(1-EXP(-LN(2)/2))/(LN(2)/2)*DW175*DZ175*VLOOKUP('Données projet'!$B$14,Paramètres!$A$1:$I$89,3,0)*0.475*44/12</f>
        <v>9.3824229364336728E-21</v>
      </c>
      <c r="ED175" s="22">
        <f t="shared" si="178"/>
        <v>0.44581285778802593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210.04871822652808</v>
      </c>
      <c r="AO176" s="59">
        <f t="shared" si="144"/>
        <v>250.17540614049324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0.42999061578491671</v>
      </c>
      <c r="AV176" s="21">
        <f>EXP(-LN(2)/25)*AV175+(1-EXP(-LN(2)/25))/(LN(2)/25)*Calculateur!AQ176*Calculateur!AS176*VLOOKUP('Données projet'!$B$10,Paramètres!$A$1:$I$89,3,0)*0.475*44/12</f>
        <v>0.52799859473355748</v>
      </c>
      <c r="AW176" s="21">
        <f>EXP(-LN(2)/2)*AW175+(1-EXP(-LN(2)/2))/(LN(2)/2)*AQ176*AT176*VLOOKUP('Données projet'!$B$10,Paramètres!$A$1:$I$89,3,0)*0.475*44/12</f>
        <v>6.4547725986147046E-21</v>
      </c>
      <c r="AX176" s="21">
        <f t="shared" si="166"/>
        <v>0.95798921051847419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553.99999999999955</v>
      </c>
      <c r="BE176" s="13">
        <f>BD176*VLOOKUP('Données projet'!$B$11,Paramètres!$A$1:$I$89,3,0)*VLOOKUP('Données projet'!$B$11,Paramètres!$A$1:$I$89,5,0)</f>
        <v>331.29199999999975</v>
      </c>
      <c r="BF176" s="13">
        <f t="shared" si="167"/>
        <v>77.698110787752</v>
      </c>
      <c r="BG176" s="20">
        <f t="shared" si="168"/>
        <v>712.32444295533423</v>
      </c>
      <c r="BH176" s="59">
        <f t="shared" si="116"/>
        <v>1005.6577762886675</v>
      </c>
      <c r="BI176" s="59">
        <f ca="1">AVERAGE(OFFSET($BH$3,0,0,'Données projet'!$E$11+1,1))-AVERAGE(OFFSET($H$3,0,0,'Données projet'!$E$11+1,1))</f>
        <v>316.58509520829671</v>
      </c>
      <c r="BJ176" s="59">
        <f t="shared" si="146"/>
        <v>240.71332110643596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0.14927182729098004</v>
      </c>
      <c r="BQ176" s="21">
        <f>EXP(-LN(2)/25)*BQ175+(1-EXP(-LN(2)/25))/(LN(2)/25)*Calculateur!BL176*Calculateur!BN176*VLOOKUP('Données projet'!$B$11,Paramètres!$A$1:$I$89,3,0)*0.475*44/12</f>
        <v>0.28965997686664929</v>
      </c>
      <c r="BR176" s="21">
        <f>EXP(-LN(2)/2)*BR175+(1-EXP(-LN(2)/2))/(LN(2)/2)*BL176*BO176*VLOOKUP('Données projet'!$B$11,Paramètres!$A$1:$I$89,3,0)*0.475*44/12</f>
        <v>6.5702051358994329E-21</v>
      </c>
      <c r="BS176" s="22">
        <f t="shared" si="169"/>
        <v>0.43893180415762933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-5.1159076974727213E-13</v>
      </c>
      <c r="BZ176" s="13">
        <f>BY176*VLOOKUP('Données projet'!$B$12,Paramètres!$A$1:$I$89,3,0)*VLOOKUP('Données projet'!$B$12,Paramètres!$A$1:$I$89,5,0)</f>
        <v>-4.0702161641092972E-13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260.20517190557814</v>
      </c>
      <c r="CE176" s="59">
        <f t="shared" si="148"/>
        <v>307.22009971147133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0.19217338532847747</v>
      </c>
      <c r="CL176" s="21">
        <f>EXP(-LN(2)/25)*CL175+(1-EXP(-LN(2)/25))/(LN(2)/25)*Calculateur!CG176*Calculateur!CI176*VLOOKUP('Données projet'!$B$12,Paramètres!$A$1:$I$89,3,0)*0.475*44/12</f>
        <v>0.38929369778542472</v>
      </c>
      <c r="CM176" s="21">
        <f>EXP(-LN(2)/2)*CM175+(1-EXP(-LN(2)/2))/(LN(2)/2)*CG176*CJ176*VLOOKUP('Données projet'!$B$12,Paramètres!$A$1:$I$89,3,0)*0.475*44/12</f>
        <v>7.1990025318708749E-21</v>
      </c>
      <c r="CN176" s="22">
        <f t="shared" si="172"/>
        <v>0.58146708311390216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378.0000000000004</v>
      </c>
      <c r="CU176" s="17">
        <f>CT176*VLOOKUP('Données projet'!$B$13,Paramètres!$A$1:$I$89,3,0)*VLOOKUP('Données projet'!$B$13,Paramètres!$A$1:$I$89,5,0)</f>
        <v>324.32400000000035</v>
      </c>
      <c r="CV176" s="13">
        <f t="shared" si="173"/>
        <v>76.252341944982831</v>
      </c>
      <c r="CW176" s="20">
        <f t="shared" si="174"/>
        <v>697.67046222084571</v>
      </c>
      <c r="CX176" s="59">
        <f t="shared" si="122"/>
        <v>991.00379555417908</v>
      </c>
      <c r="CY176" s="59">
        <f ca="1">AVERAGE(OFFSET($CX$3,0,0,'Données projet'!$E$13+1,1))-AVERAGE(OFFSET($H$3,0,0,'Données projet'!$E$13+1,1))</f>
        <v>310.4018929413723</v>
      </c>
      <c r="CZ176" s="59">
        <f t="shared" si="150"/>
        <v>127.5231137583819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0.11169495457958502</v>
      </c>
      <c r="DH176" s="21">
        <f>EXP(-LN(2)/2)*DH175+(1-EXP(-LN(2)/2))/(LN(2)/2)*DB176*DE176*VLOOKUP('Données projet'!$B$13,Paramètres!$A$1:$I$89,3,0)*0.475*44/12</f>
        <v>2.6743707773062408E-21</v>
      </c>
      <c r="DI176" s="22">
        <f t="shared" si="175"/>
        <v>0.11169495457958502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>
        <f>DO176*VLOOKUP('Données projet'!$B$14,Paramètres!$A$1:$I$89,3,0)*VLOOKUP('Données projet'!$B$14,Paramètres!$A$1:$I$89,5,0)</f>
        <v>-3.7509835237869992E-13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234.09142087023463</v>
      </c>
      <c r="DU176" s="59">
        <f t="shared" si="152"/>
        <v>278.990685815294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0.14368568692151432</v>
      </c>
      <c r="EB176" s="21">
        <f>EXP(-LN(2)/25)*EB175+(1-EXP(-LN(2)/25))/(LN(2)/25)*Calculateur!DW176*Calculateur!DY176*VLOOKUP('Données projet'!$B$14,Paramètres!$A$1:$I$89,3,0)*0.475*44/12</f>
        <v>0.29107013067863302</v>
      </c>
      <c r="EC176" s="21">
        <f>EXP(-LN(2)/2)*EC175+(1-EXP(-LN(2)/2))/(LN(2)/2)*DW176*DZ176*VLOOKUP('Données projet'!$B$14,Paramètres!$A$1:$I$89,3,0)*0.475*44/12</f>
        <v>6.63437488231245E-21</v>
      </c>
      <c r="ED176" s="22">
        <f t="shared" si="178"/>
        <v>0.43475581760014737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210.04871822652808</v>
      </c>
      <c r="AO177" s="59">
        <f t="shared" si="144"/>
        <v>250.17540614049324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0.42155876207775328</v>
      </c>
      <c r="AV177" s="21">
        <f>EXP(-LN(2)/25)*AV176+(1-EXP(-LN(2)/25))/(LN(2)/25)*Calculateur!AQ177*Calculateur!AS177*VLOOKUP('Données projet'!$B$10,Paramètres!$A$1:$I$89,3,0)*0.475*44/12</f>
        <v>0.51356044539432899</v>
      </c>
      <c r="AW177" s="21">
        <f>EXP(-LN(2)/2)*AW176+(1-EXP(-LN(2)/2))/(LN(2)/2)*AQ177*AT177*VLOOKUP('Données projet'!$B$10,Paramètres!$A$1:$I$89,3,0)*0.475*44/12</f>
        <v>4.5642134754975706E-21</v>
      </c>
      <c r="AX177" s="21">
        <f t="shared" si="166"/>
        <v>0.93511920747208221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553.99999999999955</v>
      </c>
      <c r="BE177" s="13">
        <f>BD177*VLOOKUP('Données projet'!$B$11,Paramètres!$A$1:$I$89,3,0)*VLOOKUP('Données projet'!$B$11,Paramètres!$A$1:$I$89,5,0)</f>
        <v>331.29199999999975</v>
      </c>
      <c r="BF177" s="13">
        <f t="shared" si="167"/>
        <v>77.698110787752</v>
      </c>
      <c r="BG177" s="20">
        <f t="shared" si="168"/>
        <v>712.32444295533423</v>
      </c>
      <c r="BH177" s="59">
        <f t="shared" si="116"/>
        <v>1005.6577762886675</v>
      </c>
      <c r="BI177" s="59">
        <f ca="1">AVERAGE(OFFSET($BH$3,0,0,'Données projet'!$E$11+1,1))-AVERAGE(OFFSET($H$3,0,0,'Données projet'!$E$11+1,1))</f>
        <v>316.58509520829671</v>
      </c>
      <c r="BJ177" s="59">
        <f t="shared" si="146"/>
        <v>240.71332110643596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0.14634469780462844</v>
      </c>
      <c r="BQ177" s="21">
        <f>EXP(-LN(2)/25)*BQ176+(1-EXP(-LN(2)/25))/(LN(2)/25)*Calculateur!BL177*Calculateur!BN177*VLOOKUP('Données projet'!$B$11,Paramètres!$A$1:$I$89,3,0)*0.475*44/12</f>
        <v>0.28173920956667459</v>
      </c>
      <c r="BR177" s="21">
        <f>EXP(-LN(2)/2)*BR176+(1-EXP(-LN(2)/2))/(LN(2)/2)*BL177*BO177*VLOOKUP('Données projet'!$B$11,Paramètres!$A$1:$I$89,3,0)*0.475*44/12</f>
        <v>4.645836605381171E-21</v>
      </c>
      <c r="BS177" s="22">
        <f t="shared" si="169"/>
        <v>0.42808390737130303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-5.1159076974727213E-13</v>
      </c>
      <c r="BZ177" s="13">
        <f>BY177*VLOOKUP('Données projet'!$B$12,Paramètres!$A$1:$I$89,3,0)*VLOOKUP('Données projet'!$B$12,Paramètres!$A$1:$I$89,5,0)</f>
        <v>-4.0702161641092972E-13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260.20517190557814</v>
      </c>
      <c r="CE177" s="59">
        <f t="shared" si="148"/>
        <v>307.22009971147133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0.18840498245637713</v>
      </c>
      <c r="CL177" s="21">
        <f>EXP(-LN(2)/25)*CL176+(1-EXP(-LN(2)/25))/(LN(2)/25)*Calculateur!CG177*Calculateur!CI177*VLOOKUP('Données projet'!$B$12,Paramètres!$A$1:$I$89,3,0)*0.475*44/12</f>
        <v>0.37864844114741647</v>
      </c>
      <c r="CM177" s="21">
        <f>EXP(-LN(2)/2)*CM176+(1-EXP(-LN(2)/2))/(LN(2)/2)*CG177*CJ177*VLOOKUP('Données projet'!$B$12,Paramètres!$A$1:$I$89,3,0)*0.475*44/12</f>
        <v>5.0904635080650204E-21</v>
      </c>
      <c r="CN177" s="22">
        <f t="shared" si="172"/>
        <v>0.56705342360379363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378.0000000000004</v>
      </c>
      <c r="CU177" s="17">
        <f>CT177*VLOOKUP('Données projet'!$B$13,Paramètres!$A$1:$I$89,3,0)*VLOOKUP('Données projet'!$B$13,Paramètres!$A$1:$I$89,5,0)</f>
        <v>324.32400000000035</v>
      </c>
      <c r="CV177" s="13">
        <f t="shared" si="173"/>
        <v>76.252341944982831</v>
      </c>
      <c r="CW177" s="20">
        <f t="shared" si="174"/>
        <v>697.67046222084571</v>
      </c>
      <c r="CX177" s="59">
        <f t="shared" si="122"/>
        <v>991.00379555417908</v>
      </c>
      <c r="CY177" s="59">
        <f ca="1">AVERAGE(OFFSET($CX$3,0,0,'Données projet'!$E$13+1,1))-AVERAGE(OFFSET($H$3,0,0,'Données projet'!$E$13+1,1))</f>
        <v>310.4018929413723</v>
      </c>
      <c r="CZ177" s="59">
        <f t="shared" si="150"/>
        <v>127.5231137583819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0.10864065017282389</v>
      </c>
      <c r="DH177" s="21">
        <f>EXP(-LN(2)/2)*DH176+(1-EXP(-LN(2)/2))/(LN(2)/2)*DB177*DE177*VLOOKUP('Données projet'!$B$13,Paramètres!$A$1:$I$89,3,0)*0.475*44/12</f>
        <v>1.891065712040381E-21</v>
      </c>
      <c r="DI177" s="22">
        <f t="shared" si="175"/>
        <v>0.10864065017282389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>
        <f>DO177*VLOOKUP('Données projet'!$B$14,Paramètres!$A$1:$I$89,3,0)*VLOOKUP('Données projet'!$B$14,Paramètres!$A$1:$I$89,5,0)</f>
        <v>-3.7509835237869992E-13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234.09142087023463</v>
      </c>
      <c r="DU177" s="59">
        <f t="shared" si="152"/>
        <v>278.990685815294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0.14086809824059876</v>
      </c>
      <c r="EB177" s="21">
        <f>EXP(-LN(2)/25)*EB176+(1-EXP(-LN(2)/25))/(LN(2)/25)*Calculateur!DW177*Calculateur!DY177*VLOOKUP('Données projet'!$B$14,Paramètres!$A$1:$I$89,3,0)*0.475*44/12</f>
        <v>0.2831108026485129</v>
      </c>
      <c r="EC177" s="21">
        <f>EXP(-LN(2)/2)*EC176+(1-EXP(-LN(2)/2))/(LN(2)/2)*DW177*DZ177*VLOOKUP('Données projet'!$B$14,Paramètres!$A$1:$I$89,3,0)*0.475*44/12</f>
        <v>4.6912114682168371E-21</v>
      </c>
      <c r="ED177" s="22">
        <f t="shared" si="178"/>
        <v>0.42397890088911167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210.04871822652808</v>
      </c>
      <c r="AO178" s="59">
        <f t="shared" si="144"/>
        <v>250.17540614049324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0.41329225187886437</v>
      </c>
      <c r="AV178" s="21">
        <f>EXP(-LN(2)/25)*AV177+(1-EXP(-LN(2)/25))/(LN(2)/25)*Calculateur!AQ178*Calculateur!AS178*VLOOKUP('Données projet'!$B$10,Paramètres!$A$1:$I$89,3,0)*0.475*44/12</f>
        <v>0.49951710800805099</v>
      </c>
      <c r="AW178" s="21">
        <f>EXP(-LN(2)/2)*AW177+(1-EXP(-LN(2)/2))/(LN(2)/2)*AQ178*AT178*VLOOKUP('Données projet'!$B$10,Paramètres!$A$1:$I$89,3,0)*0.475*44/12</f>
        <v>3.2273862993073523E-21</v>
      </c>
      <c r="AX178" s="21">
        <f t="shared" si="166"/>
        <v>0.91280935988691536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553.99999999999955</v>
      </c>
      <c r="BE178" s="13">
        <f>BD178*VLOOKUP('Données projet'!$B$11,Paramètres!$A$1:$I$89,3,0)*VLOOKUP('Données projet'!$B$11,Paramètres!$A$1:$I$89,5,0)</f>
        <v>331.29199999999975</v>
      </c>
      <c r="BF178" s="13">
        <f t="shared" si="167"/>
        <v>77.698110787752</v>
      </c>
      <c r="BG178" s="20">
        <f t="shared" si="168"/>
        <v>712.32444295533423</v>
      </c>
      <c r="BH178" s="59">
        <f t="shared" si="116"/>
        <v>1005.6577762886675</v>
      </c>
      <c r="BI178" s="59">
        <f ca="1">AVERAGE(OFFSET($BH$3,0,0,'Données projet'!$E$11+1,1))-AVERAGE(OFFSET($H$3,0,0,'Données projet'!$E$11+1,1))</f>
        <v>316.58509520829671</v>
      </c>
      <c r="BJ178" s="59">
        <f t="shared" si="146"/>
        <v>240.71332110643596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0.14347496754213152</v>
      </c>
      <c r="BQ178" s="21">
        <f>EXP(-LN(2)/25)*BQ177+(1-EXP(-LN(2)/25))/(LN(2)/25)*Calculateur!BL178*Calculateur!BN178*VLOOKUP('Données projet'!$B$11,Paramètres!$A$1:$I$89,3,0)*0.475*44/12</f>
        <v>0.27403503606505275</v>
      </c>
      <c r="BR178" s="21">
        <f>EXP(-LN(2)/2)*BR177+(1-EXP(-LN(2)/2))/(LN(2)/2)*BL178*BO178*VLOOKUP('Données projet'!$B$11,Paramètres!$A$1:$I$89,3,0)*0.475*44/12</f>
        <v>3.2851025679497164E-21</v>
      </c>
      <c r="BS178" s="22">
        <f t="shared" si="169"/>
        <v>0.41751000360718427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-5.1159076974727213E-13</v>
      </c>
      <c r="BZ178" s="13">
        <f>BY178*VLOOKUP('Données projet'!$B$12,Paramètres!$A$1:$I$89,3,0)*VLOOKUP('Données projet'!$B$12,Paramètres!$A$1:$I$89,5,0)</f>
        <v>-4.0702161641092972E-13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260.20517190557814</v>
      </c>
      <c r="CE178" s="59">
        <f t="shared" si="148"/>
        <v>307.22009971147133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0.18471047566609988</v>
      </c>
      <c r="CL178" s="21">
        <f>EXP(-LN(2)/25)*CL177+(1-EXP(-LN(2)/25))/(LN(2)/25)*Calculateur!CG178*Calculateur!CI178*VLOOKUP('Données projet'!$B$12,Paramètres!$A$1:$I$89,3,0)*0.475*44/12</f>
        <v>0.36829427961198424</v>
      </c>
      <c r="CM178" s="21">
        <f>EXP(-LN(2)/2)*CM177+(1-EXP(-LN(2)/2))/(LN(2)/2)*CG178*CJ178*VLOOKUP('Données projet'!$B$12,Paramètres!$A$1:$I$89,3,0)*0.475*44/12</f>
        <v>3.5995012659354375E-21</v>
      </c>
      <c r="CN178" s="22">
        <f t="shared" si="172"/>
        <v>0.55300475527808413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378.0000000000004</v>
      </c>
      <c r="CU178" s="17">
        <f>CT178*VLOOKUP('Données projet'!$B$13,Paramètres!$A$1:$I$89,3,0)*VLOOKUP('Données projet'!$B$13,Paramètres!$A$1:$I$89,5,0)</f>
        <v>324.32400000000035</v>
      </c>
      <c r="CV178" s="13">
        <f t="shared" si="173"/>
        <v>76.252341944982831</v>
      </c>
      <c r="CW178" s="20">
        <f t="shared" si="174"/>
        <v>697.67046222084571</v>
      </c>
      <c r="CX178" s="59">
        <f t="shared" si="122"/>
        <v>991.00379555417908</v>
      </c>
      <c r="CY178" s="59">
        <f ca="1">AVERAGE(OFFSET($CX$3,0,0,'Données projet'!$E$13+1,1))-AVERAGE(OFFSET($H$3,0,0,'Données projet'!$E$13+1,1))</f>
        <v>310.4018929413723</v>
      </c>
      <c r="CZ178" s="59">
        <f t="shared" si="150"/>
        <v>127.5231137583819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0.10566986588068453</v>
      </c>
      <c r="DH178" s="21">
        <f>EXP(-LN(2)/2)*DH177+(1-EXP(-LN(2)/2))/(LN(2)/2)*DB178*DE178*VLOOKUP('Données projet'!$B$13,Paramètres!$A$1:$I$89,3,0)*0.475*44/12</f>
        <v>1.3371853886531204E-21</v>
      </c>
      <c r="DI178" s="22">
        <f t="shared" si="175"/>
        <v>0.10566986588068453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>
        <f>DO178*VLOOKUP('Données projet'!$B$14,Paramètres!$A$1:$I$89,3,0)*VLOOKUP('Données projet'!$B$14,Paramètres!$A$1:$I$89,5,0)</f>
        <v>-3.7509835237869992E-13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234.09142087023463</v>
      </c>
      <c r="DU178" s="59">
        <f t="shared" si="152"/>
        <v>278.990685815294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0.13810576075515654</v>
      </c>
      <c r="EB178" s="21">
        <f>EXP(-LN(2)/25)*EB177+(1-EXP(-LN(2)/25))/(LN(2)/25)*Calculateur!DW178*Calculateur!DY178*VLOOKUP('Données projet'!$B$14,Paramètres!$A$1:$I$89,3,0)*0.475*44/12</f>
        <v>0.27536912286193926</v>
      </c>
      <c r="EC178" s="21">
        <f>EXP(-LN(2)/2)*EC177+(1-EXP(-LN(2)/2))/(LN(2)/2)*DW178*DZ178*VLOOKUP('Données projet'!$B$14,Paramètres!$A$1:$I$89,3,0)*0.475*44/12</f>
        <v>3.3171874411562257E-21</v>
      </c>
      <c r="ED178" s="22">
        <f t="shared" si="178"/>
        <v>0.41347488361709583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210.04871822652808</v>
      </c>
      <c r="AO179" s="59">
        <f t="shared" si="144"/>
        <v>250.17540614049324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0.40518784290290233</v>
      </c>
      <c r="AV179" s="21">
        <f>EXP(-LN(2)/25)*AV178+(1-EXP(-LN(2)/25))/(LN(2)/25)*Calculateur!AQ179*Calculateur!AS179*VLOOKUP('Données projet'!$B$10,Paramètres!$A$1:$I$89,3,0)*0.475*44/12</f>
        <v>0.48585778642110777</v>
      </c>
      <c r="AW179" s="21">
        <f>EXP(-LN(2)/2)*AW178+(1-EXP(-LN(2)/2))/(LN(2)/2)*AQ179*AT179*VLOOKUP('Données projet'!$B$10,Paramètres!$A$1:$I$89,3,0)*0.475*44/12</f>
        <v>2.2821067377487853E-21</v>
      </c>
      <c r="AX179" s="21">
        <f t="shared" si="166"/>
        <v>0.8910456293240101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553.99999999999955</v>
      </c>
      <c r="BE179" s="13">
        <f>BD179*VLOOKUP('Données projet'!$B$11,Paramètres!$A$1:$I$89,3,0)*VLOOKUP('Données projet'!$B$11,Paramètres!$A$1:$I$89,5,0)</f>
        <v>331.29199999999975</v>
      </c>
      <c r="BF179" s="13">
        <f t="shared" si="167"/>
        <v>77.698110787752</v>
      </c>
      <c r="BG179" s="20">
        <f t="shared" si="168"/>
        <v>712.32444295533423</v>
      </c>
      <c r="BH179" s="59">
        <f t="shared" si="116"/>
        <v>1005.6577762886675</v>
      </c>
      <c r="BI179" s="59">
        <f ca="1">AVERAGE(OFFSET($BH$3,0,0,'Données projet'!$E$11+1,1))-AVERAGE(OFFSET($H$3,0,0,'Données projet'!$E$11+1,1))</f>
        <v>316.58509520829671</v>
      </c>
      <c r="BJ179" s="59">
        <f t="shared" si="146"/>
        <v>240.71332110643596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0.14066151093971951</v>
      </c>
      <c r="BQ179" s="21">
        <f>EXP(-LN(2)/25)*BQ178+(1-EXP(-LN(2)/25))/(LN(2)/25)*Calculateur!BL179*Calculateur!BN179*VLOOKUP('Données projet'!$B$11,Paramètres!$A$1:$I$89,3,0)*0.475*44/12</f>
        <v>0.26654153359297766</v>
      </c>
      <c r="BR179" s="21">
        <f>EXP(-LN(2)/2)*BR178+(1-EXP(-LN(2)/2))/(LN(2)/2)*BL179*BO179*VLOOKUP('Données projet'!$B$11,Paramètres!$A$1:$I$89,3,0)*0.475*44/12</f>
        <v>2.3229183026905855E-21</v>
      </c>
      <c r="BS179" s="22">
        <f t="shared" si="169"/>
        <v>0.40720304453269718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-5.1159076974727213E-13</v>
      </c>
      <c r="BZ179" s="13">
        <f>BY179*VLOOKUP('Données projet'!$B$12,Paramètres!$A$1:$I$89,3,0)*VLOOKUP('Données projet'!$B$12,Paramètres!$A$1:$I$89,5,0)</f>
        <v>-4.0702161641092972E-13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260.20517190557814</v>
      </c>
      <c r="CE179" s="59">
        <f t="shared" si="148"/>
        <v>307.22009971147133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0.18108841590055336</v>
      </c>
      <c r="CL179" s="21">
        <f>EXP(-LN(2)/25)*CL178+(1-EXP(-LN(2)/25))/(LN(2)/25)*Calculateur!CG179*Calculateur!CI179*VLOOKUP('Données projet'!$B$12,Paramètres!$A$1:$I$89,3,0)*0.475*44/12</f>
        <v>0.35822325316824011</v>
      </c>
      <c r="CM179" s="21">
        <f>EXP(-LN(2)/2)*CM178+(1-EXP(-LN(2)/2))/(LN(2)/2)*CG179*CJ179*VLOOKUP('Données projet'!$B$12,Paramètres!$A$1:$I$89,3,0)*0.475*44/12</f>
        <v>2.5452317540325102E-21</v>
      </c>
      <c r="CN179" s="22">
        <f t="shared" si="172"/>
        <v>0.53931166906879346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378.0000000000004</v>
      </c>
      <c r="CU179" s="17">
        <f>CT179*VLOOKUP('Données projet'!$B$13,Paramètres!$A$1:$I$89,3,0)*VLOOKUP('Données projet'!$B$13,Paramètres!$A$1:$I$89,5,0)</f>
        <v>324.32400000000035</v>
      </c>
      <c r="CV179" s="13">
        <f t="shared" si="173"/>
        <v>76.252341944982831</v>
      </c>
      <c r="CW179" s="20">
        <f t="shared" si="174"/>
        <v>697.67046222084571</v>
      </c>
      <c r="CX179" s="59">
        <f t="shared" si="122"/>
        <v>991.00379555417908</v>
      </c>
      <c r="CY179" s="59">
        <f ca="1">AVERAGE(OFFSET($CX$3,0,0,'Données projet'!$E$13+1,1))-AVERAGE(OFFSET($H$3,0,0,'Données projet'!$E$13+1,1))</f>
        <v>310.4018929413723</v>
      </c>
      <c r="CZ179" s="59">
        <f t="shared" si="150"/>
        <v>127.5231137583819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0.10278031784124048</v>
      </c>
      <c r="DH179" s="21">
        <f>EXP(-LN(2)/2)*DH178+(1-EXP(-LN(2)/2))/(LN(2)/2)*DB179*DE179*VLOOKUP('Données projet'!$B$13,Paramètres!$A$1:$I$89,3,0)*0.475*44/12</f>
        <v>9.455328560201905E-22</v>
      </c>
      <c r="DI179" s="22">
        <f t="shared" si="175"/>
        <v>0.10278031784124048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>
        <f>DO179*VLOOKUP('Données projet'!$B$14,Paramètres!$A$1:$I$89,3,0)*VLOOKUP('Données projet'!$B$14,Paramètres!$A$1:$I$89,5,0)</f>
        <v>-3.7509835237869992E-13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234.09142087023463</v>
      </c>
      <c r="DU179" s="59">
        <f t="shared" si="152"/>
        <v>278.990685815294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0.13539759102294435</v>
      </c>
      <c r="EB179" s="21">
        <f>EXP(-LN(2)/25)*EB178+(1-EXP(-LN(2)/25))/(LN(2)/25)*Calculateur!DW179*Calculateur!DY179*VLOOKUP('Données projet'!$B$14,Paramètres!$A$1:$I$89,3,0)*0.475*44/12</f>
        <v>0.26783913971624673</v>
      </c>
      <c r="EC179" s="21">
        <f>EXP(-LN(2)/2)*EC178+(1-EXP(-LN(2)/2))/(LN(2)/2)*DW179*DZ179*VLOOKUP('Données projet'!$B$14,Paramètres!$A$1:$I$89,3,0)*0.475*44/12</f>
        <v>2.3456057341084189E-21</v>
      </c>
      <c r="ED179" s="22">
        <f t="shared" si="178"/>
        <v>0.40323673073919108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210.04871822652808</v>
      </c>
      <c r="AO180" s="59">
        <f t="shared" si="144"/>
        <v>250.17540614049324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0.39724235644375749</v>
      </c>
      <c r="AV180" s="21">
        <f>EXP(-LN(2)/25)*AV179+(1-EXP(-LN(2)/25))/(LN(2)/25)*Calculateur!AQ180*Calculateur!AS180*VLOOKUP('Données projet'!$B$10,Paramètres!$A$1:$I$89,3,0)*0.475*44/12</f>
        <v>0.47257197970127202</v>
      </c>
      <c r="AW180" s="21">
        <f>EXP(-LN(2)/2)*AW179+(1-EXP(-LN(2)/2))/(LN(2)/2)*AQ180*AT180*VLOOKUP('Données projet'!$B$10,Paramètres!$A$1:$I$89,3,0)*0.475*44/12</f>
        <v>1.6136931496536761E-21</v>
      </c>
      <c r="AX180" s="21">
        <f t="shared" si="166"/>
        <v>0.86981433614502945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553.99999999999955</v>
      </c>
      <c r="BE180" s="13">
        <f>BD180*VLOOKUP('Données projet'!$B$11,Paramètres!$A$1:$I$89,3,0)*VLOOKUP('Données projet'!$B$11,Paramètres!$A$1:$I$89,5,0)</f>
        <v>331.29199999999975</v>
      </c>
      <c r="BF180" s="13">
        <f t="shared" si="167"/>
        <v>77.698110787752</v>
      </c>
      <c r="BG180" s="20">
        <f t="shared" si="168"/>
        <v>712.32444295533423</v>
      </c>
      <c r="BH180" s="59">
        <f t="shared" si="116"/>
        <v>1005.6577762886675</v>
      </c>
      <c r="BI180" s="59">
        <f ca="1">AVERAGE(OFFSET($BH$3,0,0,'Données projet'!$E$11+1,1))-AVERAGE(OFFSET($H$3,0,0,'Données projet'!$E$11+1,1))</f>
        <v>316.58509520829671</v>
      </c>
      <c r="BJ180" s="59">
        <f t="shared" si="146"/>
        <v>240.71332110643596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0.13790322450524173</v>
      </c>
      <c r="BQ180" s="21">
        <f>EXP(-LN(2)/25)*BQ179+(1-EXP(-LN(2)/25))/(LN(2)/25)*Calculateur!BL180*Calculateur!BN180*VLOOKUP('Données projet'!$B$11,Paramètres!$A$1:$I$89,3,0)*0.475*44/12</f>
        <v>0.2592529413400676</v>
      </c>
      <c r="BR180" s="21">
        <f>EXP(-LN(2)/2)*BR179+(1-EXP(-LN(2)/2))/(LN(2)/2)*BL180*BO180*VLOOKUP('Données projet'!$B$11,Paramètres!$A$1:$I$89,3,0)*0.475*44/12</f>
        <v>1.6425512839748582E-21</v>
      </c>
      <c r="BS180" s="22">
        <f t="shared" si="169"/>
        <v>0.39715616584530933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-5.1159076974727213E-13</v>
      </c>
      <c r="BZ180" s="13">
        <f>BY180*VLOOKUP('Données projet'!$B$12,Paramètres!$A$1:$I$89,3,0)*VLOOKUP('Données projet'!$B$12,Paramètres!$A$1:$I$89,5,0)</f>
        <v>-4.0702161641092972E-13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260.20517190557814</v>
      </c>
      <c r="CE180" s="59">
        <f t="shared" si="148"/>
        <v>307.22009971147133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0.17753738251777088</v>
      </c>
      <c r="CL180" s="21">
        <f>EXP(-LN(2)/25)*CL179+(1-EXP(-LN(2)/25))/(LN(2)/25)*Calculateur!CG180*Calculateur!CI180*VLOOKUP('Données projet'!$B$12,Paramètres!$A$1:$I$89,3,0)*0.475*44/12</f>
        <v>0.3484276194722124</v>
      </c>
      <c r="CM180" s="21">
        <f>EXP(-LN(2)/2)*CM179+(1-EXP(-LN(2)/2))/(LN(2)/2)*CG180*CJ180*VLOOKUP('Données projet'!$B$12,Paramètres!$A$1:$I$89,3,0)*0.475*44/12</f>
        <v>1.7997506329677187E-21</v>
      </c>
      <c r="CN180" s="22">
        <f t="shared" si="172"/>
        <v>0.52596500198998331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378.0000000000004</v>
      </c>
      <c r="CU180" s="17">
        <f>CT180*VLOOKUP('Données projet'!$B$13,Paramètres!$A$1:$I$89,3,0)*VLOOKUP('Données projet'!$B$13,Paramètres!$A$1:$I$89,5,0)</f>
        <v>324.32400000000035</v>
      </c>
      <c r="CV180" s="13">
        <f t="shared" si="173"/>
        <v>76.252341944982831</v>
      </c>
      <c r="CW180" s="20">
        <f t="shared" si="174"/>
        <v>697.67046222084571</v>
      </c>
      <c r="CX180" s="59">
        <f t="shared" si="122"/>
        <v>991.00379555417908</v>
      </c>
      <c r="CY180" s="59">
        <f ca="1">AVERAGE(OFFSET($CX$3,0,0,'Données projet'!$E$13+1,1))-AVERAGE(OFFSET($H$3,0,0,'Données projet'!$E$13+1,1))</f>
        <v>310.4018929413723</v>
      </c>
      <c r="CZ180" s="59">
        <f t="shared" si="150"/>
        <v>127.5231137583819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9.9969784644889745E-2</v>
      </c>
      <c r="DH180" s="21">
        <f>EXP(-LN(2)/2)*DH179+(1-EXP(-LN(2)/2))/(LN(2)/2)*DB180*DE180*VLOOKUP('Données projet'!$B$13,Paramètres!$A$1:$I$89,3,0)*0.475*44/12</f>
        <v>6.6859269432656019E-22</v>
      </c>
      <c r="DI180" s="22">
        <f t="shared" si="175"/>
        <v>9.9969784644889745E-2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>
        <f>DO180*VLOOKUP('Données projet'!$B$14,Paramètres!$A$1:$I$89,3,0)*VLOOKUP('Données projet'!$B$14,Paramètres!$A$1:$I$89,5,0)</f>
        <v>-3.7509835237869992E-13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234.09142087023463</v>
      </c>
      <c r="DU180" s="59">
        <f t="shared" si="152"/>
        <v>278.990685815294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0.1327425268473604</v>
      </c>
      <c r="EB180" s="21">
        <f>EXP(-LN(2)/25)*EB179+(1-EXP(-LN(2)/25))/(LN(2)/25)*Calculateur!DW180*Calculateur!DY180*VLOOKUP('Données projet'!$B$14,Paramètres!$A$1:$I$89,3,0)*0.475*44/12</f>
        <v>0.26051506435565774</v>
      </c>
      <c r="EC180" s="21">
        <f>EXP(-LN(2)/2)*EC179+(1-EXP(-LN(2)/2))/(LN(2)/2)*DW180*DZ180*VLOOKUP('Données projet'!$B$14,Paramètres!$A$1:$I$89,3,0)*0.475*44/12</f>
        <v>1.6585937205781131E-21</v>
      </c>
      <c r="ED180" s="22">
        <f t="shared" si="178"/>
        <v>0.39325759120301818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210.04871822652808</v>
      </c>
      <c r="AO181" s="59">
        <f t="shared" si="144"/>
        <v>250.17540614049324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0.38945267612780832</v>
      </c>
      <c r="AV181" s="21">
        <f>EXP(-LN(2)/25)*AV180+(1-EXP(-LN(2)/25))/(LN(2)/25)*Calculateur!AQ181*Calculateur!AS181*VLOOKUP('Données projet'!$B$10,Paramètres!$A$1:$I$89,3,0)*0.475*44/12</f>
        <v>0.4596494740648604</v>
      </c>
      <c r="AW181" s="21">
        <f>EXP(-LN(2)/2)*AW180+(1-EXP(-LN(2)/2))/(LN(2)/2)*AQ181*AT181*VLOOKUP('Données projet'!$B$10,Paramètres!$A$1:$I$89,3,0)*0.475*44/12</f>
        <v>1.1410533688743926E-21</v>
      </c>
      <c r="AX181" s="21">
        <f t="shared" si="166"/>
        <v>0.84910215019266877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553.99999999999955</v>
      </c>
      <c r="BE181" s="13">
        <f>BD181*VLOOKUP('Données projet'!$B$11,Paramètres!$A$1:$I$89,3,0)*VLOOKUP('Données projet'!$B$11,Paramètres!$A$1:$I$89,5,0)</f>
        <v>331.29199999999975</v>
      </c>
      <c r="BF181" s="13">
        <f t="shared" si="167"/>
        <v>77.698110787752</v>
      </c>
      <c r="BG181" s="20">
        <f t="shared" si="168"/>
        <v>712.32444295533423</v>
      </c>
      <c r="BH181" s="59">
        <f t="shared" si="116"/>
        <v>1005.6577762886675</v>
      </c>
      <c r="BI181" s="59">
        <f ca="1">AVERAGE(OFFSET($BH$3,0,0,'Données projet'!$E$11+1,1))-AVERAGE(OFFSET($H$3,0,0,'Données projet'!$E$11+1,1))</f>
        <v>316.58509520829671</v>
      </c>
      <c r="BJ181" s="59">
        <f t="shared" si="146"/>
        <v>240.71332110643596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0.13519902638535544</v>
      </c>
      <c r="BQ181" s="21">
        <f>EXP(-LN(2)/25)*BQ180+(1-EXP(-LN(2)/25))/(LN(2)/25)*Calculateur!BL181*Calculateur!BN181*VLOOKUP('Données projet'!$B$11,Paramètres!$A$1:$I$89,3,0)*0.475*44/12</f>
        <v>0.25216365602560381</v>
      </c>
      <c r="BR181" s="21">
        <f>EXP(-LN(2)/2)*BR180+(1-EXP(-LN(2)/2))/(LN(2)/2)*BL181*BO181*VLOOKUP('Données projet'!$B$11,Paramètres!$A$1:$I$89,3,0)*0.475*44/12</f>
        <v>1.1614591513452927E-21</v>
      </c>
      <c r="BS181" s="22">
        <f t="shared" si="169"/>
        <v>0.38736268241095928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-5.1159076974727213E-13</v>
      </c>
      <c r="BZ181" s="13">
        <f>BY181*VLOOKUP('Données projet'!$B$12,Paramètres!$A$1:$I$89,3,0)*VLOOKUP('Données projet'!$B$12,Paramètres!$A$1:$I$89,5,0)</f>
        <v>-4.0702161641092972E-13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260.20517190557814</v>
      </c>
      <c r="CE181" s="59">
        <f t="shared" si="148"/>
        <v>307.22009971147133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0.17405598273370826</v>
      </c>
      <c r="CL181" s="21">
        <f>EXP(-LN(2)/25)*CL180+(1-EXP(-LN(2)/25))/(LN(2)/25)*Calculateur!CG181*Calculateur!CI181*VLOOKUP('Données projet'!$B$12,Paramètres!$A$1:$I$89,3,0)*0.475*44/12</f>
        <v>0.3388998478947326</v>
      </c>
      <c r="CM181" s="21">
        <f>EXP(-LN(2)/2)*CM180+(1-EXP(-LN(2)/2))/(LN(2)/2)*CG181*CJ181*VLOOKUP('Données projet'!$B$12,Paramètres!$A$1:$I$89,3,0)*0.475*44/12</f>
        <v>1.2726158770162551E-21</v>
      </c>
      <c r="CN181" s="22">
        <f t="shared" si="172"/>
        <v>0.51295583062844086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378.0000000000004</v>
      </c>
      <c r="CU181" s="17">
        <f>CT181*VLOOKUP('Données projet'!$B$13,Paramètres!$A$1:$I$89,3,0)*VLOOKUP('Données projet'!$B$13,Paramètres!$A$1:$I$89,5,0)</f>
        <v>324.32400000000035</v>
      </c>
      <c r="CV181" s="13">
        <f t="shared" si="173"/>
        <v>76.252341944982831</v>
      </c>
      <c r="CW181" s="20">
        <f t="shared" si="174"/>
        <v>697.67046222084571</v>
      </c>
      <c r="CX181" s="59">
        <f t="shared" si="122"/>
        <v>991.00379555417908</v>
      </c>
      <c r="CY181" s="59">
        <f ca="1">AVERAGE(OFFSET($CX$3,0,0,'Données projet'!$E$13+1,1))-AVERAGE(OFFSET($H$3,0,0,'Données projet'!$E$13+1,1))</f>
        <v>310.4018929413723</v>
      </c>
      <c r="CZ181" s="59">
        <f t="shared" si="150"/>
        <v>127.5231137583819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9.7236105626592739E-2</v>
      </c>
      <c r="DH181" s="21">
        <f>EXP(-LN(2)/2)*DH180+(1-EXP(-LN(2)/2))/(LN(2)/2)*DB181*DE181*VLOOKUP('Données projet'!$B$13,Paramètres!$A$1:$I$89,3,0)*0.475*44/12</f>
        <v>4.7276642801009525E-22</v>
      </c>
      <c r="DI181" s="22">
        <f t="shared" si="175"/>
        <v>9.7236105626592739E-2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>
        <f>DO181*VLOOKUP('Données projet'!$B$14,Paramètres!$A$1:$I$89,3,0)*VLOOKUP('Données projet'!$B$14,Paramètres!$A$1:$I$89,5,0)</f>
        <v>-3.7509835237869992E-13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234.09142087023463</v>
      </c>
      <c r="DU181" s="59">
        <f t="shared" si="152"/>
        <v>278.990685815294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0.13013952686083041</v>
      </c>
      <c r="EB181" s="21">
        <f>EXP(-LN(2)/25)*EB180+(1-EXP(-LN(2)/25))/(LN(2)/25)*Calculateur!DW181*Calculateur!DY181*VLOOKUP('Données projet'!$B$14,Paramètres!$A$1:$I$89,3,0)*0.475*44/12</f>
        <v>0.25339126622096048</v>
      </c>
      <c r="EC181" s="21">
        <f>EXP(-LN(2)/2)*EC180+(1-EXP(-LN(2)/2))/(LN(2)/2)*DW181*DZ181*VLOOKUP('Données projet'!$B$14,Paramètres!$A$1:$I$89,3,0)*0.475*44/12</f>
        <v>1.1728028670542097E-21</v>
      </c>
      <c r="ED181" s="22">
        <f t="shared" si="178"/>
        <v>0.38353079308179089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210.04871822652808</v>
      </c>
      <c r="AO182" s="59">
        <f t="shared" si="144"/>
        <v>250.17540614049324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0.38181574669161905</v>
      </c>
      <c r="AV182" s="21">
        <f>EXP(-LN(2)/25)*AV181+(1-EXP(-LN(2)/25))/(LN(2)/25)*Calculateur!AQ182*Calculateur!AS182*VLOOKUP('Données projet'!$B$10,Paramètres!$A$1:$I$89,3,0)*0.475*44/12</f>
        <v>0.44708033502464151</v>
      </c>
      <c r="AW182" s="21">
        <f>EXP(-LN(2)/2)*AW181+(1-EXP(-LN(2)/2))/(LN(2)/2)*AQ182*AT182*VLOOKUP('Données projet'!$B$10,Paramètres!$A$1:$I$89,3,0)*0.475*44/12</f>
        <v>8.0684657482683807E-22</v>
      </c>
      <c r="AX182" s="21">
        <f t="shared" si="166"/>
        <v>0.8288960817162605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553.99999999999955</v>
      </c>
      <c r="BE182" s="13">
        <f>BD182*VLOOKUP('Données projet'!$B$11,Paramètres!$A$1:$I$89,3,0)*VLOOKUP('Données projet'!$B$11,Paramètres!$A$1:$I$89,5,0)</f>
        <v>331.29199999999975</v>
      </c>
      <c r="BF182" s="13">
        <f t="shared" si="167"/>
        <v>77.698110787752</v>
      </c>
      <c r="BG182" s="20">
        <f t="shared" si="168"/>
        <v>712.32444295533423</v>
      </c>
      <c r="BH182" s="59">
        <f t="shared" si="116"/>
        <v>1005.6577762886675</v>
      </c>
      <c r="BI182" s="59">
        <f ca="1">AVERAGE(OFFSET($BH$3,0,0,'Données projet'!$E$11+1,1))-AVERAGE(OFFSET($H$3,0,0,'Données projet'!$E$11+1,1))</f>
        <v>316.58509520829671</v>
      </c>
      <c r="BJ182" s="59">
        <f t="shared" si="146"/>
        <v>240.71332110643596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0.13254785594120214</v>
      </c>
      <c r="BQ182" s="21">
        <f>EXP(-LN(2)/25)*BQ181+(1-EXP(-LN(2)/25))/(LN(2)/25)*Calculateur!BL182*Calculateur!BN182*VLOOKUP('Données projet'!$B$11,Paramètres!$A$1:$I$89,3,0)*0.475*44/12</f>
        <v>0.24526822759087333</v>
      </c>
      <c r="BR182" s="21">
        <f>EXP(-LN(2)/2)*BR181+(1-EXP(-LN(2)/2))/(LN(2)/2)*BL182*BO182*VLOOKUP('Données projet'!$B$11,Paramètres!$A$1:$I$89,3,0)*0.475*44/12</f>
        <v>8.2127564198742911E-22</v>
      </c>
      <c r="BS182" s="22">
        <f t="shared" si="169"/>
        <v>0.37781608353207546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-5.1159076974727213E-13</v>
      </c>
      <c r="BZ182" s="13">
        <f>BY182*VLOOKUP('Données projet'!$B$12,Paramètres!$A$1:$I$89,3,0)*VLOOKUP('Données projet'!$B$12,Paramètres!$A$1:$I$89,5,0)</f>
        <v>-4.0702161641092972E-13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260.20517190557814</v>
      </c>
      <c r="CE182" s="59">
        <f t="shared" si="148"/>
        <v>307.22009971147133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0.17064285107596691</v>
      </c>
      <c r="CL182" s="21">
        <f>EXP(-LN(2)/25)*CL181+(1-EXP(-LN(2)/25))/(LN(2)/25)*Calculateur!CG182*Calculateur!CI182*VLOOKUP('Données projet'!$B$12,Paramètres!$A$1:$I$89,3,0)*0.475*44/12</f>
        <v>0.32963261373208269</v>
      </c>
      <c r="CM182" s="21">
        <f>EXP(-LN(2)/2)*CM181+(1-EXP(-LN(2)/2))/(LN(2)/2)*CG182*CJ182*VLOOKUP('Données projet'!$B$12,Paramètres!$A$1:$I$89,3,0)*0.475*44/12</f>
        <v>8.9987531648385936E-22</v>
      </c>
      <c r="CN182" s="22">
        <f t="shared" si="172"/>
        <v>0.50027546480804963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378.0000000000004</v>
      </c>
      <c r="CU182" s="17">
        <f>CT182*VLOOKUP('Données projet'!$B$13,Paramètres!$A$1:$I$89,3,0)*VLOOKUP('Données projet'!$B$13,Paramètres!$A$1:$I$89,5,0)</f>
        <v>324.32400000000035</v>
      </c>
      <c r="CV182" s="13">
        <f t="shared" si="173"/>
        <v>76.252341944982831</v>
      </c>
      <c r="CW182" s="20">
        <f t="shared" si="174"/>
        <v>697.67046222084571</v>
      </c>
      <c r="CX182" s="59">
        <f t="shared" si="122"/>
        <v>991.00379555417908</v>
      </c>
      <c r="CY182" s="59">
        <f ca="1">AVERAGE(OFFSET($CX$3,0,0,'Données projet'!$E$13+1,1))-AVERAGE(OFFSET($H$3,0,0,'Données projet'!$E$13+1,1))</f>
        <v>310.4018929413723</v>
      </c>
      <c r="CZ182" s="59">
        <f t="shared" si="150"/>
        <v>127.5231137583819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9.4577179204809E-2</v>
      </c>
      <c r="DH182" s="21">
        <f>EXP(-LN(2)/2)*DH181+(1-EXP(-LN(2)/2))/(LN(2)/2)*DB182*DE182*VLOOKUP('Données projet'!$B$13,Paramètres!$A$1:$I$89,3,0)*0.475*44/12</f>
        <v>3.342963471632801E-22</v>
      </c>
      <c r="DI182" s="22">
        <f t="shared" si="175"/>
        <v>9.4577179204809E-2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>
        <f>DO182*VLOOKUP('Données projet'!$B$14,Paramètres!$A$1:$I$89,3,0)*VLOOKUP('Données projet'!$B$14,Paramètres!$A$1:$I$89,5,0)</f>
        <v>-3.7509835237869992E-13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234.09142087023463</v>
      </c>
      <c r="DU182" s="59">
        <f t="shared" si="152"/>
        <v>278.990685815294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0.12758757011636307</v>
      </c>
      <c r="EB182" s="21">
        <f>EXP(-LN(2)/25)*EB181+(1-EXP(-LN(2)/25))/(LN(2)/25)*Calculateur!DW182*Calculateur!DY182*VLOOKUP('Données projet'!$B$14,Paramètres!$A$1:$I$89,3,0)*0.475*44/12</f>
        <v>0.24646226872088076</v>
      </c>
      <c r="EC182" s="21">
        <f>EXP(-LN(2)/2)*EC181+(1-EXP(-LN(2)/2))/(LN(2)/2)*DW182*DZ182*VLOOKUP('Données projet'!$B$14,Paramètres!$A$1:$I$89,3,0)*0.475*44/12</f>
        <v>8.2929686028905672E-22</v>
      </c>
      <c r="ED182" s="22">
        <f t="shared" si="178"/>
        <v>0.37404983883724385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210.04871822652808</v>
      </c>
      <c r="AO183" s="59">
        <f t="shared" si="144"/>
        <v>250.17540614049324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0.37432857278360643</v>
      </c>
      <c r="AV183" s="21">
        <f>EXP(-LN(2)/25)*AV182+(1-EXP(-LN(2)/25))/(LN(2)/25)*Calculateur!AQ183*Calculateur!AS183*VLOOKUP('Données projet'!$B$10,Paramètres!$A$1:$I$89,3,0)*0.475*44/12</f>
        <v>0.43485489975245967</v>
      </c>
      <c r="AW183" s="21">
        <f>EXP(-LN(2)/2)*AW182+(1-EXP(-LN(2)/2))/(LN(2)/2)*AQ183*AT183*VLOOKUP('Données projet'!$B$10,Paramètres!$A$1:$I$89,3,0)*0.475*44/12</f>
        <v>5.7052668443719632E-22</v>
      </c>
      <c r="AX183" s="21">
        <f t="shared" si="166"/>
        <v>0.80918347253606604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553.99999999999955</v>
      </c>
      <c r="BE183" s="13">
        <f>BD183*VLOOKUP('Données projet'!$B$11,Paramètres!$A$1:$I$89,3,0)*VLOOKUP('Données projet'!$B$11,Paramètres!$A$1:$I$89,5,0)</f>
        <v>331.29199999999975</v>
      </c>
      <c r="BF183" s="13">
        <f t="shared" si="167"/>
        <v>77.698110787752</v>
      </c>
      <c r="BG183" s="20">
        <f t="shared" si="168"/>
        <v>712.32444295533423</v>
      </c>
      <c r="BH183" s="59">
        <f t="shared" si="116"/>
        <v>1005.6577762886675</v>
      </c>
      <c r="BI183" s="59">
        <f ca="1">AVERAGE(OFFSET($BH$3,0,0,'Données projet'!$E$11+1,1))-AVERAGE(OFFSET($H$3,0,0,'Données projet'!$E$11+1,1))</f>
        <v>316.58509520829671</v>
      </c>
      <c r="BJ183" s="59">
        <f t="shared" si="146"/>
        <v>240.71332110643596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0.1299486733324044</v>
      </c>
      <c r="BQ183" s="21">
        <f>EXP(-LN(2)/25)*BQ182+(1-EXP(-LN(2)/25))/(LN(2)/25)*Calculateur!BL183*Calculateur!BN183*VLOOKUP('Données projet'!$B$11,Paramètres!$A$1:$I$89,3,0)*0.475*44/12</f>
        <v>0.23856135500930536</v>
      </c>
      <c r="BR183" s="21">
        <f>EXP(-LN(2)/2)*BR182+(1-EXP(-LN(2)/2))/(LN(2)/2)*BL183*BO183*VLOOKUP('Données projet'!$B$11,Paramètres!$A$1:$I$89,3,0)*0.475*44/12</f>
        <v>5.8072957567264637E-22</v>
      </c>
      <c r="BS183" s="22">
        <f t="shared" si="169"/>
        <v>0.36851002834170976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-5.1159076974727213E-13</v>
      </c>
      <c r="BZ183" s="13">
        <f>BY183*VLOOKUP('Données projet'!$B$12,Paramètres!$A$1:$I$89,3,0)*VLOOKUP('Données projet'!$B$12,Paramètres!$A$1:$I$89,5,0)</f>
        <v>-4.0702161641092972E-13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260.20517190557814</v>
      </c>
      <c r="CE183" s="59">
        <f t="shared" si="148"/>
        <v>307.22009971147133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0.16729664884822912</v>
      </c>
      <c r="CL183" s="21">
        <f>EXP(-LN(2)/25)*CL182+(1-EXP(-LN(2)/25))/(LN(2)/25)*Calculateur!CG183*Calculateur!CI183*VLOOKUP('Données projet'!$B$12,Paramètres!$A$1:$I$89,3,0)*0.475*44/12</f>
        <v>0.32061879257495313</v>
      </c>
      <c r="CM183" s="21">
        <f>EXP(-LN(2)/2)*CM182+(1-EXP(-LN(2)/2))/(LN(2)/2)*CG183*CJ183*VLOOKUP('Données projet'!$B$12,Paramètres!$A$1:$I$89,3,0)*0.475*44/12</f>
        <v>6.3630793850812755E-22</v>
      </c>
      <c r="CN183" s="22">
        <f t="shared" si="172"/>
        <v>0.48791544142318222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378.0000000000004</v>
      </c>
      <c r="CU183" s="17">
        <f>CT183*VLOOKUP('Données projet'!$B$13,Paramètres!$A$1:$I$89,3,0)*VLOOKUP('Données projet'!$B$13,Paramètres!$A$1:$I$89,5,0)</f>
        <v>324.32400000000035</v>
      </c>
      <c r="CV183" s="13">
        <f t="shared" si="173"/>
        <v>76.252341944982831</v>
      </c>
      <c r="CW183" s="20">
        <f t="shared" si="174"/>
        <v>697.67046222084571</v>
      </c>
      <c r="CX183" s="59">
        <f t="shared" si="122"/>
        <v>991.00379555417908</v>
      </c>
      <c r="CY183" s="59">
        <f ca="1">AVERAGE(OFFSET($CX$3,0,0,'Données projet'!$E$13+1,1))-AVERAGE(OFFSET($H$3,0,0,'Données projet'!$E$13+1,1))</f>
        <v>310.4018929413723</v>
      </c>
      <c r="CZ183" s="59">
        <f t="shared" si="150"/>
        <v>127.5231137583819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9.1990961265855806E-2</v>
      </c>
      <c r="DH183" s="21">
        <f>EXP(-LN(2)/2)*DH182+(1-EXP(-LN(2)/2))/(LN(2)/2)*DB183*DE183*VLOOKUP('Données projet'!$B$13,Paramètres!$A$1:$I$89,3,0)*0.475*44/12</f>
        <v>2.3638321400504763E-22</v>
      </c>
      <c r="DI183" s="22">
        <f t="shared" si="175"/>
        <v>9.1990961265855806E-2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>
        <f>DO183*VLOOKUP('Données projet'!$B$14,Paramètres!$A$1:$I$89,3,0)*VLOOKUP('Données projet'!$B$14,Paramètres!$A$1:$I$89,5,0)</f>
        <v>-3.7509835237869992E-13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234.09142087023463</v>
      </c>
      <c r="DU183" s="59">
        <f t="shared" si="152"/>
        <v>278.990685815294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0.1250856556871148</v>
      </c>
      <c r="EB183" s="21">
        <f>EXP(-LN(2)/25)*EB182+(1-EXP(-LN(2)/25))/(LN(2)/25)*Calculateur!DW183*Calculateur!DY183*VLOOKUP('Données projet'!$B$14,Paramètres!$A$1:$I$89,3,0)*0.475*44/12</f>
        <v>0.23972274502182087</v>
      </c>
      <c r="EC183" s="21">
        <f>EXP(-LN(2)/2)*EC182+(1-EXP(-LN(2)/2))/(LN(2)/2)*DW183*DZ183*VLOOKUP('Données projet'!$B$14,Paramètres!$A$1:$I$89,3,0)*0.475*44/12</f>
        <v>5.8640143352710492E-22</v>
      </c>
      <c r="ED183" s="22">
        <f t="shared" si="178"/>
        <v>0.36480840070893567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210.04871822652808</v>
      </c>
      <c r="AO184" s="59">
        <f t="shared" si="144"/>
        <v>250.17540614049324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0.36698821778920476</v>
      </c>
      <c r="AV184" s="21">
        <f>EXP(-LN(2)/25)*AV183+(1-EXP(-LN(2)/25))/(LN(2)/25)*Calculateur!AQ184*Calculateur!AS184*VLOOKUP('Données projet'!$B$10,Paramètres!$A$1:$I$89,3,0)*0.475*44/12</f>
        <v>0.42296376965070337</v>
      </c>
      <c r="AW184" s="21">
        <f>EXP(-LN(2)/2)*AW183+(1-EXP(-LN(2)/2))/(LN(2)/2)*AQ184*AT184*VLOOKUP('Données projet'!$B$10,Paramètres!$A$1:$I$89,3,0)*0.475*44/12</f>
        <v>4.0342328741341904E-22</v>
      </c>
      <c r="AX184" s="21">
        <f t="shared" si="166"/>
        <v>0.78995198743990813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553.99999999999955</v>
      </c>
      <c r="BE184" s="13">
        <f>BD184*VLOOKUP('Données projet'!$B$11,Paramètres!$A$1:$I$89,3,0)*VLOOKUP('Données projet'!$B$11,Paramètres!$A$1:$I$89,5,0)</f>
        <v>331.29199999999975</v>
      </c>
      <c r="BF184" s="13">
        <f t="shared" si="167"/>
        <v>77.698110787752</v>
      </c>
      <c r="BG184" s="20">
        <f t="shared" si="168"/>
        <v>712.32444295533423</v>
      </c>
      <c r="BH184" s="59">
        <f t="shared" si="116"/>
        <v>1005.6577762886675</v>
      </c>
      <c r="BI184" s="59">
        <f ca="1">AVERAGE(OFFSET($BH$3,0,0,'Données projet'!$E$11+1,1))-AVERAGE(OFFSET($H$3,0,0,'Données projet'!$E$11+1,1))</f>
        <v>316.58509520829671</v>
      </c>
      <c r="BJ184" s="59">
        <f t="shared" si="146"/>
        <v>240.71332110643596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0.12740045910922032</v>
      </c>
      <c r="BQ184" s="21">
        <f>EXP(-LN(2)/25)*BQ183+(1-EXP(-LN(2)/25))/(LN(2)/25)*Calculateur!BL184*Calculateur!BN184*VLOOKUP('Données projet'!$B$11,Paramètres!$A$1:$I$89,3,0)*0.475*44/12</f>
        <v>0.23203788221117949</v>
      </c>
      <c r="BR184" s="21">
        <f>EXP(-LN(2)/2)*BR183+(1-EXP(-LN(2)/2))/(LN(2)/2)*BL184*BO184*VLOOKUP('Données projet'!$B$11,Paramètres!$A$1:$I$89,3,0)*0.475*44/12</f>
        <v>4.1063782099371456E-22</v>
      </c>
      <c r="BS184" s="22">
        <f t="shared" si="169"/>
        <v>0.35943834132039981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-5.1159076974727213E-13</v>
      </c>
      <c r="BZ184" s="13">
        <f>BY184*VLOOKUP('Données projet'!$B$12,Paramètres!$A$1:$I$89,3,0)*VLOOKUP('Données projet'!$B$12,Paramètres!$A$1:$I$89,5,0)</f>
        <v>-4.0702161641092972E-13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260.20517190557814</v>
      </c>
      <c r="CE184" s="59">
        <f t="shared" si="148"/>
        <v>307.22009971147133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0.16401606360519544</v>
      </c>
      <c r="CL184" s="21">
        <f>EXP(-LN(2)/25)*CL183+(1-EXP(-LN(2)/25))/(LN(2)/25)*Calculateur!CG184*Calculateur!CI184*VLOOKUP('Données projet'!$B$12,Paramètres!$A$1:$I$89,3,0)*0.475*44/12</f>
        <v>0.31185145483138149</v>
      </c>
      <c r="CM184" s="21">
        <f>EXP(-LN(2)/2)*CM183+(1-EXP(-LN(2)/2))/(LN(2)/2)*CG184*CJ184*VLOOKUP('Données projet'!$B$12,Paramètres!$A$1:$I$89,3,0)*0.475*44/12</f>
        <v>4.4993765824192968E-22</v>
      </c>
      <c r="CN184" s="22">
        <f t="shared" si="172"/>
        <v>0.47586751843657693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378.0000000000004</v>
      </c>
      <c r="CU184" s="17">
        <f>CT184*VLOOKUP('Données projet'!$B$13,Paramètres!$A$1:$I$89,3,0)*VLOOKUP('Données projet'!$B$13,Paramètres!$A$1:$I$89,5,0)</f>
        <v>324.32400000000035</v>
      </c>
      <c r="CV184" s="13">
        <f t="shared" si="173"/>
        <v>76.252341944982831</v>
      </c>
      <c r="CW184" s="20">
        <f t="shared" si="174"/>
        <v>697.67046222084571</v>
      </c>
      <c r="CX184" s="59">
        <f t="shared" si="122"/>
        <v>991.00379555417908</v>
      </c>
      <c r="CY184" s="59">
        <f ca="1">AVERAGE(OFFSET($CX$3,0,0,'Données projet'!$E$13+1,1))-AVERAGE(OFFSET($H$3,0,0,'Données projet'!$E$13+1,1))</f>
        <v>310.4018929413723</v>
      </c>
      <c r="CZ184" s="59">
        <f t="shared" si="150"/>
        <v>127.5231137583819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8.9475463592446569E-2</v>
      </c>
      <c r="DH184" s="21">
        <f>EXP(-LN(2)/2)*DH183+(1-EXP(-LN(2)/2))/(LN(2)/2)*DB184*DE184*VLOOKUP('Données projet'!$B$13,Paramètres!$A$1:$I$89,3,0)*0.475*44/12</f>
        <v>1.6714817358164005E-22</v>
      </c>
      <c r="DI184" s="22">
        <f t="shared" si="175"/>
        <v>8.9475463592446569E-2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>
        <f>DO184*VLOOKUP('Données projet'!$B$14,Paramètres!$A$1:$I$89,3,0)*VLOOKUP('Données projet'!$B$14,Paramètres!$A$1:$I$89,5,0)</f>
        <v>-3.7509835237869992E-13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234.09142087023463</v>
      </c>
      <c r="DU184" s="59">
        <f t="shared" si="152"/>
        <v>278.990685815294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0.12263280227380698</v>
      </c>
      <c r="EB184" s="21">
        <f>EXP(-LN(2)/25)*EB183+(1-EXP(-LN(2)/25))/(LN(2)/25)*Calculateur!DW184*Calculateur!DY184*VLOOKUP('Données projet'!$B$14,Paramètres!$A$1:$I$89,3,0)*0.475*44/12</f>
        <v>0.23316751395272792</v>
      </c>
      <c r="EC184" s="21">
        <f>EXP(-LN(2)/2)*EC183+(1-EXP(-LN(2)/2))/(LN(2)/2)*DW184*DZ184*VLOOKUP('Données projet'!$B$14,Paramètres!$A$1:$I$89,3,0)*0.475*44/12</f>
        <v>4.1464843014452841E-22</v>
      </c>
      <c r="ED184" s="22">
        <f t="shared" si="178"/>
        <v>0.35580031622653491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210.04871822652808</v>
      </c>
      <c r="AO185" s="59">
        <f t="shared" si="144"/>
        <v>250.17540614049324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0.35979180267906885</v>
      </c>
      <c r="AV185" s="21">
        <f>EXP(-LN(2)/25)*AV184+(1-EXP(-LN(2)/25))/(LN(2)/25)*Calculateur!AQ185*Calculateur!AS185*VLOOKUP('Données projet'!$B$10,Paramètres!$A$1:$I$89,3,0)*0.475*44/12</f>
        <v>0.41139780312690694</v>
      </c>
      <c r="AW185" s="21">
        <f>EXP(-LN(2)/2)*AW184+(1-EXP(-LN(2)/2))/(LN(2)/2)*AQ185*AT185*VLOOKUP('Données projet'!$B$10,Paramètres!$A$1:$I$89,3,0)*0.475*44/12</f>
        <v>2.8526334221859816E-22</v>
      </c>
      <c r="AX185" s="21">
        <f t="shared" si="166"/>
        <v>0.77118960580597573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553.99999999999955</v>
      </c>
      <c r="BE185" s="13">
        <f>BD185*VLOOKUP('Données projet'!$B$11,Paramètres!$A$1:$I$89,3,0)*VLOOKUP('Données projet'!$B$11,Paramètres!$A$1:$I$89,5,0)</f>
        <v>331.29199999999975</v>
      </c>
      <c r="BF185" s="13">
        <f t="shared" si="167"/>
        <v>77.698110787752</v>
      </c>
      <c r="BG185" s="20">
        <f t="shared" si="168"/>
        <v>712.32444295533423</v>
      </c>
      <c r="BH185" s="59">
        <f t="shared" si="116"/>
        <v>1005.6577762886675</v>
      </c>
      <c r="BI185" s="59">
        <f ca="1">AVERAGE(OFFSET($BH$3,0,0,'Données projet'!$E$11+1,1))-AVERAGE(OFFSET($H$3,0,0,'Données projet'!$E$11+1,1))</f>
        <v>316.58509520829671</v>
      </c>
      <c r="BJ185" s="59">
        <f t="shared" si="146"/>
        <v>240.71332110643596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0.12490221381269567</v>
      </c>
      <c r="BQ185" s="21">
        <f>EXP(-LN(2)/25)*BQ184+(1-EXP(-LN(2)/25))/(LN(2)/25)*Calculateur!BL185*Calculateur!BN185*VLOOKUP('Données projet'!$B$11,Paramètres!$A$1:$I$89,3,0)*0.475*44/12</f>
        <v>0.22569279411977289</v>
      </c>
      <c r="BR185" s="21">
        <f>EXP(-LN(2)/2)*BR184+(1-EXP(-LN(2)/2))/(LN(2)/2)*BL185*BO185*VLOOKUP('Données projet'!$B$11,Paramètres!$A$1:$I$89,3,0)*0.475*44/12</f>
        <v>2.9036478783632319E-22</v>
      </c>
      <c r="BS185" s="22">
        <f t="shared" si="169"/>
        <v>0.35059500793246856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-5.1159076974727213E-13</v>
      </c>
      <c r="BZ185" s="13">
        <f>BY185*VLOOKUP('Données projet'!$B$12,Paramètres!$A$1:$I$89,3,0)*VLOOKUP('Données projet'!$B$12,Paramètres!$A$1:$I$89,5,0)</f>
        <v>-4.0702161641092972E-13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260.20517190557814</v>
      </c>
      <c r="CE185" s="59">
        <f t="shared" si="148"/>
        <v>307.22009971147133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0.16079980863781823</v>
      </c>
      <c r="CL185" s="21">
        <f>EXP(-LN(2)/25)*CL184+(1-EXP(-LN(2)/25))/(LN(2)/25)*Calculateur!CG185*Calculateur!CI185*VLOOKUP('Données projet'!$B$12,Paramètres!$A$1:$I$89,3,0)*0.475*44/12</f>
        <v>0.30332386039946208</v>
      </c>
      <c r="CM185" s="21">
        <f>EXP(-LN(2)/2)*CM184+(1-EXP(-LN(2)/2))/(LN(2)/2)*CG185*CJ185*VLOOKUP('Données projet'!$B$12,Paramètres!$A$1:$I$89,3,0)*0.475*44/12</f>
        <v>3.1815396925406377E-22</v>
      </c>
      <c r="CN185" s="22">
        <f t="shared" si="172"/>
        <v>0.46412366903728031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378.0000000000004</v>
      </c>
      <c r="CU185" s="17">
        <f>CT185*VLOOKUP('Données projet'!$B$13,Paramètres!$A$1:$I$89,3,0)*VLOOKUP('Données projet'!$B$13,Paramètres!$A$1:$I$89,5,0)</f>
        <v>324.32400000000035</v>
      </c>
      <c r="CV185" s="13">
        <f t="shared" si="173"/>
        <v>76.252341944982831</v>
      </c>
      <c r="CW185" s="20">
        <f t="shared" si="174"/>
        <v>697.67046222084571</v>
      </c>
      <c r="CX185" s="59">
        <f t="shared" si="122"/>
        <v>991.00379555417908</v>
      </c>
      <c r="CY185" s="59">
        <f ca="1">AVERAGE(OFFSET($CX$3,0,0,'Données projet'!$E$13+1,1))-AVERAGE(OFFSET($H$3,0,0,'Données projet'!$E$13+1,1))</f>
        <v>310.4018929413723</v>
      </c>
      <c r="CZ185" s="59">
        <f t="shared" si="150"/>
        <v>127.5231137583819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8.7028752335200993E-2</v>
      </c>
      <c r="DH185" s="21">
        <f>EXP(-LN(2)/2)*DH184+(1-EXP(-LN(2)/2))/(LN(2)/2)*DB185*DE185*VLOOKUP('Données projet'!$B$13,Paramètres!$A$1:$I$89,3,0)*0.475*44/12</f>
        <v>1.1819160700252381E-22</v>
      </c>
      <c r="DI185" s="22">
        <f t="shared" si="175"/>
        <v>8.7028752335200993E-2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>
        <f>DO185*VLOOKUP('Données projet'!$B$14,Paramètres!$A$1:$I$89,3,0)*VLOOKUP('Données projet'!$B$14,Paramètres!$A$1:$I$89,5,0)</f>
        <v>-3.7509835237869992E-13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234.09142087023463</v>
      </c>
      <c r="DU185" s="59">
        <f t="shared" si="152"/>
        <v>278.990685815294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0.12022804781984125</v>
      </c>
      <c r="EB185" s="21">
        <f>EXP(-LN(2)/25)*EB184+(1-EXP(-LN(2)/25))/(LN(2)/25)*Calculateur!DW185*Calculateur!DY185*VLOOKUP('Données projet'!$B$14,Paramètres!$A$1:$I$89,3,0)*0.475*44/12</f>
        <v>0.22679153602194393</v>
      </c>
      <c r="EC185" s="21">
        <f>EXP(-LN(2)/2)*EC184+(1-EXP(-LN(2)/2))/(LN(2)/2)*DW185*DZ185*VLOOKUP('Données projet'!$B$14,Paramètres!$A$1:$I$89,3,0)*0.475*44/12</f>
        <v>2.9320071676355251E-22</v>
      </c>
      <c r="ED185" s="22">
        <f t="shared" si="178"/>
        <v>0.34701958384178522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210.04871822652808</v>
      </c>
      <c r="AO186" s="59">
        <f t="shared" si="144"/>
        <v>250.17540614049324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0.35273650487986291</v>
      </c>
      <c r="AV186" s="21">
        <f>EXP(-LN(2)/25)*AV185+(1-EXP(-LN(2)/25))/(LN(2)/25)*Calculateur!AQ186*Calculateur!AS186*VLOOKUP('Données projet'!$B$10,Paramètres!$A$1:$I$89,3,0)*0.475*44/12</f>
        <v>0.40014810856593147</v>
      </c>
      <c r="AW186" s="21">
        <f>EXP(-LN(2)/2)*AW185+(1-EXP(-LN(2)/2))/(LN(2)/2)*AQ186*AT186*VLOOKUP('Données projet'!$B$10,Paramètres!$A$1:$I$89,3,0)*0.475*44/12</f>
        <v>2.0171164370670952E-22</v>
      </c>
      <c r="AX186" s="21">
        <f t="shared" si="166"/>
        <v>0.75288461344579438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553.99999999999955</v>
      </c>
      <c r="BE186" s="13">
        <f>BD186*VLOOKUP('Données projet'!$B$11,Paramètres!$A$1:$I$89,3,0)*VLOOKUP('Données projet'!$B$11,Paramètres!$A$1:$I$89,5,0)</f>
        <v>331.29199999999975</v>
      </c>
      <c r="BF186" s="13">
        <f t="shared" si="167"/>
        <v>77.698110787752</v>
      </c>
      <c r="BG186" s="20">
        <f t="shared" si="168"/>
        <v>712.32444295533423</v>
      </c>
      <c r="BH186" s="59">
        <f t="shared" si="116"/>
        <v>1005.6577762886675</v>
      </c>
      <c r="BI186" s="59">
        <f ca="1">AVERAGE(OFFSET($BH$3,0,0,'Données projet'!$E$11+1,1))-AVERAGE(OFFSET($H$3,0,0,'Données projet'!$E$11+1,1))</f>
        <v>316.58509520829671</v>
      </c>
      <c r="BJ186" s="59">
        <f t="shared" si="146"/>
        <v>240.71332110643596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0.1224529575826567</v>
      </c>
      <c r="BQ186" s="21">
        <f>EXP(-LN(2)/25)*BQ185+(1-EXP(-LN(2)/25))/(LN(2)/25)*Calculateur!BL186*Calculateur!BN186*VLOOKUP('Données projet'!$B$11,Paramètres!$A$1:$I$89,3,0)*0.475*44/12</f>
        <v>0.21952121279589948</v>
      </c>
      <c r="BR186" s="21">
        <f>EXP(-LN(2)/2)*BR185+(1-EXP(-LN(2)/2))/(LN(2)/2)*BL186*BO186*VLOOKUP('Données projet'!$B$11,Paramètres!$A$1:$I$89,3,0)*0.475*44/12</f>
        <v>2.0531891049685728E-22</v>
      </c>
      <c r="BS186" s="22">
        <f t="shared" si="169"/>
        <v>0.34197417037855615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-5.1159076974727213E-13</v>
      </c>
      <c r="BZ186" s="13">
        <f>BY186*VLOOKUP('Données projet'!$B$12,Paramètres!$A$1:$I$89,3,0)*VLOOKUP('Données projet'!$B$12,Paramètres!$A$1:$I$89,5,0)</f>
        <v>-4.0702161641092972E-13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260.20517190557814</v>
      </c>
      <c r="CE186" s="59">
        <f t="shared" si="148"/>
        <v>307.22009971147133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0.15764662246862945</v>
      </c>
      <c r="CL186" s="21">
        <f>EXP(-LN(2)/25)*CL185+(1-EXP(-LN(2)/25))/(LN(2)/25)*Calculateur!CG186*Calculateur!CI186*VLOOKUP('Données projet'!$B$12,Paramètres!$A$1:$I$89,3,0)*0.475*44/12</f>
        <v>0.29502945348573023</v>
      </c>
      <c r="CM186" s="21">
        <f>EXP(-LN(2)/2)*CM185+(1-EXP(-LN(2)/2))/(LN(2)/2)*CG186*CJ186*VLOOKUP('Données projet'!$B$12,Paramètres!$A$1:$I$89,3,0)*0.475*44/12</f>
        <v>2.2496882912096484E-22</v>
      </c>
      <c r="CN186" s="22">
        <f t="shared" si="172"/>
        <v>0.45267607595435966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378.0000000000004</v>
      </c>
      <c r="CU186" s="17">
        <f>CT186*VLOOKUP('Données projet'!$B$13,Paramètres!$A$1:$I$89,3,0)*VLOOKUP('Données projet'!$B$13,Paramètres!$A$1:$I$89,5,0)</f>
        <v>324.32400000000035</v>
      </c>
      <c r="CV186" s="13">
        <f t="shared" si="173"/>
        <v>76.252341944982831</v>
      </c>
      <c r="CW186" s="20">
        <f t="shared" si="174"/>
        <v>697.67046222084571</v>
      </c>
      <c r="CX186" s="59">
        <f t="shared" si="122"/>
        <v>991.00379555417908</v>
      </c>
      <c r="CY186" s="59">
        <f ca="1">AVERAGE(OFFSET($CX$3,0,0,'Données projet'!$E$13+1,1))-AVERAGE(OFFSET($H$3,0,0,'Données projet'!$E$13+1,1))</f>
        <v>310.4018929413723</v>
      </c>
      <c r="CZ186" s="59">
        <f t="shared" si="150"/>
        <v>127.5231137583819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8.4648946525951743E-2</v>
      </c>
      <c r="DH186" s="21">
        <f>EXP(-LN(2)/2)*DH185+(1-EXP(-LN(2)/2))/(LN(2)/2)*DB186*DE186*VLOOKUP('Données projet'!$B$13,Paramètres!$A$1:$I$89,3,0)*0.475*44/12</f>
        <v>8.3574086790820024E-23</v>
      </c>
      <c r="DI186" s="22">
        <f t="shared" si="175"/>
        <v>8.4648946525951743E-2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>
        <f>DO186*VLOOKUP('Données projet'!$B$14,Paramètres!$A$1:$I$89,3,0)*VLOOKUP('Données projet'!$B$14,Paramètres!$A$1:$I$89,5,0)</f>
        <v>-3.7509835237869992E-13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234.09142087023463</v>
      </c>
      <c r="DU186" s="59">
        <f t="shared" si="152"/>
        <v>278.990685815294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0.11787044913396241</v>
      </c>
      <c r="EB186" s="21">
        <f>EXP(-LN(2)/25)*EB185+(1-EXP(-LN(2)/25))/(LN(2)/25)*Calculateur!DW186*Calculateur!DY186*VLOOKUP('Données projet'!$B$14,Paramètres!$A$1:$I$89,3,0)*0.475*44/12</f>
        <v>0.22058990954297533</v>
      </c>
      <c r="EC186" s="21">
        <f>EXP(-LN(2)/2)*EC185+(1-EXP(-LN(2)/2))/(LN(2)/2)*DW186*DZ186*VLOOKUP('Données projet'!$B$14,Paramètres!$A$1:$I$89,3,0)*0.475*44/12</f>
        <v>2.0732421507226423E-22</v>
      </c>
      <c r="ED186" s="22">
        <f t="shared" si="178"/>
        <v>0.33846035867693774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210.04871822652808</v>
      </c>
      <c r="AO187" s="59">
        <f t="shared" si="144"/>
        <v>250.17540614049324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0.34581955716719265</v>
      </c>
      <c r="AV187" s="21">
        <f>EXP(-LN(2)/25)*AV186+(1-EXP(-LN(2)/25))/(LN(2)/25)*Calculateur!AQ187*Calculateur!AS187*VLOOKUP('Données projet'!$B$10,Paramètres!$A$1:$I$89,3,0)*0.475*44/12</f>
        <v>0.38920603749432159</v>
      </c>
      <c r="AW187" s="21">
        <f>EXP(-LN(2)/2)*AW186+(1-EXP(-LN(2)/2))/(LN(2)/2)*AQ187*AT187*VLOOKUP('Données projet'!$B$10,Paramètres!$A$1:$I$89,3,0)*0.475*44/12</f>
        <v>1.4263167110929908E-22</v>
      </c>
      <c r="AX187" s="21">
        <f t="shared" si="166"/>
        <v>0.73502559466151429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553.99999999999955</v>
      </c>
      <c r="BE187" s="13">
        <f>BD187*VLOOKUP('Données projet'!$B$11,Paramètres!$A$1:$I$89,3,0)*VLOOKUP('Données projet'!$B$11,Paramètres!$A$1:$I$89,5,0)</f>
        <v>331.29199999999975</v>
      </c>
      <c r="BF187" s="13">
        <f t="shared" si="167"/>
        <v>77.698110787752</v>
      </c>
      <c r="BG187" s="20">
        <f t="shared" si="168"/>
        <v>712.32444295533423</v>
      </c>
      <c r="BH187" s="59">
        <f t="shared" si="116"/>
        <v>1005.6577762886675</v>
      </c>
      <c r="BI187" s="59">
        <f ca="1">AVERAGE(OFFSET($BH$3,0,0,'Données projet'!$E$11+1,1))-AVERAGE(OFFSET($H$3,0,0,'Données projet'!$E$11+1,1))</f>
        <v>316.58509520829671</v>
      </c>
      <c r="BJ187" s="59">
        <f t="shared" si="146"/>
        <v>240.71332110643596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0.12005172977339001</v>
      </c>
      <c r="BQ187" s="21">
        <f>EXP(-LN(2)/25)*BQ186+(1-EXP(-LN(2)/25))/(LN(2)/25)*Calculateur!BL187*Calculateur!BN187*VLOOKUP('Données projet'!$B$11,Paramètres!$A$1:$I$89,3,0)*0.475*44/12</f>
        <v>0.21351839368787676</v>
      </c>
      <c r="BR187" s="21">
        <f>EXP(-LN(2)/2)*BR186+(1-EXP(-LN(2)/2))/(LN(2)/2)*BL187*BO187*VLOOKUP('Données projet'!$B$11,Paramètres!$A$1:$I$89,3,0)*0.475*44/12</f>
        <v>1.4518239391816159E-22</v>
      </c>
      <c r="BS187" s="22">
        <f t="shared" si="169"/>
        <v>0.3335701234612668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-5.1159076974727213E-13</v>
      </c>
      <c r="BZ187" s="13">
        <f>BY187*VLOOKUP('Données projet'!$B$12,Paramètres!$A$1:$I$89,3,0)*VLOOKUP('Données projet'!$B$12,Paramètres!$A$1:$I$89,5,0)</f>
        <v>-4.0702161641092972E-13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260.20517190557814</v>
      </c>
      <c r="CE187" s="59">
        <f t="shared" si="148"/>
        <v>307.22009971147133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0.15455526835696481</v>
      </c>
      <c r="CL187" s="21">
        <f>EXP(-LN(2)/25)*CL186+(1-EXP(-LN(2)/25))/(LN(2)/25)*Calculateur!CG187*Calculateur!CI187*VLOOKUP('Données projet'!$B$12,Paramètres!$A$1:$I$89,3,0)*0.475*44/12</f>
        <v>0.28696185756523829</v>
      </c>
      <c r="CM187" s="21">
        <f>EXP(-LN(2)/2)*CM186+(1-EXP(-LN(2)/2))/(LN(2)/2)*CG187*CJ187*VLOOKUP('Données projet'!$B$12,Paramètres!$A$1:$I$89,3,0)*0.475*44/12</f>
        <v>1.5907698462703189E-22</v>
      </c>
      <c r="CN187" s="22">
        <f t="shared" si="172"/>
        <v>0.4415171259222031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378.0000000000004</v>
      </c>
      <c r="CU187" s="17">
        <f>CT187*VLOOKUP('Données projet'!$B$13,Paramètres!$A$1:$I$89,3,0)*VLOOKUP('Données projet'!$B$13,Paramètres!$A$1:$I$89,5,0)</f>
        <v>324.32400000000035</v>
      </c>
      <c r="CV187" s="13">
        <f t="shared" si="173"/>
        <v>76.252341944982831</v>
      </c>
      <c r="CW187" s="20">
        <f t="shared" si="174"/>
        <v>697.67046222084571</v>
      </c>
      <c r="CX187" s="59">
        <f t="shared" si="122"/>
        <v>991.00379555417908</v>
      </c>
      <c r="CY187" s="59">
        <f ca="1">AVERAGE(OFFSET($CX$3,0,0,'Données projet'!$E$13+1,1))-AVERAGE(OFFSET($H$3,0,0,'Données projet'!$E$13+1,1))</f>
        <v>310.4018929413723</v>
      </c>
      <c r="CZ187" s="59">
        <f t="shared" si="150"/>
        <v>127.5231137583819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8.2334216631704968E-2</v>
      </c>
      <c r="DH187" s="21">
        <f>EXP(-LN(2)/2)*DH186+(1-EXP(-LN(2)/2))/(LN(2)/2)*DB187*DE187*VLOOKUP('Données projet'!$B$13,Paramètres!$A$1:$I$89,3,0)*0.475*44/12</f>
        <v>5.9095803501261906E-23</v>
      </c>
      <c r="DI187" s="22">
        <f t="shared" si="175"/>
        <v>8.2334216631704968E-2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>
        <f>DO187*VLOOKUP('Données projet'!$B$14,Paramètres!$A$1:$I$89,3,0)*VLOOKUP('Données projet'!$B$14,Paramètres!$A$1:$I$89,5,0)</f>
        <v>-3.7509835237869992E-13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234.09142087023463</v>
      </c>
      <c r="DU187" s="59">
        <f t="shared" si="152"/>
        <v>278.990685815294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0.11555908152032045</v>
      </c>
      <c r="EB187" s="21">
        <f>EXP(-LN(2)/25)*EB186+(1-EXP(-LN(2)/25))/(LN(2)/25)*Calculateur!DW187*Calculateur!DY187*VLOOKUP('Données projet'!$B$14,Paramètres!$A$1:$I$89,3,0)*0.475*44/12</f>
        <v>0.21455786686620348</v>
      </c>
      <c r="EC187" s="21">
        <f>EXP(-LN(2)/2)*EC186+(1-EXP(-LN(2)/2))/(LN(2)/2)*DW187*DZ187*VLOOKUP('Données projet'!$B$14,Paramètres!$A$1:$I$89,3,0)*0.475*44/12</f>
        <v>1.4660035838177628E-22</v>
      </c>
      <c r="ED187" s="22">
        <f t="shared" si="178"/>
        <v>0.33011694838652395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210.04871822652808</v>
      </c>
      <c r="AO188" s="59">
        <f t="shared" si="144"/>
        <v>250.17540614049324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0.33903824658024634</v>
      </c>
      <c r="AV188" s="21">
        <f>EXP(-LN(2)/25)*AV187+(1-EXP(-LN(2)/25))/(LN(2)/25)*Calculateur!AQ188*Calculateur!AS188*VLOOKUP('Données projet'!$B$10,Paramètres!$A$1:$I$89,3,0)*0.475*44/12</f>
        <v>0.37856317793158339</v>
      </c>
      <c r="AW188" s="21">
        <f>EXP(-LN(2)/2)*AW187+(1-EXP(-LN(2)/2))/(LN(2)/2)*AQ188*AT188*VLOOKUP('Données projet'!$B$10,Paramètres!$A$1:$I$89,3,0)*0.475*44/12</f>
        <v>1.0085582185335476E-22</v>
      </c>
      <c r="AX188" s="21">
        <f t="shared" si="166"/>
        <v>0.71760142451182973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553.99999999999955</v>
      </c>
      <c r="BE188" s="13">
        <f>BD188*VLOOKUP('Données projet'!$B$11,Paramètres!$A$1:$I$89,3,0)*VLOOKUP('Données projet'!$B$11,Paramètres!$A$1:$I$89,5,0)</f>
        <v>331.29199999999975</v>
      </c>
      <c r="BF188" s="13">
        <f t="shared" si="167"/>
        <v>77.698110787752</v>
      </c>
      <c r="BG188" s="20">
        <f t="shared" si="168"/>
        <v>712.32444295533423</v>
      </c>
      <c r="BH188" s="59">
        <f t="shared" si="116"/>
        <v>1005.6577762886675</v>
      </c>
      <c r="BI188" s="59">
        <f ca="1">AVERAGE(OFFSET($BH$3,0,0,'Données projet'!$E$11+1,1))-AVERAGE(OFFSET($H$3,0,0,'Données projet'!$E$11+1,1))</f>
        <v>316.58509520829671</v>
      </c>
      <c r="BJ188" s="59">
        <f t="shared" si="146"/>
        <v>240.71332110643596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0.11769758857685869</v>
      </c>
      <c r="BQ188" s="21">
        <f>EXP(-LN(2)/25)*BQ187+(1-EXP(-LN(2)/25))/(LN(2)/25)*Calculateur!BL188*Calculateur!BN188*VLOOKUP('Données projet'!$B$11,Paramètres!$A$1:$I$89,3,0)*0.475*44/12</f>
        <v>0.20767972198403745</v>
      </c>
      <c r="BR188" s="21">
        <f>EXP(-LN(2)/2)*BR187+(1-EXP(-LN(2)/2))/(LN(2)/2)*BL188*BO188*VLOOKUP('Données projet'!$B$11,Paramètres!$A$1:$I$89,3,0)*0.475*44/12</f>
        <v>1.0265945524842864E-22</v>
      </c>
      <c r="BS188" s="22">
        <f t="shared" si="169"/>
        <v>0.32537731056089614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-5.1159076974727213E-13</v>
      </c>
      <c r="BZ188" s="13">
        <f>BY188*VLOOKUP('Données projet'!$B$12,Paramètres!$A$1:$I$89,3,0)*VLOOKUP('Données projet'!$B$12,Paramètres!$A$1:$I$89,5,0)</f>
        <v>-4.0702161641092972E-13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260.20517190557814</v>
      </c>
      <c r="CE188" s="59">
        <f t="shared" si="148"/>
        <v>307.22009971147133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0.15152453381389011</v>
      </c>
      <c r="CL188" s="21">
        <f>EXP(-LN(2)/25)*CL187+(1-EXP(-LN(2)/25))/(LN(2)/25)*Calculateur!CG188*Calculateur!CI188*VLOOKUP('Données projet'!$B$12,Paramètres!$A$1:$I$89,3,0)*0.475*44/12</f>
        <v>0.27911487047944861</v>
      </c>
      <c r="CM188" s="21">
        <f>EXP(-LN(2)/2)*CM187+(1-EXP(-LN(2)/2))/(LN(2)/2)*CG188*CJ188*VLOOKUP('Données projet'!$B$12,Paramètres!$A$1:$I$89,3,0)*0.475*44/12</f>
        <v>1.1248441456048242E-22</v>
      </c>
      <c r="CN188" s="22">
        <f t="shared" si="172"/>
        <v>0.43063940429333869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378.0000000000004</v>
      </c>
      <c r="CU188" s="17">
        <f>CT188*VLOOKUP('Données projet'!$B$13,Paramètres!$A$1:$I$89,3,0)*VLOOKUP('Données projet'!$B$13,Paramètres!$A$1:$I$89,5,0)</f>
        <v>324.32400000000035</v>
      </c>
      <c r="CV188" s="13">
        <f t="shared" si="173"/>
        <v>76.252341944982831</v>
      </c>
      <c r="CW188" s="20">
        <f t="shared" si="174"/>
        <v>697.67046222084571</v>
      </c>
      <c r="CX188" s="59">
        <f t="shared" si="122"/>
        <v>991.00379555417908</v>
      </c>
      <c r="CY188" s="59">
        <f ca="1">AVERAGE(OFFSET($CX$3,0,0,'Données projet'!$E$13+1,1))-AVERAGE(OFFSET($H$3,0,0,'Données projet'!$E$13+1,1))</f>
        <v>310.4018929413723</v>
      </c>
      <c r="CZ188" s="59">
        <f t="shared" si="150"/>
        <v>127.5231137583819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8.0082783148142725E-2</v>
      </c>
      <c r="DH188" s="21">
        <f>EXP(-LN(2)/2)*DH187+(1-EXP(-LN(2)/2))/(LN(2)/2)*DB188*DE188*VLOOKUP('Données projet'!$B$13,Paramètres!$A$1:$I$89,3,0)*0.475*44/12</f>
        <v>4.1787043395410012E-23</v>
      </c>
      <c r="DI188" s="22">
        <f t="shared" si="175"/>
        <v>8.0082783148142725E-2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>
        <f>DO188*VLOOKUP('Données projet'!$B$14,Paramètres!$A$1:$I$89,3,0)*VLOOKUP('Données projet'!$B$14,Paramètres!$A$1:$I$89,5,0)</f>
        <v>-3.7509835237869992E-13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234.09142087023463</v>
      </c>
      <c r="DU188" s="59">
        <f t="shared" si="152"/>
        <v>278.990685815294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0.11329303841578696</v>
      </c>
      <c r="EB188" s="21">
        <f>EXP(-LN(2)/25)*EB187+(1-EXP(-LN(2)/25))/(LN(2)/25)*Calculateur!DW188*Calculateur!DY188*VLOOKUP('Données projet'!$B$14,Paramètres!$A$1:$I$89,3,0)*0.475*44/12</f>
        <v>0.20869077071363931</v>
      </c>
      <c r="EC188" s="21">
        <f>EXP(-LN(2)/2)*EC187+(1-EXP(-LN(2)/2))/(LN(2)/2)*DW188*DZ188*VLOOKUP('Données projet'!$B$14,Paramètres!$A$1:$I$89,3,0)*0.475*44/12</f>
        <v>1.0366210753613214E-22</v>
      </c>
      <c r="ED188" s="22">
        <f t="shared" si="178"/>
        <v>0.32198380912942626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210.04871822652808</v>
      </c>
      <c r="AO189" s="59">
        <f t="shared" si="144"/>
        <v>250.17540614049324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0.332389913357719</v>
      </c>
      <c r="AV189" s="21">
        <f>EXP(-LN(2)/25)*AV188+(1-EXP(-LN(2)/25))/(LN(2)/25)*Calculateur!AQ189*Calculateur!AS189*VLOOKUP('Données projet'!$B$10,Paramètres!$A$1:$I$89,3,0)*0.475*44/12</f>
        <v>0.36821134792327193</v>
      </c>
      <c r="AW189" s="21">
        <f>EXP(-LN(2)/2)*AW188+(1-EXP(-LN(2)/2))/(LN(2)/2)*AQ189*AT189*VLOOKUP('Données projet'!$B$10,Paramètres!$A$1:$I$89,3,0)*0.475*44/12</f>
        <v>7.1315835554649541E-23</v>
      </c>
      <c r="AX189" s="21">
        <f t="shared" si="166"/>
        <v>0.70060126128099087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553.99999999999955</v>
      </c>
      <c r="BE189" s="13">
        <f>BD189*VLOOKUP('Données projet'!$B$11,Paramètres!$A$1:$I$89,3,0)*VLOOKUP('Données projet'!$B$11,Paramètres!$A$1:$I$89,5,0)</f>
        <v>331.29199999999975</v>
      </c>
      <c r="BF189" s="13">
        <f t="shared" si="167"/>
        <v>77.698110787752</v>
      </c>
      <c r="BG189" s="20">
        <f t="shared" si="168"/>
        <v>712.32444295533423</v>
      </c>
      <c r="BH189" s="59">
        <f t="shared" si="116"/>
        <v>1005.6577762886675</v>
      </c>
      <c r="BI189" s="59">
        <f ca="1">AVERAGE(OFFSET($BH$3,0,0,'Données projet'!$E$11+1,1))-AVERAGE(OFFSET($H$3,0,0,'Données projet'!$E$11+1,1))</f>
        <v>316.58509520829671</v>
      </c>
      <c r="BJ189" s="59">
        <f t="shared" si="146"/>
        <v>240.71332110643596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0.11538961065330701</v>
      </c>
      <c r="BQ189" s="21">
        <f>EXP(-LN(2)/25)*BQ188+(1-EXP(-LN(2)/25))/(LN(2)/25)*Calculateur!BL189*Calculateur!BN189*VLOOKUP('Données projet'!$B$11,Paramètres!$A$1:$I$89,3,0)*0.475*44/12</f>
        <v>0.20200070906498202</v>
      </c>
      <c r="BR189" s="21">
        <f>EXP(-LN(2)/2)*BR188+(1-EXP(-LN(2)/2))/(LN(2)/2)*BL189*BO189*VLOOKUP('Données projet'!$B$11,Paramètres!$A$1:$I$89,3,0)*0.475*44/12</f>
        <v>7.2591196959080796E-23</v>
      </c>
      <c r="BS189" s="22">
        <f t="shared" si="169"/>
        <v>0.31739031971828902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-5.1159076974727213E-13</v>
      </c>
      <c r="BZ189" s="13">
        <f>BY189*VLOOKUP('Données projet'!$B$12,Paramètres!$A$1:$I$89,3,0)*VLOOKUP('Données projet'!$B$12,Paramètres!$A$1:$I$89,5,0)</f>
        <v>-4.0702161641092972E-13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260.20517190557814</v>
      </c>
      <c r="CE189" s="59">
        <f t="shared" si="148"/>
        <v>307.22009971147133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0.14855323012663954</v>
      </c>
      <c r="CL189" s="21">
        <f>EXP(-LN(2)/25)*CL188+(1-EXP(-LN(2)/25))/(LN(2)/25)*Calculateur!CG189*Calculateur!CI189*VLOOKUP('Données projet'!$B$12,Paramètres!$A$1:$I$89,3,0)*0.475*44/12</f>
        <v>0.27148245966817497</v>
      </c>
      <c r="CM189" s="21">
        <f>EXP(-LN(2)/2)*CM188+(1-EXP(-LN(2)/2))/(LN(2)/2)*CG189*CJ189*VLOOKUP('Données projet'!$B$12,Paramètres!$A$1:$I$89,3,0)*0.475*44/12</f>
        <v>7.9538492313515944E-23</v>
      </c>
      <c r="CN189" s="22">
        <f t="shared" si="172"/>
        <v>0.42003568979481454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378.0000000000004</v>
      </c>
      <c r="CU189" s="17">
        <f>CT189*VLOOKUP('Données projet'!$B$13,Paramètres!$A$1:$I$89,3,0)*VLOOKUP('Données projet'!$B$13,Paramètres!$A$1:$I$89,5,0)</f>
        <v>324.32400000000035</v>
      </c>
      <c r="CV189" s="13">
        <f t="shared" si="173"/>
        <v>76.252341944982831</v>
      </c>
      <c r="CW189" s="20">
        <f t="shared" si="174"/>
        <v>697.67046222084571</v>
      </c>
      <c r="CX189" s="59">
        <f t="shared" si="122"/>
        <v>991.00379555417908</v>
      </c>
      <c r="CY189" s="59">
        <f ca="1">AVERAGE(OFFSET($CX$3,0,0,'Données projet'!$E$13+1,1))-AVERAGE(OFFSET($H$3,0,0,'Données projet'!$E$13+1,1))</f>
        <v>310.4018929413723</v>
      </c>
      <c r="CZ189" s="59">
        <f t="shared" si="150"/>
        <v>127.5231137583819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7.7892915231586229E-2</v>
      </c>
      <c r="DH189" s="21">
        <f>EXP(-LN(2)/2)*DH188+(1-EXP(-LN(2)/2))/(LN(2)/2)*DB189*DE189*VLOOKUP('Données projet'!$B$13,Paramètres!$A$1:$I$89,3,0)*0.475*44/12</f>
        <v>2.9547901750630953E-23</v>
      </c>
      <c r="DI189" s="22">
        <f t="shared" si="175"/>
        <v>7.7892915231586229E-2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>
        <f>DO189*VLOOKUP('Données projet'!$B$14,Paramètres!$A$1:$I$89,3,0)*VLOOKUP('Données projet'!$B$14,Paramètres!$A$1:$I$89,5,0)</f>
        <v>-3.7509835237869992E-13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234.09142087023463</v>
      </c>
      <c r="DU189" s="59">
        <f t="shared" si="152"/>
        <v>278.990685815294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0.11107143103438356</v>
      </c>
      <c r="EB189" s="21">
        <f>EXP(-LN(2)/25)*EB188+(1-EXP(-LN(2)/25))/(LN(2)/25)*Calculateur!DW189*Calculateur!DY189*VLOOKUP('Données projet'!$B$14,Paramètres!$A$1:$I$89,3,0)*0.475*44/12</f>
        <v>0.20298411061390417</v>
      </c>
      <c r="EC189" s="21">
        <f>EXP(-LN(2)/2)*EC188+(1-EXP(-LN(2)/2))/(LN(2)/2)*DW189*DZ189*VLOOKUP('Données projet'!$B$14,Paramètres!$A$1:$I$89,3,0)*0.475*44/12</f>
        <v>7.3300179190888151E-23</v>
      </c>
      <c r="ED189" s="22">
        <f t="shared" si="178"/>
        <v>0.31405554164828775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210.04871822652808</v>
      </c>
      <c r="AO190" s="59">
        <f t="shared" si="144"/>
        <v>250.17540614049324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0.32587194989460261</v>
      </c>
      <c r="AV190" s="21">
        <f>EXP(-LN(2)/25)*AV189+(1-EXP(-LN(2)/25))/(LN(2)/25)*Calculateur!AQ190*Calculateur!AS190*VLOOKUP('Données projet'!$B$10,Paramètres!$A$1:$I$89,3,0)*0.475*44/12</f>
        <v>0.3581425892509168</v>
      </c>
      <c r="AW190" s="21">
        <f>EXP(-LN(2)/2)*AW189+(1-EXP(-LN(2)/2))/(LN(2)/2)*AQ190*AT190*VLOOKUP('Données projet'!$B$10,Paramètres!$A$1:$I$89,3,0)*0.475*44/12</f>
        <v>5.0427910926677379E-23</v>
      </c>
      <c r="AX190" s="21">
        <f t="shared" si="166"/>
        <v>0.68401453914551946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553.99999999999955</v>
      </c>
      <c r="BE190" s="13">
        <f>BD190*VLOOKUP('Données projet'!$B$11,Paramètres!$A$1:$I$89,3,0)*VLOOKUP('Données projet'!$B$11,Paramètres!$A$1:$I$89,5,0)</f>
        <v>331.29199999999975</v>
      </c>
      <c r="BF190" s="13">
        <f t="shared" si="167"/>
        <v>77.698110787752</v>
      </c>
      <c r="BG190" s="20">
        <f t="shared" si="168"/>
        <v>712.32444295533423</v>
      </c>
      <c r="BH190" s="59">
        <f t="shared" si="116"/>
        <v>1005.6577762886675</v>
      </c>
      <c r="BI190" s="59">
        <f ca="1">AVERAGE(OFFSET($BH$3,0,0,'Données projet'!$E$11+1,1))-AVERAGE(OFFSET($H$3,0,0,'Données projet'!$E$11+1,1))</f>
        <v>316.58509520829671</v>
      </c>
      <c r="BJ190" s="59">
        <f t="shared" si="146"/>
        <v>240.71332110643596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0.11312689076910865</v>
      </c>
      <c r="BQ190" s="21">
        <f>EXP(-LN(2)/25)*BQ189+(1-EXP(-LN(2)/25))/(LN(2)/25)*Calculateur!BL190*Calculateur!BN190*VLOOKUP('Données projet'!$B$11,Paramètres!$A$1:$I$89,3,0)*0.475*44/12</f>
        <v>0.19647698905284447</v>
      </c>
      <c r="BR190" s="21">
        <f>EXP(-LN(2)/2)*BR189+(1-EXP(-LN(2)/2))/(LN(2)/2)*BL190*BO190*VLOOKUP('Données projet'!$B$11,Paramètres!$A$1:$I$89,3,0)*0.475*44/12</f>
        <v>5.1329727624214319E-23</v>
      </c>
      <c r="BS190" s="22">
        <f t="shared" si="169"/>
        <v>0.30960387982195314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-5.1159076974727213E-13</v>
      </c>
      <c r="BZ190" s="13">
        <f>BY190*VLOOKUP('Données projet'!$B$12,Paramètres!$A$1:$I$89,3,0)*VLOOKUP('Données projet'!$B$12,Paramètres!$A$1:$I$89,5,0)</f>
        <v>-4.0702161641092972E-13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260.20517190557814</v>
      </c>
      <c r="CE190" s="59">
        <f t="shared" si="148"/>
        <v>307.22009971147133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0.14564019189237967</v>
      </c>
      <c r="CL190" s="21">
        <f>EXP(-LN(2)/25)*CL189+(1-EXP(-LN(2)/25))/(LN(2)/25)*Calculateur!CG190*Calculateur!CI190*VLOOKUP('Données projet'!$B$12,Paramètres!$A$1:$I$89,3,0)*0.475*44/12</f>
        <v>0.26405875753190666</v>
      </c>
      <c r="CM190" s="21">
        <f>EXP(-LN(2)/2)*CM189+(1-EXP(-LN(2)/2))/(LN(2)/2)*CG190*CJ190*VLOOKUP('Données projet'!$B$12,Paramètres!$A$1:$I$89,3,0)*0.475*44/12</f>
        <v>5.624220728024121E-23</v>
      </c>
      <c r="CN190" s="22">
        <f t="shared" si="172"/>
        <v>0.40969894942428631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378.0000000000004</v>
      </c>
      <c r="CU190" s="17">
        <f>CT190*VLOOKUP('Données projet'!$B$13,Paramètres!$A$1:$I$89,3,0)*VLOOKUP('Données projet'!$B$13,Paramètres!$A$1:$I$89,5,0)</f>
        <v>324.32400000000035</v>
      </c>
      <c r="CV190" s="13">
        <f t="shared" si="173"/>
        <v>76.252341944982831</v>
      </c>
      <c r="CW190" s="20">
        <f t="shared" si="174"/>
        <v>697.67046222084571</v>
      </c>
      <c r="CX190" s="59">
        <f t="shared" si="122"/>
        <v>991.00379555417908</v>
      </c>
      <c r="CY190" s="59">
        <f ca="1">AVERAGE(OFFSET($CX$3,0,0,'Données projet'!$E$13+1,1))-AVERAGE(OFFSET($H$3,0,0,'Données projet'!$E$13+1,1))</f>
        <v>310.4018929413723</v>
      </c>
      <c r="CZ190" s="59">
        <f t="shared" si="150"/>
        <v>127.5231137583819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7.576292936836812E-2</v>
      </c>
      <c r="DH190" s="21">
        <f>EXP(-LN(2)/2)*DH189+(1-EXP(-LN(2)/2))/(LN(2)/2)*DB190*DE190*VLOOKUP('Données projet'!$B$13,Paramètres!$A$1:$I$89,3,0)*0.475*44/12</f>
        <v>2.0893521697705006E-23</v>
      </c>
      <c r="DI190" s="22">
        <f t="shared" si="175"/>
        <v>7.576292936836812E-2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>
        <f>DO190*VLOOKUP('Données projet'!$B$14,Paramètres!$A$1:$I$89,3,0)*VLOOKUP('Données projet'!$B$14,Paramètres!$A$1:$I$89,5,0)</f>
        <v>-3.7509835237869992E-13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234.09142087023463</v>
      </c>
      <c r="DU190" s="59">
        <f t="shared" si="152"/>
        <v>278.990685815294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0.10889338801868279</v>
      </c>
      <c r="EB190" s="21">
        <f>EXP(-LN(2)/25)*EB189+(1-EXP(-LN(2)/25))/(LN(2)/25)*Calculateur!DW190*Calculateur!DY190*VLOOKUP('Données projet'!$B$14,Paramètres!$A$1:$I$89,3,0)*0.475*44/12</f>
        <v>0.19743349943469651</v>
      </c>
      <c r="EC190" s="21">
        <f>EXP(-LN(2)/2)*EC189+(1-EXP(-LN(2)/2))/(LN(2)/2)*DW190*DZ190*VLOOKUP('Données projet'!$B$14,Paramètres!$A$1:$I$89,3,0)*0.475*44/12</f>
        <v>5.1831053768066074E-23</v>
      </c>
      <c r="ED190" s="22">
        <f t="shared" si="178"/>
        <v>0.30632688745337933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210.04871822652808</v>
      </c>
      <c r="AO191" s="59">
        <f t="shared" si="144"/>
        <v>250.17540614049324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0.31948179971943275</v>
      </c>
      <c r="AV191" s="21">
        <f>EXP(-LN(2)/25)*AV190+(1-EXP(-LN(2)/25))/(LN(2)/25)*Calculateur!AQ191*Calculateur!AS191*VLOOKUP('Données projet'!$B$10,Paramètres!$A$1:$I$89,3,0)*0.475*44/12</f>
        <v>0.34834916131395027</v>
      </c>
      <c r="AW191" s="21">
        <f>EXP(-LN(2)/2)*AW190+(1-EXP(-LN(2)/2))/(LN(2)/2)*AQ191*AT191*VLOOKUP('Données projet'!$B$10,Paramètres!$A$1:$I$89,3,0)*0.475*44/12</f>
        <v>3.565791777732477E-23</v>
      </c>
      <c r="AX191" s="21">
        <f t="shared" si="166"/>
        <v>0.66783096103338302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553.99999999999955</v>
      </c>
      <c r="BE191" s="13">
        <f>BD191*VLOOKUP('Données projet'!$B$11,Paramètres!$A$1:$I$89,3,0)*VLOOKUP('Données projet'!$B$11,Paramètres!$A$1:$I$89,5,0)</f>
        <v>331.29199999999975</v>
      </c>
      <c r="BF191" s="13">
        <f t="shared" si="167"/>
        <v>77.698110787752</v>
      </c>
      <c r="BG191" s="20">
        <f t="shared" si="168"/>
        <v>712.32444295533423</v>
      </c>
      <c r="BH191" s="59">
        <f t="shared" si="116"/>
        <v>1005.6577762886675</v>
      </c>
      <c r="BI191" s="59">
        <f ca="1">AVERAGE(OFFSET($BH$3,0,0,'Données projet'!$E$11+1,1))-AVERAGE(OFFSET($H$3,0,0,'Données projet'!$E$11+1,1))</f>
        <v>316.58509520829671</v>
      </c>
      <c r="BJ191" s="59">
        <f t="shared" si="146"/>
        <v>240.71332110643596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0.11090854144171655</v>
      </c>
      <c r="BQ191" s="21">
        <f>EXP(-LN(2)/25)*BQ190+(1-EXP(-LN(2)/25))/(LN(2)/25)*Calculateur!BL191*Calculateur!BN191*VLOOKUP('Données projet'!$B$11,Paramètres!$A$1:$I$89,3,0)*0.475*44/12</f>
        <v>0.19110431545491863</v>
      </c>
      <c r="BR191" s="21">
        <f>EXP(-LN(2)/2)*BR190+(1-EXP(-LN(2)/2))/(LN(2)/2)*BL191*BO191*VLOOKUP('Données projet'!$B$11,Paramètres!$A$1:$I$89,3,0)*0.475*44/12</f>
        <v>3.6295598479540398E-23</v>
      </c>
      <c r="BS191" s="22">
        <f t="shared" si="169"/>
        <v>0.30201285689663515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-5.1159076974727213E-13</v>
      </c>
      <c r="BZ191" s="13">
        <f>BY191*VLOOKUP('Données projet'!$B$12,Paramètres!$A$1:$I$89,3,0)*VLOOKUP('Données projet'!$B$12,Paramètres!$A$1:$I$89,5,0)</f>
        <v>-4.0702161641092972E-13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260.20517190557814</v>
      </c>
      <c r="CE191" s="59">
        <f t="shared" si="148"/>
        <v>307.22009971147133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0.14278427656111575</v>
      </c>
      <c r="CL191" s="21">
        <f>EXP(-LN(2)/25)*CL190+(1-EXP(-LN(2)/25))/(LN(2)/25)*Calculateur!CG191*Calculateur!CI191*VLOOKUP('Données projet'!$B$12,Paramètres!$A$1:$I$89,3,0)*0.475*44/12</f>
        <v>0.25683805692095013</v>
      </c>
      <c r="CM191" s="21">
        <f>EXP(-LN(2)/2)*CM190+(1-EXP(-LN(2)/2))/(LN(2)/2)*CG191*CJ191*VLOOKUP('Données projet'!$B$12,Paramètres!$A$1:$I$89,3,0)*0.475*44/12</f>
        <v>3.9769246156757972E-23</v>
      </c>
      <c r="CN191" s="22">
        <f t="shared" si="172"/>
        <v>0.39962233348206588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378.0000000000004</v>
      </c>
      <c r="CU191" s="17">
        <f>CT191*VLOOKUP('Données projet'!$B$13,Paramètres!$A$1:$I$89,3,0)*VLOOKUP('Données projet'!$B$13,Paramètres!$A$1:$I$89,5,0)</f>
        <v>324.32400000000035</v>
      </c>
      <c r="CV191" s="13">
        <f t="shared" si="173"/>
        <v>76.252341944982831</v>
      </c>
      <c r="CW191" s="20">
        <f t="shared" si="174"/>
        <v>697.67046222084571</v>
      </c>
      <c r="CX191" s="59">
        <f t="shared" si="122"/>
        <v>991.00379555417908</v>
      </c>
      <c r="CY191" s="59">
        <f ca="1">AVERAGE(OFFSET($CX$3,0,0,'Données projet'!$E$13+1,1))-AVERAGE(OFFSET($H$3,0,0,'Données projet'!$E$13+1,1))</f>
        <v>310.4018929413723</v>
      </c>
      <c r="CZ191" s="59">
        <f t="shared" si="150"/>
        <v>127.5231137583819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7.3691188080590803E-2</v>
      </c>
      <c r="DH191" s="21">
        <f>EXP(-LN(2)/2)*DH190+(1-EXP(-LN(2)/2))/(LN(2)/2)*DB191*DE191*VLOOKUP('Données projet'!$B$13,Paramètres!$A$1:$I$89,3,0)*0.475*44/12</f>
        <v>1.4773950875315477E-23</v>
      </c>
      <c r="DI191" s="22">
        <f t="shared" si="175"/>
        <v>7.3691188080590803E-2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>
        <f>DO191*VLOOKUP('Données projet'!$B$14,Paramètres!$A$1:$I$89,3,0)*VLOOKUP('Données projet'!$B$14,Paramètres!$A$1:$I$89,5,0)</f>
        <v>-3.7509835237869992E-13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234.09142087023463</v>
      </c>
      <c r="DU191" s="59">
        <f t="shared" si="152"/>
        <v>278.990685815294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0.10675805509804484</v>
      </c>
      <c r="EB191" s="21">
        <f>EXP(-LN(2)/25)*EB190+(1-EXP(-LN(2)/25))/(LN(2)/25)*Calculateur!DW191*Calculateur!DY191*VLOOKUP('Données projet'!$B$14,Paramètres!$A$1:$I$89,3,0)*0.475*44/12</f>
        <v>0.19203467001007823</v>
      </c>
      <c r="EC191" s="21">
        <f>EXP(-LN(2)/2)*EC190+(1-EXP(-LN(2)/2))/(LN(2)/2)*DW191*DZ191*VLOOKUP('Données projet'!$B$14,Paramètres!$A$1:$I$89,3,0)*0.475*44/12</f>
        <v>3.6650089595444081E-23</v>
      </c>
      <c r="ED191" s="22">
        <f t="shared" si="178"/>
        <v>0.29879272510812305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210.04871822652808</v>
      </c>
      <c r="AO192" s="59">
        <f t="shared" si="144"/>
        <v>250.17540614049324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0.3132169564915912</v>
      </c>
      <c r="AV192" s="21">
        <f>EXP(-LN(2)/25)*AV191+(1-EXP(-LN(2)/25))/(LN(2)/25)*Calculateur!AQ192*Calculateur!AS192*VLOOKUP('Données projet'!$B$10,Paramètres!$A$1:$I$89,3,0)*0.475*44/12</f>
        <v>0.3388235351789341</v>
      </c>
      <c r="AW192" s="21">
        <f>EXP(-LN(2)/2)*AW191+(1-EXP(-LN(2)/2))/(LN(2)/2)*AQ192*AT192*VLOOKUP('Données projet'!$B$10,Paramètres!$A$1:$I$89,3,0)*0.475*44/12</f>
        <v>2.521395546333869E-23</v>
      </c>
      <c r="AX192" s="21">
        <f t="shared" si="166"/>
        <v>0.65204049167052536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553.99999999999955</v>
      </c>
      <c r="BE192" s="13">
        <f>BD192*VLOOKUP('Données projet'!$B$11,Paramètres!$A$1:$I$89,3,0)*VLOOKUP('Données projet'!$B$11,Paramètres!$A$1:$I$89,5,0)</f>
        <v>331.29199999999975</v>
      </c>
      <c r="BF192" s="13">
        <f t="shared" si="167"/>
        <v>77.698110787752</v>
      </c>
      <c r="BG192" s="20">
        <f t="shared" si="168"/>
        <v>712.32444295533423</v>
      </c>
      <c r="BH192" s="59">
        <f t="shared" si="116"/>
        <v>1005.6577762886675</v>
      </c>
      <c r="BI192" s="59">
        <f ca="1">AVERAGE(OFFSET($BH$3,0,0,'Données projet'!$E$11+1,1))-AVERAGE(OFFSET($H$3,0,0,'Données projet'!$E$11+1,1))</f>
        <v>316.58509520829671</v>
      </c>
      <c r="BJ192" s="59">
        <f t="shared" si="146"/>
        <v>240.71332110643596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0.10873369259157513</v>
      </c>
      <c r="BQ192" s="21">
        <f>EXP(-LN(2)/25)*BQ191+(1-EXP(-LN(2)/25))/(LN(2)/25)*Calculateur!BL192*Calculateur!BN192*VLOOKUP('Données projet'!$B$11,Paramètres!$A$1:$I$89,3,0)*0.475*44/12</f>
        <v>0.18587855789906471</v>
      </c>
      <c r="BR192" s="21">
        <f>EXP(-LN(2)/2)*BR191+(1-EXP(-LN(2)/2))/(LN(2)/2)*BL192*BO192*VLOOKUP('Données projet'!$B$11,Paramètres!$A$1:$I$89,3,0)*0.475*44/12</f>
        <v>2.566486381210716E-23</v>
      </c>
      <c r="BS192" s="22">
        <f t="shared" si="169"/>
        <v>0.29461225049063983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-5.1159076974727213E-13</v>
      </c>
      <c r="BZ192" s="13">
        <f>BY192*VLOOKUP('Données projet'!$B$12,Paramètres!$A$1:$I$89,3,0)*VLOOKUP('Données projet'!$B$12,Paramètres!$A$1:$I$89,5,0)</f>
        <v>-4.0702161641092972E-13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260.20517190557814</v>
      </c>
      <c r="CE192" s="59">
        <f t="shared" si="148"/>
        <v>307.22009971147133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0.13998436398756156</v>
      </c>
      <c r="CL192" s="21">
        <f>EXP(-LN(2)/25)*CL191+(1-EXP(-LN(2)/25))/(LN(2)/25)*Calculateur!CG192*Calculateur!CI192*VLOOKUP('Données projet'!$B$12,Paramètres!$A$1:$I$89,3,0)*0.475*44/12</f>
        <v>0.24981480674792034</v>
      </c>
      <c r="CM192" s="21">
        <f>EXP(-LN(2)/2)*CM191+(1-EXP(-LN(2)/2))/(LN(2)/2)*CG192*CJ192*VLOOKUP('Données projet'!$B$12,Paramètres!$A$1:$I$89,3,0)*0.475*44/12</f>
        <v>2.8121103640120605E-23</v>
      </c>
      <c r="CN192" s="22">
        <f t="shared" si="172"/>
        <v>0.38979917073548187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378.0000000000004</v>
      </c>
      <c r="CU192" s="17">
        <f>CT192*VLOOKUP('Données projet'!$B$13,Paramètres!$A$1:$I$89,3,0)*VLOOKUP('Données projet'!$B$13,Paramètres!$A$1:$I$89,5,0)</f>
        <v>324.32400000000035</v>
      </c>
      <c r="CV192" s="13">
        <f t="shared" si="173"/>
        <v>76.252341944982831</v>
      </c>
      <c r="CW192" s="20">
        <f t="shared" si="174"/>
        <v>697.67046222084571</v>
      </c>
      <c r="CX192" s="59">
        <f t="shared" si="122"/>
        <v>991.00379555417908</v>
      </c>
      <c r="CY192" s="59">
        <f ca="1">AVERAGE(OFFSET($CX$3,0,0,'Données projet'!$E$13+1,1))-AVERAGE(OFFSET($H$3,0,0,'Données projet'!$E$13+1,1))</f>
        <v>310.4018929413723</v>
      </c>
      <c r="CZ192" s="59">
        <f t="shared" si="150"/>
        <v>127.5231137583819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7.1676098667275895E-2</v>
      </c>
      <c r="DH192" s="21">
        <f>EXP(-LN(2)/2)*DH191+(1-EXP(-LN(2)/2))/(LN(2)/2)*DB192*DE192*VLOOKUP('Données projet'!$B$13,Paramètres!$A$1:$I$89,3,0)*0.475*44/12</f>
        <v>1.0446760848852503E-23</v>
      </c>
      <c r="DI192" s="22">
        <f t="shared" si="175"/>
        <v>7.1676098667275895E-2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>
        <f>DO192*VLOOKUP('Données projet'!$B$14,Paramètres!$A$1:$I$89,3,0)*VLOOKUP('Données projet'!$B$14,Paramètres!$A$1:$I$89,5,0)</f>
        <v>-3.7509835237869992E-13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234.09142087023463</v>
      </c>
      <c r="DU192" s="59">
        <f t="shared" si="152"/>
        <v>278.990685815294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0.10466459475355612</v>
      </c>
      <c r="EB192" s="21">
        <f>EXP(-LN(2)/25)*EB191+(1-EXP(-LN(2)/25))/(LN(2)/25)*Calculateur!DW192*Calculateur!DY192*VLOOKUP('Données projet'!$B$14,Paramètres!$A$1:$I$89,3,0)*0.475*44/12</f>
        <v>0.18678347185998825</v>
      </c>
      <c r="EC192" s="21">
        <f>EXP(-LN(2)/2)*EC191+(1-EXP(-LN(2)/2))/(LN(2)/2)*DW192*DZ192*VLOOKUP('Données projet'!$B$14,Paramètres!$A$1:$I$89,3,0)*0.475*44/12</f>
        <v>2.5915526884033043E-23</v>
      </c>
      <c r="ED192" s="22">
        <f t="shared" si="178"/>
        <v>0.29144806661354439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210.04871822652808</v>
      </c>
      <c r="AO193" s="59">
        <f t="shared" si="144"/>
        <v>250.17540614049324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0.30707496301827059</v>
      </c>
      <c r="AV193" s="21">
        <f>EXP(-LN(2)/25)*AV192+(1-EXP(-LN(2)/25))/(LN(2)/25)*Calculateur!AQ193*Calculateur!AS193*VLOOKUP('Données projet'!$B$10,Paramètres!$A$1:$I$89,3,0)*0.475*44/12</f>
        <v>0.32955838779151081</v>
      </c>
      <c r="AW193" s="21">
        <f>EXP(-LN(2)/2)*AW192+(1-EXP(-LN(2)/2))/(LN(2)/2)*AQ193*AT193*VLOOKUP('Données projet'!$B$10,Paramètres!$A$1:$I$89,3,0)*0.475*44/12</f>
        <v>1.7828958888662385E-23</v>
      </c>
      <c r="AX193" s="21">
        <f t="shared" si="166"/>
        <v>0.63663335080978145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553.99999999999955</v>
      </c>
      <c r="BE193" s="13">
        <f>BD193*VLOOKUP('Données projet'!$B$11,Paramètres!$A$1:$I$89,3,0)*VLOOKUP('Données projet'!$B$11,Paramètres!$A$1:$I$89,5,0)</f>
        <v>331.29199999999975</v>
      </c>
      <c r="BF193" s="13">
        <f t="shared" si="167"/>
        <v>77.698110787752</v>
      </c>
      <c r="BG193" s="20">
        <f t="shared" si="168"/>
        <v>712.32444295533423</v>
      </c>
      <c r="BH193" s="59">
        <f t="shared" si="116"/>
        <v>1005.6577762886675</v>
      </c>
      <c r="BI193" s="59">
        <f ca="1">AVERAGE(OFFSET($BH$3,0,0,'Données projet'!$E$11+1,1))-AVERAGE(OFFSET($H$3,0,0,'Données projet'!$E$11+1,1))</f>
        <v>316.58509520829671</v>
      </c>
      <c r="BJ193" s="59">
        <f t="shared" si="146"/>
        <v>240.71332110643596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0.10660149120085817</v>
      </c>
      <c r="BQ193" s="21">
        <f>EXP(-LN(2)/25)*BQ192+(1-EXP(-LN(2)/25))/(LN(2)/25)*Calculateur!BL193*Calculateur!BN193*VLOOKUP('Données projet'!$B$11,Paramètres!$A$1:$I$89,3,0)*0.475*44/12</f>
        <v>0.18079569895838626</v>
      </c>
      <c r="BR193" s="21">
        <f>EXP(-LN(2)/2)*BR192+(1-EXP(-LN(2)/2))/(LN(2)/2)*BL193*BO193*VLOOKUP('Données projet'!$B$11,Paramètres!$A$1:$I$89,3,0)*0.475*44/12</f>
        <v>1.8147799239770199E-23</v>
      </c>
      <c r="BS193" s="22">
        <f t="shared" si="169"/>
        <v>0.28739719015924442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-5.1159076974727213E-13</v>
      </c>
      <c r="BZ193" s="13">
        <f>BY193*VLOOKUP('Données projet'!$B$12,Paramètres!$A$1:$I$89,3,0)*VLOOKUP('Données projet'!$B$12,Paramètres!$A$1:$I$89,5,0)</f>
        <v>-4.0702161641092972E-13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260.20517190557814</v>
      </c>
      <c r="CE193" s="59">
        <f t="shared" si="148"/>
        <v>307.22009971147133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0.13723935599179674</v>
      </c>
      <c r="CL193" s="21">
        <f>EXP(-LN(2)/25)*CL192+(1-EXP(-LN(2)/25))/(LN(2)/25)*Calculateur!CG193*Calculateur!CI193*VLOOKUP('Données projet'!$B$12,Paramètres!$A$1:$I$89,3,0)*0.475*44/12</f>
        <v>0.24298360772020872</v>
      </c>
      <c r="CM193" s="21">
        <f>EXP(-LN(2)/2)*CM192+(1-EXP(-LN(2)/2))/(LN(2)/2)*CG193*CJ193*VLOOKUP('Données projet'!$B$12,Paramètres!$A$1:$I$89,3,0)*0.475*44/12</f>
        <v>1.9884623078378986E-23</v>
      </c>
      <c r="CN193" s="22">
        <f t="shared" si="172"/>
        <v>0.38022296371200548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378.0000000000004</v>
      </c>
      <c r="CU193" s="17">
        <f>CT193*VLOOKUP('Données projet'!$B$13,Paramètres!$A$1:$I$89,3,0)*VLOOKUP('Données projet'!$B$13,Paramètres!$A$1:$I$89,5,0)</f>
        <v>324.32400000000035</v>
      </c>
      <c r="CV193" s="13">
        <f t="shared" si="173"/>
        <v>76.252341944982831</v>
      </c>
      <c r="CW193" s="20">
        <f t="shared" si="174"/>
        <v>697.67046222084571</v>
      </c>
      <c r="CX193" s="59">
        <f t="shared" si="122"/>
        <v>991.00379555417908</v>
      </c>
      <c r="CY193" s="59">
        <f ca="1">AVERAGE(OFFSET($CX$3,0,0,'Données projet'!$E$13+1,1))-AVERAGE(OFFSET($H$3,0,0,'Données projet'!$E$13+1,1))</f>
        <v>310.4018929413723</v>
      </c>
      <c r="CZ193" s="59">
        <f t="shared" si="150"/>
        <v>127.5231137583819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6.9716111979937018E-2</v>
      </c>
      <c r="DH193" s="21">
        <f>EXP(-LN(2)/2)*DH192+(1-EXP(-LN(2)/2))/(LN(2)/2)*DB193*DE193*VLOOKUP('Données projet'!$B$13,Paramètres!$A$1:$I$89,3,0)*0.475*44/12</f>
        <v>7.3869754376577383E-24</v>
      </c>
      <c r="DI193" s="22">
        <f t="shared" si="175"/>
        <v>6.9716111979937018E-2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>
        <f>DO193*VLOOKUP('Données projet'!$B$14,Paramètres!$A$1:$I$89,3,0)*VLOOKUP('Données projet'!$B$14,Paramètres!$A$1:$I$89,5,0)</f>
        <v>-3.7509835237869992E-13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234.09142087023463</v>
      </c>
      <c r="DU193" s="59">
        <f t="shared" si="152"/>
        <v>278.990685815294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0.10261218588953809</v>
      </c>
      <c r="EB193" s="21">
        <f>EXP(-LN(2)/25)*EB192+(1-EXP(-LN(2)/25))/(LN(2)/25)*Calculateur!DW193*Calculateur!DY193*VLOOKUP('Données projet'!$B$14,Paramètres!$A$1:$I$89,3,0)*0.475*44/12</f>
        <v>0.18167586799946098</v>
      </c>
      <c r="EC193" s="21">
        <f>EXP(-LN(2)/2)*EC192+(1-EXP(-LN(2)/2))/(LN(2)/2)*DW193*DZ193*VLOOKUP('Données projet'!$B$14,Paramètres!$A$1:$I$89,3,0)*0.475*44/12</f>
        <v>1.8325044797722044E-23</v>
      </c>
      <c r="ED193" s="22">
        <f t="shared" si="178"/>
        <v>0.28428805388899908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210.04871822652808</v>
      </c>
      <c r="AO194" s="59">
        <f t="shared" si="144"/>
        <v>250.17540614049324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0.3010534102907157</v>
      </c>
      <c r="AV194" s="21">
        <f>EXP(-LN(2)/25)*AV193+(1-EXP(-LN(2)/25))/(LN(2)/25)*Calculateur!AQ194*Calculateur!AS194*VLOOKUP('Données projet'!$B$10,Paramètres!$A$1:$I$89,3,0)*0.475*44/12</f>
        <v>0.32054659634662958</v>
      </c>
      <c r="AW194" s="21">
        <f>EXP(-LN(2)/2)*AW193+(1-EXP(-LN(2)/2))/(LN(2)/2)*AQ194*AT194*VLOOKUP('Données projet'!$B$10,Paramètres!$A$1:$I$89,3,0)*0.475*44/12</f>
        <v>1.2606977731669345E-23</v>
      </c>
      <c r="AX194" s="21">
        <f t="shared" si="166"/>
        <v>0.62160000663734527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553.99999999999955</v>
      </c>
      <c r="BE194" s="13">
        <f>BD194*VLOOKUP('Données projet'!$B$11,Paramètres!$A$1:$I$89,3,0)*VLOOKUP('Données projet'!$B$11,Paramètres!$A$1:$I$89,5,0)</f>
        <v>331.29199999999975</v>
      </c>
      <c r="BF194" s="13">
        <f t="shared" si="167"/>
        <v>77.698110787752</v>
      </c>
      <c r="BG194" s="20">
        <f t="shared" si="168"/>
        <v>712.32444295533423</v>
      </c>
      <c r="BH194" s="59">
        <f t="shared" si="116"/>
        <v>1005.6577762886675</v>
      </c>
      <c r="BI194" s="59">
        <f ca="1">AVERAGE(OFFSET($BH$3,0,0,'Données projet'!$E$11+1,1))-AVERAGE(OFFSET($H$3,0,0,'Données projet'!$E$11+1,1))</f>
        <v>316.58509520829671</v>
      </c>
      <c r="BJ194" s="59">
        <f t="shared" si="146"/>
        <v>240.71332110643596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0.10451110097889874</v>
      </c>
      <c r="BQ194" s="21">
        <f>EXP(-LN(2)/25)*BQ193+(1-EXP(-LN(2)/25))/(LN(2)/25)*Calculateur!BL194*Calculateur!BN194*VLOOKUP('Données projet'!$B$11,Paramètres!$A$1:$I$89,3,0)*0.475*44/12</f>
        <v>0.17585183106273661</v>
      </c>
      <c r="BR194" s="21">
        <f>EXP(-LN(2)/2)*BR193+(1-EXP(-LN(2)/2))/(LN(2)/2)*BL194*BO194*VLOOKUP('Données projet'!$B$11,Paramètres!$A$1:$I$89,3,0)*0.475*44/12</f>
        <v>1.283243190605358E-23</v>
      </c>
      <c r="BS194" s="22">
        <f t="shared" si="169"/>
        <v>0.28036293204163532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-5.1159076974727213E-13</v>
      </c>
      <c r="BZ194" s="13">
        <f>BY194*VLOOKUP('Données projet'!$B$12,Paramètres!$A$1:$I$89,3,0)*VLOOKUP('Données projet'!$B$12,Paramètres!$A$1:$I$89,5,0)</f>
        <v>-4.0702161641092972E-13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260.20517190557814</v>
      </c>
      <c r="CE194" s="59">
        <f t="shared" si="148"/>
        <v>307.22009971147133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0.13454817592853929</v>
      </c>
      <c r="CL194" s="21">
        <f>EXP(-LN(2)/25)*CL193+(1-EXP(-LN(2)/25))/(LN(2)/25)*Calculateur!CG194*Calculateur!CI194*VLOOKUP('Données projet'!$B$12,Paramètres!$A$1:$I$89,3,0)*0.475*44/12</f>
        <v>0.23633920818914703</v>
      </c>
      <c r="CM194" s="21">
        <f>EXP(-LN(2)/2)*CM193+(1-EXP(-LN(2)/2))/(LN(2)/2)*CG194*CJ194*VLOOKUP('Données projet'!$B$12,Paramètres!$A$1:$I$89,3,0)*0.475*44/12</f>
        <v>1.4060551820060303E-23</v>
      </c>
      <c r="CN194" s="22">
        <f t="shared" si="172"/>
        <v>0.37088738411768629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378.0000000000004</v>
      </c>
      <c r="CU194" s="17">
        <f>CT194*VLOOKUP('Données projet'!$B$13,Paramètres!$A$1:$I$89,3,0)*VLOOKUP('Données projet'!$B$13,Paramètres!$A$1:$I$89,5,0)</f>
        <v>324.32400000000035</v>
      </c>
      <c r="CV194" s="13">
        <f t="shared" si="173"/>
        <v>76.252341944982831</v>
      </c>
      <c r="CW194" s="20">
        <f t="shared" si="174"/>
        <v>697.67046222084571</v>
      </c>
      <c r="CX194" s="59">
        <f t="shared" si="122"/>
        <v>991.00379555417908</v>
      </c>
      <c r="CY194" s="59">
        <f ca="1">AVERAGE(OFFSET($CX$3,0,0,'Données projet'!$E$13+1,1))-AVERAGE(OFFSET($H$3,0,0,'Données projet'!$E$13+1,1))</f>
        <v>310.4018929413723</v>
      </c>
      <c r="CZ194" s="59">
        <f t="shared" si="150"/>
        <v>127.5231137583819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6.7809721231634645E-2</v>
      </c>
      <c r="DH194" s="21">
        <f>EXP(-LN(2)/2)*DH193+(1-EXP(-LN(2)/2))/(LN(2)/2)*DB194*DE194*VLOOKUP('Données projet'!$B$13,Paramètres!$A$1:$I$89,3,0)*0.475*44/12</f>
        <v>5.2233804244262515E-24</v>
      </c>
      <c r="DI194" s="22">
        <f t="shared" si="175"/>
        <v>6.7809721231634645E-2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>
        <f>DO194*VLOOKUP('Données projet'!$B$14,Paramètres!$A$1:$I$89,3,0)*VLOOKUP('Données projet'!$B$14,Paramètres!$A$1:$I$89,5,0)</f>
        <v>-3.7509835237869992E-13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234.09142087023463</v>
      </c>
      <c r="DU194" s="59">
        <f t="shared" si="152"/>
        <v>278.990685815294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0.10060002351149766</v>
      </c>
      <c r="EB194" s="21">
        <f>EXP(-LN(2)/25)*EB193+(1-EXP(-LN(2)/25))/(LN(2)/25)*Calculateur!DW194*Calculateur!DY194*VLOOKUP('Données projet'!$B$14,Paramètres!$A$1:$I$89,3,0)*0.475*44/12</f>
        <v>0.17670793183509703</v>
      </c>
      <c r="EC194" s="21">
        <f>EXP(-LN(2)/2)*EC193+(1-EXP(-LN(2)/2))/(LN(2)/2)*DW194*DZ194*VLOOKUP('Données projet'!$B$14,Paramètres!$A$1:$I$89,3,0)*0.475*44/12</f>
        <v>1.2957763442016523E-23</v>
      </c>
      <c r="ED194" s="22">
        <f t="shared" si="178"/>
        <v>0.27730795534659469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210.04871822652808</v>
      </c>
      <c r="AO195" s="59">
        <f t="shared" si="144"/>
        <v>250.17540614049324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0.29514993653936361</v>
      </c>
      <c r="AV195" s="21">
        <f>EXP(-LN(2)/25)*AV194+(1-EXP(-LN(2)/25))/(LN(2)/25)*Calculateur!AQ195*Calculateur!AS195*VLOOKUP('Données projet'!$B$10,Paramètres!$A$1:$I$89,3,0)*0.475*44/12</f>
        <v>0.31178123281271813</v>
      </c>
      <c r="AW195" s="21">
        <f>EXP(-LN(2)/2)*AW194+(1-EXP(-LN(2)/2))/(LN(2)/2)*AQ195*AT195*VLOOKUP('Données projet'!$B$10,Paramètres!$A$1:$I$89,3,0)*0.475*44/12</f>
        <v>8.9144794443311926E-24</v>
      </c>
      <c r="AX195" s="21">
        <f t="shared" si="166"/>
        <v>0.6069311693520818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553.99999999999955</v>
      </c>
      <c r="BE195" s="13">
        <f>BD195*VLOOKUP('Données projet'!$B$11,Paramètres!$A$1:$I$89,3,0)*VLOOKUP('Données projet'!$B$11,Paramètres!$A$1:$I$89,5,0)</f>
        <v>331.29199999999975</v>
      </c>
      <c r="BF195" s="13">
        <f t="shared" si="167"/>
        <v>77.698110787752</v>
      </c>
      <c r="BG195" s="20">
        <f t="shared" si="168"/>
        <v>712.32444295533423</v>
      </c>
      <c r="BH195" s="59">
        <f t="shared" si="116"/>
        <v>1005.6577762886675</v>
      </c>
      <c r="BI195" s="59">
        <f ca="1">AVERAGE(OFFSET($BH$3,0,0,'Données projet'!$E$11+1,1))-AVERAGE(OFFSET($H$3,0,0,'Données projet'!$E$11+1,1))</f>
        <v>316.58509520829671</v>
      </c>
      <c r="BJ195" s="59">
        <f t="shared" si="146"/>
        <v>240.71332110643596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0.10246170203417979</v>
      </c>
      <c r="BQ195" s="21">
        <f>EXP(-LN(2)/25)*BQ194+(1-EXP(-LN(2)/25))/(LN(2)/25)*Calculateur!BL195*Calculateur!BN195*VLOOKUP('Données projet'!$B$11,Paramètres!$A$1:$I$89,3,0)*0.475*44/12</f>
        <v>0.17104315349468019</v>
      </c>
      <c r="BR195" s="21">
        <f>EXP(-LN(2)/2)*BR194+(1-EXP(-LN(2)/2))/(LN(2)/2)*BL195*BO195*VLOOKUP('Données projet'!$B$11,Paramètres!$A$1:$I$89,3,0)*0.475*44/12</f>
        <v>9.0738996198850996E-24</v>
      </c>
      <c r="BS195" s="22">
        <f t="shared" si="169"/>
        <v>0.27350485552885995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-5.1159076974727213E-13</v>
      </c>
      <c r="BZ195" s="13">
        <f>BY195*VLOOKUP('Données projet'!$B$12,Paramètres!$A$1:$I$89,3,0)*VLOOKUP('Données projet'!$B$12,Paramètres!$A$1:$I$89,5,0)</f>
        <v>-4.0702161641092972E-13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260.20517190557814</v>
      </c>
      <c r="CE195" s="59">
        <f t="shared" si="148"/>
        <v>307.22009971147133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0.13190976826486459</v>
      </c>
      <c r="CL195" s="21">
        <f>EXP(-LN(2)/25)*CL194+(1-EXP(-LN(2)/25))/(LN(2)/25)*Calculateur!CG195*Calculateur!CI195*VLOOKUP('Données projet'!$B$12,Paramètres!$A$1:$I$89,3,0)*0.475*44/12</f>
        <v>0.22987650011267599</v>
      </c>
      <c r="CM195" s="21">
        <f>EXP(-LN(2)/2)*CM194+(1-EXP(-LN(2)/2))/(LN(2)/2)*CG195*CJ195*VLOOKUP('Données projet'!$B$12,Paramètres!$A$1:$I$89,3,0)*0.475*44/12</f>
        <v>9.942311539189493E-24</v>
      </c>
      <c r="CN195" s="22">
        <f t="shared" si="172"/>
        <v>0.36178626837754058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378.0000000000004</v>
      </c>
      <c r="CU195" s="17">
        <f>CT195*VLOOKUP('Données projet'!$B$13,Paramètres!$A$1:$I$89,3,0)*VLOOKUP('Données projet'!$B$13,Paramètres!$A$1:$I$89,5,0)</f>
        <v>324.32400000000035</v>
      </c>
      <c r="CV195" s="13">
        <f t="shared" si="173"/>
        <v>76.252341944982831</v>
      </c>
      <c r="CW195" s="20">
        <f t="shared" si="174"/>
        <v>697.67046222084571</v>
      </c>
      <c r="CX195" s="59">
        <f t="shared" si="122"/>
        <v>991.00379555417908</v>
      </c>
      <c r="CY195" s="59">
        <f ca="1">AVERAGE(OFFSET($CX$3,0,0,'Données projet'!$E$13+1,1))-AVERAGE(OFFSET($H$3,0,0,'Données projet'!$E$13+1,1))</f>
        <v>310.4018929413723</v>
      </c>
      <c r="CZ195" s="59">
        <f t="shared" si="150"/>
        <v>127.5231137583819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6.5955460838597338E-2</v>
      </c>
      <c r="DH195" s="21">
        <f>EXP(-LN(2)/2)*DH194+(1-EXP(-LN(2)/2))/(LN(2)/2)*DB195*DE195*VLOOKUP('Données projet'!$B$13,Paramètres!$A$1:$I$89,3,0)*0.475*44/12</f>
        <v>3.6934877188288692E-24</v>
      </c>
      <c r="DI195" s="22">
        <f t="shared" si="175"/>
        <v>6.5955460838597338E-2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>
        <f>DO195*VLOOKUP('Données projet'!$B$14,Paramètres!$A$1:$I$89,3,0)*VLOOKUP('Données projet'!$B$14,Paramètres!$A$1:$I$89,5,0)</f>
        <v>-3.7509835237869992E-13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234.09142087023463</v>
      </c>
      <c r="DU195" s="59">
        <f t="shared" si="152"/>
        <v>278.990685815294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9.8627318410392739E-2</v>
      </c>
      <c r="EB195" s="21">
        <f>EXP(-LN(2)/25)*EB194+(1-EXP(-LN(2)/25))/(LN(2)/25)*Calculateur!DW195*Calculateur!DY195*VLOOKUP('Données projet'!$B$14,Paramètres!$A$1:$I$89,3,0)*0.475*44/12</f>
        <v>0.17187584414640003</v>
      </c>
      <c r="EC195" s="21">
        <f>EXP(-LN(2)/2)*EC194+(1-EXP(-LN(2)/2))/(LN(2)/2)*DW195*DZ195*VLOOKUP('Données projet'!$B$14,Paramètres!$A$1:$I$89,3,0)*0.475*44/12</f>
        <v>9.1625223988610233E-24</v>
      </c>
      <c r="ED195" s="22">
        <f t="shared" si="178"/>
        <v>0.27050316255679274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210.04871822652808</v>
      </c>
      <c r="AO196" s="59">
        <f t="shared" si="144"/>
        <v>250.17540614049324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0.28936222630751213</v>
      </c>
      <c r="AV196" s="21">
        <f>EXP(-LN(2)/25)*AV195+(1-EXP(-LN(2)/25))/(LN(2)/25)*Calculateur!AQ196*Calculateur!AS196*VLOOKUP('Données projet'!$B$10,Paramètres!$A$1:$I$89,3,0)*0.475*44/12</f>
        <v>0.30325555860559189</v>
      </c>
      <c r="AW196" s="21">
        <f>EXP(-LN(2)/2)*AW195+(1-EXP(-LN(2)/2))/(LN(2)/2)*AQ196*AT196*VLOOKUP('Données projet'!$B$10,Paramètres!$A$1:$I$89,3,0)*0.475*44/12</f>
        <v>6.3034888658346724E-24</v>
      </c>
      <c r="AX196" s="21">
        <f t="shared" si="166"/>
        <v>0.59261778491310402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553.99999999999955</v>
      </c>
      <c r="BE196" s="13">
        <f>BD196*VLOOKUP('Données projet'!$B$11,Paramètres!$A$1:$I$89,3,0)*VLOOKUP('Données projet'!$B$11,Paramètres!$A$1:$I$89,5,0)</f>
        <v>331.29199999999975</v>
      </c>
      <c r="BF196" s="13">
        <f t="shared" si="167"/>
        <v>77.698110787752</v>
      </c>
      <c r="BG196" s="20">
        <f t="shared" si="168"/>
        <v>712.32444295533423</v>
      </c>
      <c r="BH196" s="59">
        <f t="shared" ref="BH196:BH203" si="194">BG196+(AY196+AZ196)*44/12</f>
        <v>1005.6577762886675</v>
      </c>
      <c r="BI196" s="59">
        <f ca="1">AVERAGE(OFFSET($BH$3,0,0,'Données projet'!$E$11+1,1))-AVERAGE(OFFSET($H$3,0,0,'Données projet'!$E$11+1,1))</f>
        <v>316.58509520829671</v>
      </c>
      <c r="BJ196" s="59">
        <f t="shared" si="146"/>
        <v>240.71332110643596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0.10045249055275685</v>
      </c>
      <c r="BQ196" s="21">
        <f>EXP(-LN(2)/25)*BQ195+(1-EXP(-LN(2)/25))/(LN(2)/25)*Calculateur!BL196*Calculateur!BN196*VLOOKUP('Données projet'!$B$11,Paramètres!$A$1:$I$89,3,0)*0.475*44/12</f>
        <v>0.16636596946759963</v>
      </c>
      <c r="BR196" s="21">
        <f>EXP(-LN(2)/2)*BR195+(1-EXP(-LN(2)/2))/(LN(2)/2)*BL196*BO196*VLOOKUP('Données projet'!$B$11,Paramètres!$A$1:$I$89,3,0)*0.475*44/12</f>
        <v>6.4162159530267899E-24</v>
      </c>
      <c r="BS196" s="22">
        <f t="shared" si="169"/>
        <v>0.26681846002035647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-5.1159076974727213E-13</v>
      </c>
      <c r="BZ196" s="13">
        <f>BY196*VLOOKUP('Données projet'!$B$12,Paramètres!$A$1:$I$89,3,0)*VLOOKUP('Données projet'!$B$12,Paramètres!$A$1:$I$89,5,0)</f>
        <v>-4.0702161641092972E-13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260.20517190557814</v>
      </c>
      <c r="CE196" s="59">
        <f t="shared" si="148"/>
        <v>307.22009971147133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0.12932309816620477</v>
      </c>
      <c r="CL196" s="21">
        <f>EXP(-LN(2)/25)*CL195+(1-EXP(-LN(2)/25))/(LN(2)/25)*Calculateur!CG196*Calculateur!CI196*VLOOKUP('Données projet'!$B$12,Paramètres!$A$1:$I$89,3,0)*0.475*44/12</f>
        <v>0.2235905151284151</v>
      </c>
      <c r="CM196" s="21">
        <f>EXP(-LN(2)/2)*CM195+(1-EXP(-LN(2)/2))/(LN(2)/2)*CG196*CJ196*VLOOKUP('Données projet'!$B$12,Paramètres!$A$1:$I$89,3,0)*0.475*44/12</f>
        <v>7.0302759100301513E-24</v>
      </c>
      <c r="CN196" s="22">
        <f t="shared" si="172"/>
        <v>0.3529136132946199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378.0000000000004</v>
      </c>
      <c r="CU196" s="17">
        <f>CT196*VLOOKUP('Données projet'!$B$13,Paramètres!$A$1:$I$89,3,0)*VLOOKUP('Données projet'!$B$13,Paramètres!$A$1:$I$89,5,0)</f>
        <v>324.32400000000035</v>
      </c>
      <c r="CV196" s="13">
        <f t="shared" si="173"/>
        <v>76.252341944982831</v>
      </c>
      <c r="CW196" s="20">
        <f t="shared" si="174"/>
        <v>697.67046222084571</v>
      </c>
      <c r="CX196" s="59">
        <f t="shared" ref="CX196:CX203" si="196">CW196+(CO196+CP196)*44/12</f>
        <v>991.00379555417908</v>
      </c>
      <c r="CY196" s="59">
        <f ca="1">AVERAGE(OFFSET($CX$3,0,0,'Données projet'!$E$13+1,1))-AVERAGE(OFFSET($H$3,0,0,'Données projet'!$E$13+1,1))</f>
        <v>310.4018929413723</v>
      </c>
      <c r="CZ196" s="59">
        <f t="shared" si="150"/>
        <v>127.5231137583819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6.4151905293518954E-2</v>
      </c>
      <c r="DH196" s="21">
        <f>EXP(-LN(2)/2)*DH195+(1-EXP(-LN(2)/2))/(LN(2)/2)*DB196*DE196*VLOOKUP('Données projet'!$B$13,Paramètres!$A$1:$I$89,3,0)*0.475*44/12</f>
        <v>2.6116902122131258E-24</v>
      </c>
      <c r="DI196" s="22">
        <f t="shared" si="175"/>
        <v>6.4151905293518954E-2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>
        <f>DO196*VLOOKUP('Données projet'!$B$14,Paramètres!$A$1:$I$89,3,0)*VLOOKUP('Données projet'!$B$14,Paramètres!$A$1:$I$89,5,0)</f>
        <v>-3.7509835237869992E-13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234.09142087023463</v>
      </c>
      <c r="DU196" s="59">
        <f t="shared" si="152"/>
        <v>278.990685815294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9.6693296853089181E-2</v>
      </c>
      <c r="EB196" s="21">
        <f>EXP(-LN(2)/25)*EB195+(1-EXP(-LN(2)/25))/(LN(2)/25)*Calculateur!DW196*Calculateur!DY196*VLOOKUP('Données projet'!$B$14,Paramètres!$A$1:$I$89,3,0)*0.475*44/12</f>
        <v>0.16717589014965892</v>
      </c>
      <c r="EC196" s="21">
        <f>EXP(-LN(2)/2)*EC195+(1-EXP(-LN(2)/2))/(LN(2)/2)*DW196*DZ196*VLOOKUP('Données projet'!$B$14,Paramètres!$A$1:$I$89,3,0)*0.475*44/12</f>
        <v>6.4788817210082622E-24</v>
      </c>
      <c r="ED196" s="22">
        <f t="shared" si="178"/>
        <v>0.26386918700274808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210.04871822652808</v>
      </c>
      <c r="AO197" s="59">
        <f t="shared" ref="AO197:AO203" si="205">$AO$3</f>
        <v>250.17540614049324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0.2836880095431526</v>
      </c>
      <c r="AV197" s="21">
        <f>EXP(-LN(2)/25)*AV196+(1-EXP(-LN(2)/25))/(LN(2)/25)*Calculateur!AQ197*Calculateur!AS197*VLOOKUP('Données projet'!$B$10,Paramètres!$A$1:$I$89,3,0)*0.475*44/12</f>
        <v>0.29496301940800523</v>
      </c>
      <c r="AW197" s="21">
        <f>EXP(-LN(2)/2)*AW196+(1-EXP(-LN(2)/2))/(LN(2)/2)*AQ197*AT197*VLOOKUP('Données projet'!$B$10,Paramètres!$A$1:$I$89,3,0)*0.475*44/12</f>
        <v>4.4572397221655963E-24</v>
      </c>
      <c r="AX197" s="21">
        <f t="shared" si="166"/>
        <v>0.57865102895115783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553.99999999999955</v>
      </c>
      <c r="BE197" s="13">
        <f>BD197*VLOOKUP('Données projet'!$B$11,Paramètres!$A$1:$I$89,3,0)*VLOOKUP('Données projet'!$B$11,Paramètres!$A$1:$I$89,5,0)</f>
        <v>331.29199999999975</v>
      </c>
      <c r="BF197" s="13">
        <f t="shared" si="167"/>
        <v>77.698110787752</v>
      </c>
      <c r="BG197" s="20">
        <f t="shared" si="168"/>
        <v>712.32444295533423</v>
      </c>
      <c r="BH197" s="59">
        <f t="shared" si="194"/>
        <v>1005.6577762886675</v>
      </c>
      <c r="BI197" s="59">
        <f ca="1">AVERAGE(OFFSET($BH$3,0,0,'Données projet'!$E$11+1,1))-AVERAGE(OFFSET($H$3,0,0,'Données projet'!$E$11+1,1))</f>
        <v>316.58509520829671</v>
      </c>
      <c r="BJ197" s="59">
        <f t="shared" ref="BJ197:BJ203" si="206">$BJ$3</f>
        <v>240.71332110643596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9.8482678482986613E-2</v>
      </c>
      <c r="BQ197" s="21">
        <f>EXP(-LN(2)/25)*BQ196+(1-EXP(-LN(2)/25))/(LN(2)/25)*Calculateur!BL197*Calculateur!BN197*VLOOKUP('Données projet'!$B$11,Paramètres!$A$1:$I$89,3,0)*0.475*44/12</f>
        <v>0.16181668328370202</v>
      </c>
      <c r="BR197" s="21">
        <f>EXP(-LN(2)/2)*BR196+(1-EXP(-LN(2)/2))/(LN(2)/2)*BL197*BO197*VLOOKUP('Données projet'!$B$11,Paramètres!$A$1:$I$89,3,0)*0.475*44/12</f>
        <v>4.5369498099425498E-24</v>
      </c>
      <c r="BS197" s="22">
        <f t="shared" si="169"/>
        <v>0.26029936176668866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-5.1159076974727213E-13</v>
      </c>
      <c r="BZ197" s="13">
        <f>BY197*VLOOKUP('Données projet'!$B$12,Paramètres!$A$1:$I$89,3,0)*VLOOKUP('Données projet'!$B$12,Paramètres!$A$1:$I$89,5,0)</f>
        <v>-4.0702161641092972E-13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260.20517190557814</v>
      </c>
      <c r="CE197" s="59">
        <f t="shared" ref="CE197:CE203" si="207">$CE$3</f>
        <v>307.22009971147133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0.1267871510904667</v>
      </c>
      <c r="CL197" s="21">
        <f>EXP(-LN(2)/25)*CL196+(1-EXP(-LN(2)/25))/(LN(2)/25)*Calculateur!CG197*Calculateur!CI197*VLOOKUP('Données projet'!$B$12,Paramètres!$A$1:$I$89,3,0)*0.475*44/12</f>
        <v>0.21747642073411441</v>
      </c>
      <c r="CM197" s="21">
        <f>EXP(-LN(2)/2)*CM196+(1-EXP(-LN(2)/2))/(LN(2)/2)*CG197*CJ197*VLOOKUP('Données projet'!$B$12,Paramètres!$A$1:$I$89,3,0)*0.475*44/12</f>
        <v>4.9711557695947465E-24</v>
      </c>
      <c r="CN197" s="22">
        <f t="shared" si="172"/>
        <v>0.34426357182458112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378.0000000000004</v>
      </c>
      <c r="CU197" s="17">
        <f>CT197*VLOOKUP('Données projet'!$B$13,Paramètres!$A$1:$I$89,3,0)*VLOOKUP('Données projet'!$B$13,Paramètres!$A$1:$I$89,5,0)</f>
        <v>324.32400000000035</v>
      </c>
      <c r="CV197" s="13">
        <f t="shared" si="173"/>
        <v>76.252341944982831</v>
      </c>
      <c r="CW197" s="20">
        <f t="shared" si="174"/>
        <v>697.67046222084571</v>
      </c>
      <c r="CX197" s="59">
        <f t="shared" si="196"/>
        <v>991.00379555417908</v>
      </c>
      <c r="CY197" s="59">
        <f ca="1">AVERAGE(OFFSET($CX$3,0,0,'Données projet'!$E$13+1,1))-AVERAGE(OFFSET($H$3,0,0,'Données projet'!$E$13+1,1))</f>
        <v>310.4018929413723</v>
      </c>
      <c r="CZ197" s="59">
        <f t="shared" ref="CZ197:CZ203" si="208">$CZ$3</f>
        <v>127.5231137583819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6.2397668069665603E-2</v>
      </c>
      <c r="DH197" s="21">
        <f>EXP(-LN(2)/2)*DH196+(1-EXP(-LN(2)/2))/(LN(2)/2)*DB197*DE197*VLOOKUP('Données projet'!$B$13,Paramètres!$A$1:$I$89,3,0)*0.475*44/12</f>
        <v>1.8467438594144346E-24</v>
      </c>
      <c r="DI197" s="22">
        <f t="shared" si="175"/>
        <v>6.2397668069665603E-2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>
        <f>DO197*VLOOKUP('Données projet'!$B$14,Paramètres!$A$1:$I$89,3,0)*VLOOKUP('Données projet'!$B$14,Paramètres!$A$1:$I$89,5,0)</f>
        <v>-3.7509835237869992E-13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234.09142087023463</v>
      </c>
      <c r="DU197" s="59">
        <f t="shared" ref="DU197:DU203" si="209">$DU$3</f>
        <v>278.990685815294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9.4797200278887675E-2</v>
      </c>
      <c r="EB197" s="21">
        <f>EXP(-LN(2)/25)*EB196+(1-EXP(-LN(2)/25))/(LN(2)/25)*Calculateur!DW197*Calculateur!DY197*VLOOKUP('Données projet'!$B$14,Paramètres!$A$1:$I$89,3,0)*0.475*44/12</f>
        <v>0.16260445664211851</v>
      </c>
      <c r="EC197" s="21">
        <f>EXP(-LN(2)/2)*EC196+(1-EXP(-LN(2)/2))/(LN(2)/2)*DW197*DZ197*VLOOKUP('Données projet'!$B$14,Paramètres!$A$1:$I$89,3,0)*0.475*44/12</f>
        <v>4.5812611994305124E-24</v>
      </c>
      <c r="ED197" s="22">
        <f t="shared" si="178"/>
        <v>0.25740165692100619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210.04871822652808</v>
      </c>
      <c r="AO198" s="59">
        <f t="shared" si="205"/>
        <v>250.17540614049324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0.27812506070861165</v>
      </c>
      <c r="AV198" s="21">
        <f>EXP(-LN(2)/25)*AV197+(1-EXP(-LN(2)/25))/(LN(2)/25)*Calculateur!AQ198*Calculateur!AS198*VLOOKUP('Données projet'!$B$10,Paramètres!$A$1:$I$89,3,0)*0.475*44/12</f>
        <v>0.28689724013086226</v>
      </c>
      <c r="AW198" s="21">
        <f>EXP(-LN(2)/2)*AW197+(1-EXP(-LN(2)/2))/(LN(2)/2)*AQ198*AT198*VLOOKUP('Données projet'!$B$10,Paramètres!$A$1:$I$89,3,0)*0.475*44/12</f>
        <v>3.1517444329173362E-24</v>
      </c>
      <c r="AX198" s="21">
        <f t="shared" si="166"/>
        <v>0.56502230083947391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553.99999999999955</v>
      </c>
      <c r="BE198" s="13">
        <f>BD198*VLOOKUP('Données projet'!$B$11,Paramètres!$A$1:$I$89,3,0)*VLOOKUP('Données projet'!$B$11,Paramètres!$A$1:$I$89,5,0)</f>
        <v>331.29199999999975</v>
      </c>
      <c r="BF198" s="13">
        <f t="shared" si="167"/>
        <v>77.698110787752</v>
      </c>
      <c r="BG198" s="20">
        <f t="shared" si="168"/>
        <v>712.32444295533423</v>
      </c>
      <c r="BH198" s="59">
        <f t="shared" si="194"/>
        <v>1005.6577762886675</v>
      </c>
      <c r="BI198" s="59">
        <f ca="1">AVERAGE(OFFSET($BH$3,0,0,'Données projet'!$E$11+1,1))-AVERAGE(OFFSET($H$3,0,0,'Données projet'!$E$11+1,1))</f>
        <v>316.58509520829671</v>
      </c>
      <c r="BJ198" s="59">
        <f t="shared" si="206"/>
        <v>240.71332110643596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9.6551493226437843E-2</v>
      </c>
      <c r="BQ198" s="21">
        <f>EXP(-LN(2)/25)*BQ197+(1-EXP(-LN(2)/25))/(LN(2)/25)*Calculateur!BL198*Calculateur!BN198*VLOOKUP('Données projet'!$B$11,Paramètres!$A$1:$I$89,3,0)*0.475*44/12</f>
        <v>0.15739179756973964</v>
      </c>
      <c r="BR198" s="21">
        <f>EXP(-LN(2)/2)*BR197+(1-EXP(-LN(2)/2))/(LN(2)/2)*BL198*BO198*VLOOKUP('Données projet'!$B$11,Paramètres!$A$1:$I$89,3,0)*0.475*44/12</f>
        <v>3.208107976513395E-24</v>
      </c>
      <c r="BS198" s="22">
        <f t="shared" si="169"/>
        <v>0.2539432907961775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-5.1159076974727213E-13</v>
      </c>
      <c r="BZ198" s="13">
        <f>BY198*VLOOKUP('Données projet'!$B$12,Paramètres!$A$1:$I$89,3,0)*VLOOKUP('Données projet'!$B$12,Paramètres!$A$1:$I$89,5,0)</f>
        <v>-4.0702161641092972E-13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260.20517190557814</v>
      </c>
      <c r="CE198" s="59">
        <f t="shared" si="207"/>
        <v>307.22009971147133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0.12430093239010886</v>
      </c>
      <c r="CL198" s="21">
        <f>EXP(-LN(2)/25)*CL197+(1-EXP(-LN(2)/25))/(LN(2)/25)*Calculateur!CG198*Calculateur!CI198*VLOOKUP('Données projet'!$B$12,Paramètres!$A$1:$I$89,3,0)*0.475*44/12</f>
        <v>0.21152951657255215</v>
      </c>
      <c r="CM198" s="21">
        <f>EXP(-LN(2)/2)*CM197+(1-EXP(-LN(2)/2))/(LN(2)/2)*CG198*CJ198*VLOOKUP('Données projet'!$B$12,Paramètres!$A$1:$I$89,3,0)*0.475*44/12</f>
        <v>3.5151379550150756E-24</v>
      </c>
      <c r="CN198" s="22">
        <f t="shared" si="172"/>
        <v>0.33583044896266101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378.0000000000004</v>
      </c>
      <c r="CU198" s="17">
        <f>CT198*VLOOKUP('Données projet'!$B$13,Paramètres!$A$1:$I$89,3,0)*VLOOKUP('Données projet'!$B$13,Paramètres!$A$1:$I$89,5,0)</f>
        <v>324.32400000000035</v>
      </c>
      <c r="CV198" s="13">
        <f t="shared" si="173"/>
        <v>76.252341944982831</v>
      </c>
      <c r="CW198" s="20">
        <f t="shared" si="174"/>
        <v>697.67046222084571</v>
      </c>
      <c r="CX198" s="59">
        <f t="shared" si="196"/>
        <v>991.00379555417908</v>
      </c>
      <c r="CY198" s="59">
        <f ca="1">AVERAGE(OFFSET($CX$3,0,0,'Données projet'!$E$13+1,1))-AVERAGE(OFFSET($H$3,0,0,'Données projet'!$E$13+1,1))</f>
        <v>310.4018929413723</v>
      </c>
      <c r="CZ198" s="59">
        <f t="shared" si="208"/>
        <v>127.5231137583819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6.0691400554949843E-2</v>
      </c>
      <c r="DH198" s="21">
        <f>EXP(-LN(2)/2)*DH197+(1-EXP(-LN(2)/2))/(LN(2)/2)*DB198*DE198*VLOOKUP('Données projet'!$B$13,Paramètres!$A$1:$I$89,3,0)*0.475*44/12</f>
        <v>1.3058451061065629E-24</v>
      </c>
      <c r="DI198" s="22">
        <f t="shared" si="175"/>
        <v>6.0691400554949843E-2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>
        <f>DO198*VLOOKUP('Données projet'!$B$14,Paramètres!$A$1:$I$89,3,0)*VLOOKUP('Données projet'!$B$14,Paramètres!$A$1:$I$89,5,0)</f>
        <v>-3.7509835237869992E-13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234.09142087023463</v>
      </c>
      <c r="DU198" s="59">
        <f t="shared" si="209"/>
        <v>278.990685815294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9.2938285002001547E-2</v>
      </c>
      <c r="EB198" s="21">
        <f>EXP(-LN(2)/25)*EB197+(1-EXP(-LN(2)/25))/(LN(2)/25)*Calculateur!DW198*Calculateur!DY198*VLOOKUP('Données projet'!$B$14,Paramètres!$A$1:$I$89,3,0)*0.475*44/12</f>
        <v>0.15815802922424305</v>
      </c>
      <c r="EC198" s="21">
        <f>EXP(-LN(2)/2)*EC197+(1-EXP(-LN(2)/2))/(LN(2)/2)*DW198*DZ198*VLOOKUP('Données projet'!$B$14,Paramètres!$A$1:$I$89,3,0)*0.475*44/12</f>
        <v>3.2394408605041318E-24</v>
      </c>
      <c r="ED198" s="22">
        <f t="shared" si="178"/>
        <v>0.25109631422624457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210.04871822652808</v>
      </c>
      <c r="AO199" s="59">
        <f t="shared" si="205"/>
        <v>250.17540614049324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0.27267119790765232</v>
      </c>
      <c r="AV199" s="21">
        <f>EXP(-LN(2)/25)*AV198+(1-EXP(-LN(2)/25))/(LN(2)/25)*Calculateur!AQ199*Calculateur!AS199*VLOOKUP('Données projet'!$B$10,Paramètres!$A$1:$I$89,3,0)*0.475*44/12</f>
        <v>0.27905202001221369</v>
      </c>
      <c r="AW199" s="21">
        <f>EXP(-LN(2)/2)*AW198+(1-EXP(-LN(2)/2))/(LN(2)/2)*AQ199*AT199*VLOOKUP('Données projet'!$B$10,Paramètres!$A$1:$I$89,3,0)*0.475*44/12</f>
        <v>2.2286198610827981E-24</v>
      </c>
      <c r="AX199" s="21">
        <f t="shared" si="166"/>
        <v>0.551723217919866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553.99999999999955</v>
      </c>
      <c r="BE199" s="13">
        <f>BD199*VLOOKUP('Données projet'!$B$11,Paramètres!$A$1:$I$89,3,0)*VLOOKUP('Données projet'!$B$11,Paramètres!$A$1:$I$89,5,0)</f>
        <v>331.29199999999975</v>
      </c>
      <c r="BF199" s="13">
        <f t="shared" si="167"/>
        <v>77.698110787752</v>
      </c>
      <c r="BG199" s="20">
        <f t="shared" si="168"/>
        <v>712.32444295533423</v>
      </c>
      <c r="BH199" s="59">
        <f t="shared" si="194"/>
        <v>1005.6577762886675</v>
      </c>
      <c r="BI199" s="59">
        <f ca="1">AVERAGE(OFFSET($BH$3,0,0,'Données projet'!$E$11+1,1))-AVERAGE(OFFSET($H$3,0,0,'Données projet'!$E$11+1,1))</f>
        <v>316.58509520829671</v>
      </c>
      <c r="BJ199" s="59">
        <f t="shared" si="206"/>
        <v>240.71332110643596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9.46581773348633E-2</v>
      </c>
      <c r="BQ199" s="21">
        <f>EXP(-LN(2)/25)*BQ198+(1-EXP(-LN(2)/25))/(LN(2)/25)*Calculateur!BL199*Calculateur!BN199*VLOOKUP('Données projet'!$B$11,Paramètres!$A$1:$I$89,3,0)*0.475*44/12</f>
        <v>0.15308791058832019</v>
      </c>
      <c r="BR199" s="21">
        <f>EXP(-LN(2)/2)*BR198+(1-EXP(-LN(2)/2))/(LN(2)/2)*BL199*BO199*VLOOKUP('Données projet'!$B$11,Paramètres!$A$1:$I$89,3,0)*0.475*44/12</f>
        <v>2.2684749049712749E-24</v>
      </c>
      <c r="BS199" s="22">
        <f t="shared" si="169"/>
        <v>0.24774608792318348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-5.1159076974727213E-13</v>
      </c>
      <c r="BZ199" s="13">
        <f>BY199*VLOOKUP('Données projet'!$B$12,Paramètres!$A$1:$I$89,3,0)*VLOOKUP('Données projet'!$B$12,Paramètres!$A$1:$I$89,5,0)</f>
        <v>-4.0702161641092972E-13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260.20517190557814</v>
      </c>
      <c r="CE199" s="59">
        <f t="shared" si="207"/>
        <v>307.22009971147133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0.12186346692202137</v>
      </c>
      <c r="CL199" s="21">
        <f>EXP(-LN(2)/25)*CL198+(1-EXP(-LN(2)/25))/(LN(2)/25)*Calculateur!CG199*Calculateur!CI199*VLOOKUP('Données projet'!$B$12,Paramètres!$A$1:$I$89,3,0)*0.475*44/12</f>
        <v>0.2057452308180219</v>
      </c>
      <c r="CM199" s="21">
        <f>EXP(-LN(2)/2)*CM198+(1-EXP(-LN(2)/2))/(LN(2)/2)*CG199*CJ199*VLOOKUP('Données projet'!$B$12,Paramètres!$A$1:$I$89,3,0)*0.475*44/12</f>
        <v>2.4855778847973732E-24</v>
      </c>
      <c r="CN199" s="22">
        <f t="shared" si="172"/>
        <v>0.32760869774004325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378.0000000000004</v>
      </c>
      <c r="CU199" s="17">
        <f>CT199*VLOOKUP('Données projet'!$B$13,Paramètres!$A$1:$I$89,3,0)*VLOOKUP('Données projet'!$B$13,Paramètres!$A$1:$I$89,5,0)</f>
        <v>324.32400000000035</v>
      </c>
      <c r="CV199" s="13">
        <f t="shared" si="173"/>
        <v>76.252341944982831</v>
      </c>
      <c r="CW199" s="20">
        <f t="shared" si="174"/>
        <v>697.67046222084571</v>
      </c>
      <c r="CX199" s="59">
        <f t="shared" si="196"/>
        <v>991.00379555417908</v>
      </c>
      <c r="CY199" s="59">
        <f ca="1">AVERAGE(OFFSET($CX$3,0,0,'Données projet'!$E$13+1,1))-AVERAGE(OFFSET($H$3,0,0,'Données projet'!$E$13+1,1))</f>
        <v>310.4018929413723</v>
      </c>
      <c r="CZ199" s="59">
        <f t="shared" si="208"/>
        <v>127.5231137583819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5.9031791015152699E-2</v>
      </c>
      <c r="DH199" s="21">
        <f>EXP(-LN(2)/2)*DH198+(1-EXP(-LN(2)/2))/(LN(2)/2)*DB199*DE199*VLOOKUP('Données projet'!$B$13,Paramètres!$A$1:$I$89,3,0)*0.475*44/12</f>
        <v>9.2337192970721729E-25</v>
      </c>
      <c r="DI199" s="22">
        <f t="shared" si="175"/>
        <v>5.9031791015152699E-2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>
        <f>DO199*VLOOKUP('Données projet'!$B$14,Paramètres!$A$1:$I$89,3,0)*VLOOKUP('Données projet'!$B$14,Paramètres!$A$1:$I$89,5,0)</f>
        <v>-3.7509835237869992E-13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234.09142087023463</v>
      </c>
      <c r="DU199" s="59">
        <f t="shared" si="209"/>
        <v>278.990685815294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9.1115821919868792E-2</v>
      </c>
      <c r="EB199" s="21">
        <f>EXP(-LN(2)/25)*EB198+(1-EXP(-LN(2)/25))/(LN(2)/25)*Calculateur!DW199*Calculateur!DY199*VLOOKUP('Données projet'!$B$14,Paramètres!$A$1:$I$89,3,0)*0.475*44/12</f>
        <v>0.15383318959793685</v>
      </c>
      <c r="EC199" s="21">
        <f>EXP(-LN(2)/2)*EC198+(1-EXP(-LN(2)/2))/(LN(2)/2)*DW199*DZ199*VLOOKUP('Données projet'!$B$14,Paramètres!$A$1:$I$89,3,0)*0.475*44/12</f>
        <v>2.2906305997152566E-24</v>
      </c>
      <c r="ED199" s="22">
        <f t="shared" si="178"/>
        <v>0.24494901151780563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210.04871822652808</v>
      </c>
      <c r="AO200" s="59">
        <f t="shared" si="205"/>
        <v>250.17540614049324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0.26732428202969194</v>
      </c>
      <c r="AV200" s="21">
        <f>EXP(-LN(2)/25)*AV199+(1-EXP(-LN(2)/25))/(LN(2)/25)*Calculateur!AQ200*Calculateur!AS200*VLOOKUP('Données projet'!$B$10,Paramètres!$A$1:$I$89,3,0)*0.475*44/12</f>
        <v>0.27142132785027173</v>
      </c>
      <c r="AW200" s="21">
        <f>EXP(-LN(2)/2)*AW199+(1-EXP(-LN(2)/2))/(LN(2)/2)*AQ200*AT200*VLOOKUP('Données projet'!$B$10,Paramètres!$A$1:$I$89,3,0)*0.475*44/12</f>
        <v>1.5758722164586681E-24</v>
      </c>
      <c r="AX200" s="21">
        <f t="shared" si="166"/>
        <v>0.53874560987996367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553.99999999999955</v>
      </c>
      <c r="BE200" s="13">
        <f>BD200*VLOOKUP('Données projet'!$B$11,Paramètres!$A$1:$I$89,3,0)*VLOOKUP('Données projet'!$B$11,Paramètres!$A$1:$I$89,5,0)</f>
        <v>331.29199999999975</v>
      </c>
      <c r="BF200" s="13">
        <f t="shared" si="167"/>
        <v>77.698110787752</v>
      </c>
      <c r="BG200" s="20">
        <f t="shared" si="168"/>
        <v>712.32444295533423</v>
      </c>
      <c r="BH200" s="59">
        <f t="shared" si="194"/>
        <v>1005.6577762886675</v>
      </c>
      <c r="BI200" s="59">
        <f ca="1">AVERAGE(OFFSET($BH$3,0,0,'Données projet'!$E$11+1,1))-AVERAGE(OFFSET($H$3,0,0,'Données projet'!$E$11+1,1))</f>
        <v>316.58509520829671</v>
      </c>
      <c r="BJ200" s="59">
        <f t="shared" si="206"/>
        <v>240.71332110643596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9.2801988213113876E-2</v>
      </c>
      <c r="BQ200" s="21">
        <f>EXP(-LN(2)/25)*BQ199+(1-EXP(-LN(2)/25))/(LN(2)/25)*Calculateur!BL200*Calculateur!BN200*VLOOKUP('Données projet'!$B$11,Paramètres!$A$1:$I$89,3,0)*0.475*44/12</f>
        <v>0.14890171362273924</v>
      </c>
      <c r="BR200" s="21">
        <f>EXP(-LN(2)/2)*BR199+(1-EXP(-LN(2)/2))/(LN(2)/2)*BL200*BO200*VLOOKUP('Données projet'!$B$11,Paramètres!$A$1:$I$89,3,0)*0.475*44/12</f>
        <v>1.6040539882566975E-24</v>
      </c>
      <c r="BS200" s="22">
        <f t="shared" si="169"/>
        <v>0.2417037018358531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-5.1159076974727213E-13</v>
      </c>
      <c r="BZ200" s="13">
        <f>BY200*VLOOKUP('Données projet'!$B$12,Paramètres!$A$1:$I$89,3,0)*VLOOKUP('Données projet'!$B$12,Paramètres!$A$1:$I$89,5,0)</f>
        <v>-4.0702161641092972E-13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260.20517190557814</v>
      </c>
      <c r="CE200" s="59">
        <f t="shared" si="207"/>
        <v>307.22009971147133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0.11947379866505593</v>
      </c>
      <c r="CL200" s="21">
        <f>EXP(-LN(2)/25)*CL199+(1-EXP(-LN(2)/25))/(LN(2)/25)*Calculateur!CG200*Calculateur!CI200*VLOOKUP('Données projet'!$B$12,Paramètres!$A$1:$I$89,3,0)*0.475*44/12</f>
        <v>0.20011911666163165</v>
      </c>
      <c r="CM200" s="21">
        <f>EXP(-LN(2)/2)*CM199+(1-EXP(-LN(2)/2))/(LN(2)/2)*CG200*CJ200*VLOOKUP('Données projet'!$B$12,Paramètres!$A$1:$I$89,3,0)*0.475*44/12</f>
        <v>1.7575689775075378E-24</v>
      </c>
      <c r="CN200" s="22">
        <f t="shared" si="172"/>
        <v>0.3195929153266876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378.0000000000004</v>
      </c>
      <c r="CU200" s="17">
        <f>CT200*VLOOKUP('Données projet'!$B$13,Paramètres!$A$1:$I$89,3,0)*VLOOKUP('Données projet'!$B$13,Paramètres!$A$1:$I$89,5,0)</f>
        <v>324.32400000000035</v>
      </c>
      <c r="CV200" s="13">
        <f t="shared" si="173"/>
        <v>76.252341944982831</v>
      </c>
      <c r="CW200" s="20">
        <f t="shared" si="174"/>
        <v>697.67046222084571</v>
      </c>
      <c r="CX200" s="59">
        <f t="shared" si="196"/>
        <v>991.00379555417908</v>
      </c>
      <c r="CY200" s="59">
        <f ca="1">AVERAGE(OFFSET($CX$3,0,0,'Données projet'!$E$13+1,1))-AVERAGE(OFFSET($H$3,0,0,'Données projet'!$E$13+1,1))</f>
        <v>310.4018929413723</v>
      </c>
      <c r="CZ200" s="59">
        <f t="shared" si="208"/>
        <v>127.5231137583819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5.7417563585496378E-2</v>
      </c>
      <c r="DH200" s="21">
        <f>EXP(-LN(2)/2)*DH199+(1-EXP(-LN(2)/2))/(LN(2)/2)*DB200*DE200*VLOOKUP('Données projet'!$B$13,Paramètres!$A$1:$I$89,3,0)*0.475*44/12</f>
        <v>6.5292255305328144E-25</v>
      </c>
      <c r="DI200" s="22">
        <f t="shared" si="175"/>
        <v>5.7417563585496378E-2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>
        <f>DO200*VLOOKUP('Données projet'!$B$14,Paramètres!$A$1:$I$89,3,0)*VLOOKUP('Données projet'!$B$14,Paramètres!$A$1:$I$89,5,0)</f>
        <v>-3.7509835237869992E-13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234.09142087023463</v>
      </c>
      <c r="DU200" s="59">
        <f t="shared" si="209"/>
        <v>278.990685815294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8.9329096227183949E-2</v>
      </c>
      <c r="EB200" s="21">
        <f>EXP(-LN(2)/25)*EB199+(1-EXP(-LN(2)/25))/(LN(2)/25)*Calculateur!DW200*Calculateur!DY200*VLOOKUP('Données projet'!$B$14,Paramètres!$A$1:$I$89,3,0)*0.475*44/12</f>
        <v>0.1496266129386454</v>
      </c>
      <c r="EC200" s="21">
        <f>EXP(-LN(2)/2)*EC199+(1-EXP(-LN(2)/2))/(LN(2)/2)*DW200*DZ200*VLOOKUP('Données projet'!$B$14,Paramètres!$A$1:$I$89,3,0)*0.475*44/12</f>
        <v>1.6197204302520661E-24</v>
      </c>
      <c r="ED200" s="22">
        <f t="shared" si="178"/>
        <v>0.23895570916582937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210.04871822652808</v>
      </c>
      <c r="AO201" s="59">
        <f t="shared" si="205"/>
        <v>250.17540614049324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0.26208221591080172</v>
      </c>
      <c r="AV201" s="21">
        <f>EXP(-LN(2)/25)*AV200+(1-EXP(-LN(2)/25))/(LN(2)/25)*Calculateur!AQ201*Calculateur!AS201*VLOOKUP('Données projet'!$B$10,Paramètres!$A$1:$I$89,3,0)*0.475*44/12</f>
        <v>0.26399929736677874</v>
      </c>
      <c r="AW201" s="21">
        <f>EXP(-LN(2)/2)*AW200+(1-EXP(-LN(2)/2))/(LN(2)/2)*AQ201*AT201*VLOOKUP('Données projet'!$B$10,Paramètres!$A$1:$I$89,3,0)*0.475*44/12</f>
        <v>1.1143099305413991E-24</v>
      </c>
      <c r="AX201" s="21">
        <f t="shared" si="166"/>
        <v>0.52608151327758046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553.99999999999955</v>
      </c>
      <c r="BE201" s="13">
        <f>BD201*VLOOKUP('Données projet'!$B$11,Paramètres!$A$1:$I$89,3,0)*VLOOKUP('Données projet'!$B$11,Paramètres!$A$1:$I$89,5,0)</f>
        <v>331.29199999999975</v>
      </c>
      <c r="BF201" s="13">
        <f t="shared" si="167"/>
        <v>77.698110787752</v>
      </c>
      <c r="BG201" s="20">
        <f t="shared" si="168"/>
        <v>712.32444295533423</v>
      </c>
      <c r="BH201" s="59">
        <f t="shared" si="194"/>
        <v>1005.6577762886675</v>
      </c>
      <c r="BI201" s="59">
        <f ca="1">AVERAGE(OFFSET($BH$3,0,0,'Données projet'!$E$11+1,1))-AVERAGE(OFFSET($H$3,0,0,'Données projet'!$E$11+1,1))</f>
        <v>316.58509520829671</v>
      </c>
      <c r="BJ201" s="59">
        <f t="shared" si="206"/>
        <v>240.71332110643596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9.0982197827878378E-2</v>
      </c>
      <c r="BQ201" s="21">
        <f>EXP(-LN(2)/25)*BQ200+(1-EXP(-LN(2)/25))/(LN(2)/25)*Calculateur!BL201*Calculateur!BN201*VLOOKUP('Données projet'!$B$11,Paramètres!$A$1:$I$89,3,0)*0.475*44/12</f>
        <v>0.14482998843332465</v>
      </c>
      <c r="BR201" s="21">
        <f>EXP(-LN(2)/2)*BR200+(1-EXP(-LN(2)/2))/(LN(2)/2)*BL201*BO201*VLOOKUP('Données projet'!$B$11,Paramètres!$A$1:$I$89,3,0)*0.475*44/12</f>
        <v>1.1342374524856374E-24</v>
      </c>
      <c r="BS201" s="22">
        <f t="shared" si="169"/>
        <v>0.23581218626120304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-5.1159076974727213E-13</v>
      </c>
      <c r="BZ201" s="13">
        <f>BY201*VLOOKUP('Données projet'!$B$12,Paramètres!$A$1:$I$89,3,0)*VLOOKUP('Données projet'!$B$12,Paramètres!$A$1:$I$89,5,0)</f>
        <v>-4.0702161641092972E-13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260.20517190557814</v>
      </c>
      <c r="CE201" s="59">
        <f t="shared" si="207"/>
        <v>307.22009971147133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0.11713099034505588</v>
      </c>
      <c r="CL201" s="21">
        <f>EXP(-LN(2)/25)*CL200+(1-EXP(-LN(2)/25))/(LN(2)/25)*Calculateur!CG201*Calculateur!CI201*VLOOKUP('Données projet'!$B$12,Paramètres!$A$1:$I$89,3,0)*0.475*44/12</f>
        <v>0.19464684889271236</v>
      </c>
      <c r="CM201" s="21">
        <f>EXP(-LN(2)/2)*CM200+(1-EXP(-LN(2)/2))/(LN(2)/2)*CG201*CJ201*VLOOKUP('Données projet'!$B$12,Paramètres!$A$1:$I$89,3,0)*0.475*44/12</f>
        <v>1.2427889423986866E-24</v>
      </c>
      <c r="CN201" s="22">
        <f t="shared" si="172"/>
        <v>0.31177783923776825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378.0000000000004</v>
      </c>
      <c r="CU201" s="17">
        <f>CT201*VLOOKUP('Données projet'!$B$13,Paramètres!$A$1:$I$89,3,0)*VLOOKUP('Données projet'!$B$13,Paramètres!$A$1:$I$89,5,0)</f>
        <v>324.32400000000035</v>
      </c>
      <c r="CV201" s="13">
        <f t="shared" si="173"/>
        <v>76.252341944982831</v>
      </c>
      <c r="CW201" s="20">
        <f t="shared" si="174"/>
        <v>697.67046222084571</v>
      </c>
      <c r="CX201" s="59">
        <f t="shared" si="196"/>
        <v>991.00379555417908</v>
      </c>
      <c r="CY201" s="59">
        <f ca="1">AVERAGE(OFFSET($CX$3,0,0,'Données projet'!$E$13+1,1))-AVERAGE(OFFSET($H$3,0,0,'Données projet'!$E$13+1,1))</f>
        <v>310.4018929413723</v>
      </c>
      <c r="CZ201" s="59">
        <f t="shared" si="208"/>
        <v>127.5231137583819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5.5847477289792544E-2</v>
      </c>
      <c r="DH201" s="21">
        <f>EXP(-LN(2)/2)*DH200+(1-EXP(-LN(2)/2))/(LN(2)/2)*DB201*DE201*VLOOKUP('Données projet'!$B$13,Paramètres!$A$1:$I$89,3,0)*0.475*44/12</f>
        <v>4.6168596485360864E-25</v>
      </c>
      <c r="DI201" s="22">
        <f t="shared" si="175"/>
        <v>5.5847477289792544E-2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>
        <f>DO201*VLOOKUP('Données projet'!$B$14,Paramètres!$A$1:$I$89,3,0)*VLOOKUP('Données projet'!$B$14,Paramètres!$A$1:$I$89,5,0)</f>
        <v>-3.7509835237869992E-13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234.09142087023463</v>
      </c>
      <c r="DU201" s="59">
        <f t="shared" si="209"/>
        <v>278.990685815294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8.7577407135537591E-2</v>
      </c>
      <c r="EB201" s="21">
        <f>EXP(-LN(2)/25)*EB200+(1-EXP(-LN(2)/25))/(LN(2)/25)*Calculateur!DW201*Calculateur!DY201*VLOOKUP('Données projet'!$B$14,Paramètres!$A$1:$I$89,3,0)*0.475*44/12</f>
        <v>0.14553506533931654</v>
      </c>
      <c r="EC201" s="21">
        <f>EXP(-LN(2)/2)*EC200+(1-EXP(-LN(2)/2))/(LN(2)/2)*DW201*DZ201*VLOOKUP('Données projet'!$B$14,Paramètres!$A$1:$I$89,3,0)*0.475*44/12</f>
        <v>1.1453152998576285E-24</v>
      </c>
      <c r="ED201" s="22">
        <f t="shared" si="178"/>
        <v>0.23311247247485412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210.04871822652808</v>
      </c>
      <c r="AO202" s="59">
        <f t="shared" si="205"/>
        <v>250.17540614049324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0.25694294351115832</v>
      </c>
      <c r="AV202" s="21">
        <f>EXP(-LN(2)/25)*AV201+(1-EXP(-LN(2)/25))/(LN(2)/25)*Calculateur!AQ202*Calculateur!AS202*VLOOKUP('Données projet'!$B$10,Paramètres!$A$1:$I$89,3,0)*0.475*44/12</f>
        <v>0.2567802226971645</v>
      </c>
      <c r="AW202" s="21">
        <f>EXP(-LN(2)/2)*AW201+(1-EXP(-LN(2)/2))/(LN(2)/2)*AQ202*AT202*VLOOKUP('Données projet'!$B$10,Paramètres!$A$1:$I$89,3,0)*0.475*44/12</f>
        <v>7.8793610822933405E-25</v>
      </c>
      <c r="AX202" s="21">
        <f t="shared" si="166"/>
        <v>0.51372316620832281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553.99999999999955</v>
      </c>
      <c r="BE202" s="13">
        <f>BD202*VLOOKUP('Données projet'!$B$11,Paramètres!$A$1:$I$89,3,0)*VLOOKUP('Données projet'!$B$11,Paramètres!$A$1:$I$89,5,0)</f>
        <v>331.29199999999975</v>
      </c>
      <c r="BF202" s="13">
        <f t="shared" si="167"/>
        <v>77.698110787752</v>
      </c>
      <c r="BG202" s="20">
        <f t="shared" si="168"/>
        <v>712.32444295533423</v>
      </c>
      <c r="BH202" s="59">
        <f t="shared" si="194"/>
        <v>1005.6577762886675</v>
      </c>
      <c r="BI202" s="59">
        <f ca="1">AVERAGE(OFFSET($BH$3,0,0,'Données projet'!$E$11+1,1))-AVERAGE(OFFSET($H$3,0,0,'Données projet'!$E$11+1,1))</f>
        <v>316.58509520829671</v>
      </c>
      <c r="BJ202" s="59">
        <f t="shared" si="206"/>
        <v>240.71332110643596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8.919809242213482E-2</v>
      </c>
      <c r="BQ202" s="21">
        <f>EXP(-LN(2)/25)*BQ201+(1-EXP(-LN(2)/25))/(LN(2)/25)*Calculateur!BL202*Calculateur!BN202*VLOOKUP('Données projet'!$B$11,Paramètres!$A$1:$I$89,3,0)*0.475*44/12</f>
        <v>0.14086960478333729</v>
      </c>
      <c r="BR202" s="21">
        <f>EXP(-LN(2)/2)*BR201+(1-EXP(-LN(2)/2))/(LN(2)/2)*BL202*BO202*VLOOKUP('Données projet'!$B$11,Paramètres!$A$1:$I$89,3,0)*0.475*44/12</f>
        <v>8.0202699412834874E-25</v>
      </c>
      <c r="BS202" s="22">
        <f t="shared" si="169"/>
        <v>0.2300676972054721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-5.1159076974727213E-13</v>
      </c>
      <c r="BZ202" s="13">
        <f>BY202*VLOOKUP('Données projet'!$B$12,Paramètres!$A$1:$I$89,3,0)*VLOOKUP('Données projet'!$B$12,Paramètres!$A$1:$I$89,5,0)</f>
        <v>-4.0702161641092972E-13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260.20517190557814</v>
      </c>
      <c r="CE202" s="59">
        <f t="shared" si="207"/>
        <v>307.22009971147133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0.11483412306723904</v>
      </c>
      <c r="CL202" s="21">
        <f>EXP(-LN(2)/25)*CL201+(1-EXP(-LN(2)/25))/(LN(2)/25)*Calculateur!CG202*Calculateur!CI202*VLOOKUP('Données projet'!$B$12,Paramètres!$A$1:$I$89,3,0)*0.475*44/12</f>
        <v>0.18932422057370824</v>
      </c>
      <c r="CM202" s="21">
        <f>EXP(-LN(2)/2)*CM201+(1-EXP(-LN(2)/2))/(LN(2)/2)*CG202*CJ202*VLOOKUP('Données projet'!$B$12,Paramètres!$A$1:$I$89,3,0)*0.475*44/12</f>
        <v>8.7878448875376891E-25</v>
      </c>
      <c r="CN202" s="22">
        <f t="shared" si="172"/>
        <v>0.30415834364094729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378.0000000000004</v>
      </c>
      <c r="CU202" s="17">
        <f>CT202*VLOOKUP('Données projet'!$B$13,Paramètres!$A$1:$I$89,3,0)*VLOOKUP('Données projet'!$B$13,Paramètres!$A$1:$I$89,5,0)</f>
        <v>324.32400000000035</v>
      </c>
      <c r="CV202" s="13">
        <f t="shared" si="173"/>
        <v>76.252341944982831</v>
      </c>
      <c r="CW202" s="20">
        <f t="shared" si="174"/>
        <v>697.67046222084571</v>
      </c>
      <c r="CX202" s="59">
        <f t="shared" si="196"/>
        <v>991.00379555417908</v>
      </c>
      <c r="CY202" s="59">
        <f ca="1">AVERAGE(OFFSET($CX$3,0,0,'Données projet'!$E$13+1,1))-AVERAGE(OFFSET($H$3,0,0,'Données projet'!$E$13+1,1))</f>
        <v>310.4018929413723</v>
      </c>
      <c r="CZ202" s="59">
        <f t="shared" si="208"/>
        <v>127.5231137583819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5.4320325086411977E-2</v>
      </c>
      <c r="DH202" s="21">
        <f>EXP(-LN(2)/2)*DH201+(1-EXP(-LN(2)/2))/(LN(2)/2)*DB202*DE202*VLOOKUP('Données projet'!$B$13,Paramètres!$A$1:$I$89,3,0)*0.475*44/12</f>
        <v>3.2646127652664072E-25</v>
      </c>
      <c r="DI202" s="22">
        <f t="shared" si="175"/>
        <v>5.4320325086411977E-2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>
        <f>DO202*VLOOKUP('Données projet'!$B$14,Paramètres!$A$1:$I$89,3,0)*VLOOKUP('Données projet'!$B$14,Paramètres!$A$1:$I$89,5,0)</f>
        <v>-3.7509835237869992E-13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234.09142087023463</v>
      </c>
      <c r="DU202" s="59">
        <f t="shared" si="209"/>
        <v>278.990685815294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8.5860067598553566E-2</v>
      </c>
      <c r="EB202" s="21">
        <f>EXP(-LN(2)/25)*EB201+(1-EXP(-LN(2)/25))/(LN(2)/25)*Calculateur!DW202*Calculateur!DY202*VLOOKUP('Données projet'!$B$14,Paramètres!$A$1:$I$89,3,0)*0.475*44/12</f>
        <v>0.14155540132425648</v>
      </c>
      <c r="EC202" s="21">
        <f>EXP(-LN(2)/2)*EC201+(1-EXP(-LN(2)/2))/(LN(2)/2)*DW202*DZ202*VLOOKUP('Données projet'!$B$14,Paramètres!$A$1:$I$89,3,0)*0.475*44/12</f>
        <v>8.0986021512603324E-25</v>
      </c>
      <c r="ED202" s="22">
        <f t="shared" si="178"/>
        <v>0.22741546892281006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210.04871822652808</v>
      </c>
      <c r="AO203" s="59">
        <f t="shared" si="205"/>
        <v>250.17540614049324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0.25190444910862525</v>
      </c>
      <c r="AV203" s="21">
        <f>EXP(-LN(2)/25)*AV202+(1-EXP(-LN(2)/25))/(LN(2)/25)*Calculateur!AQ203*Calculateur!AS203*VLOOKUP('Données projet'!$B$10,Paramètres!$A$1:$I$89,3,0)*0.475*44/12</f>
        <v>0.2497585540040255</v>
      </c>
      <c r="AW203" s="21">
        <f>EXP(-LN(2)/2)*AW202+(1-EXP(-LN(2)/2))/(LN(2)/2)*AQ203*AT203*VLOOKUP('Données projet'!$B$10,Paramètres!$A$1:$I$89,3,0)*0.475*44/12</f>
        <v>5.5715496527069954E-25</v>
      </c>
      <c r="AX203" s="21">
        <f t="shared" si="166"/>
        <v>0.50166300311265077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553.99999999999955</v>
      </c>
      <c r="BE203" s="13">
        <f>BD203*VLOOKUP('Données projet'!$B$11,Paramètres!$A$1:$I$89,3,0)*VLOOKUP('Données projet'!$B$11,Paramètres!$A$1:$I$89,5,0)</f>
        <v>331.29199999999975</v>
      </c>
      <c r="BF203" s="13">
        <f t="shared" si="167"/>
        <v>77.698110787752</v>
      </c>
      <c r="BG203" s="20">
        <f t="shared" si="168"/>
        <v>712.32444295533423</v>
      </c>
      <c r="BH203" s="59">
        <f t="shared" si="194"/>
        <v>1005.6577762886675</v>
      </c>
      <c r="BI203" s="59">
        <f ca="1">AVERAGE(OFFSET($BH$3,0,0,'Données projet'!$E$11+1,1))-AVERAGE(OFFSET($H$3,0,0,'Données projet'!$E$11+1,1))</f>
        <v>316.58509520829671</v>
      </c>
      <c r="BJ203" s="59">
        <f t="shared" si="206"/>
        <v>240.71332110643596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8.7448972235201039E-2</v>
      </c>
      <c r="BQ203" s="21">
        <f>EXP(-LN(2)/25)*BQ202+(1-EXP(-LN(2)/25))/(LN(2)/25)*Calculateur!BL203*Calculateur!BN203*VLOOKUP('Données projet'!$B$11,Paramètres!$A$1:$I$89,3,0)*0.475*44/12</f>
        <v>0.13701751803252638</v>
      </c>
      <c r="BR203" s="21">
        <f>EXP(-LN(2)/2)*BR202+(1-EXP(-LN(2)/2))/(LN(2)/2)*BL203*BO203*VLOOKUP('Données projet'!$B$11,Paramètres!$A$1:$I$89,3,0)*0.475*44/12</f>
        <v>5.6711872624281872E-25</v>
      </c>
      <c r="BS203" s="22">
        <f t="shared" si="169"/>
        <v>0.22446649026772741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-5.1159076974727213E-13</v>
      </c>
      <c r="BZ203" s="13">
        <f>BY203*VLOOKUP('Données projet'!$B$12,Paramètres!$A$1:$I$89,3,0)*VLOOKUP('Données projet'!$B$12,Paramètres!$A$1:$I$89,5,0)</f>
        <v>-4.0702161641092972E-13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260.20517190557814</v>
      </c>
      <c r="CE203" s="59">
        <f t="shared" si="207"/>
        <v>307.22009971147133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0.11258229595578949</v>
      </c>
      <c r="CL203" s="21">
        <f>EXP(-LN(2)/25)*CL202+(1-EXP(-LN(2)/25))/(LN(2)/25)*Calculateur!CG203*Calculateur!CI203*VLOOKUP('Données projet'!$B$12,Paramètres!$A$1:$I$89,3,0)*0.475*44/12</f>
        <v>0.18414713980599212</v>
      </c>
      <c r="CM203" s="21">
        <f>EXP(-LN(2)/2)*CM202+(1-EXP(-LN(2)/2))/(LN(2)/2)*CG203*CJ203*VLOOKUP('Données projet'!$B$12,Paramètres!$A$1:$I$89,3,0)*0.475*44/12</f>
        <v>6.2139447119934331E-25</v>
      </c>
      <c r="CN203" s="22">
        <f t="shared" si="172"/>
        <v>0.29672943576178162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378.0000000000004</v>
      </c>
      <c r="CU203" s="17">
        <f>CT203*VLOOKUP('Données projet'!$B$13,Paramètres!$A$1:$I$89,3,0)*VLOOKUP('Données projet'!$B$13,Paramètres!$A$1:$I$89,5,0)</f>
        <v>324.32400000000035</v>
      </c>
      <c r="CV203" s="13">
        <f t="shared" si="173"/>
        <v>76.252341944982831</v>
      </c>
      <c r="CW203" s="20">
        <f t="shared" si="174"/>
        <v>697.67046222084571</v>
      </c>
      <c r="CX203" s="59">
        <f t="shared" si="196"/>
        <v>991.00379555417908</v>
      </c>
      <c r="CY203" s="59">
        <f ca="1">AVERAGE(OFFSET($CX$3,0,0,'Données projet'!$E$13+1,1))-AVERAGE(OFFSET($H$3,0,0,'Données projet'!$E$13+1,1))</f>
        <v>310.4018929413723</v>
      </c>
      <c r="CZ203" s="59">
        <f t="shared" si="208"/>
        <v>127.5231137583819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5.2834932940342298E-2</v>
      </c>
      <c r="DH203" s="21">
        <f>EXP(-LN(2)/2)*DH202+(1-EXP(-LN(2)/2))/(LN(2)/2)*DB203*DE203*VLOOKUP('Données projet'!$B$13,Paramètres!$A$1:$I$89,3,0)*0.475*44/12</f>
        <v>2.3084298242680432E-25</v>
      </c>
      <c r="DI203" s="22">
        <f t="shared" si="175"/>
        <v>5.2834932940342298E-2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>
        <f>DO203*VLOOKUP('Données projet'!$B$14,Paramètres!$A$1:$I$89,3,0)*VLOOKUP('Données projet'!$B$14,Paramètres!$A$1:$I$89,5,0)</f>
        <v>-3.7509835237869992E-13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234.09142087023463</v>
      </c>
      <c r="DU203" s="59">
        <f t="shared" si="209"/>
        <v>278.990685815294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8.4176404042416109E-2</v>
      </c>
      <c r="EB203" s="21">
        <f>EXP(-LN(2)/25)*EB202+(1-EXP(-LN(2)/25))/(LN(2)/25)*Calculateur!DW203*Calculateur!DY203*VLOOKUP('Données projet'!$B$14,Paramètres!$A$1:$I$89,3,0)*0.475*44/12</f>
        <v>0.13768456143096966</v>
      </c>
      <c r="EC203" s="21">
        <f>EXP(-LN(2)/2)*EC202+(1-EXP(-LN(2)/2))/(LN(2)/2)*DW203*DZ203*VLOOKUP('Données projet'!$B$14,Paramètres!$A$1:$I$89,3,0)*0.475*44/12</f>
        <v>5.7265764992881432E-25</v>
      </c>
      <c r="ED203" s="22">
        <f t="shared" si="178"/>
        <v>0.22186096547338577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1.4309690811052556</v>
      </c>
      <c r="BA205" s="82">
        <f>EXP(LN('Données projet'!B88)/'Données projet'!A88)</f>
        <v>1.2625985704272813</v>
      </c>
      <c r="BV205" s="82">
        <f>EXP(LN('Données projet'!B114)/'Données projet'!A114)</f>
        <v>1.2709816152101407</v>
      </c>
      <c r="CQ205" s="82">
        <f>EXP(LN('Données projet'!B140)/'Données projet'!A140)</f>
        <v>1.2025496037968351</v>
      </c>
      <c r="DL205" s="82">
        <f>EXP(LN('Données projet'!B166)/'Données projet'!A166)</f>
        <v>1.2709816152101407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6.3558000000000003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1624.1452292726658</v>
      </c>
      <c r="G6" s="147">
        <f ca="1">F6*(100%-'Données projet'!$C$24)*(100%-'Données projet'!$C$25)*(100%-'Données projet'!$C$26)*(100%-'Données projet'!$C$27)</f>
        <v>1461.7307063453993</v>
      </c>
      <c r="H6" s="148">
        <f>IF(OR('Données projet'!B9="",'Données projet'!C9="",'Données projet'!C9=0%),0,AVERAGE(Calculateur!$AC$3:$AC$33)*B6)</f>
        <v>67.882518574595991</v>
      </c>
      <c r="I6" s="149">
        <f>H6*(100%-'Données projet'!$C$24)*(100%-'Données projet'!$C$25)*(100%-'Données projet'!$C$26)*(100%-'Données projet'!$C$27)</f>
        <v>61.094266717136392</v>
      </c>
      <c r="J6" s="150">
        <f>IF(OR('Données projet'!B9="",'Données projet'!C9="",'Données projet'!C9=0%),0,SUM(Calculateur!$V$3:$V$33)*VLOOKUP('Données projet'!$B$9,Paramètres!$A$1:$I$89,9,0)*B6)</f>
        <v>485.42178046153839</v>
      </c>
      <c r="K6" s="151">
        <f>J6*(100%-'Données projet'!$C$24)*(100%-'Données projet'!$C$25)*(100%-'Données projet'!$C$26)*(100%-'Données projet'!$C$27)</f>
        <v>436.87960241538457</v>
      </c>
      <c r="L6" s="152">
        <f ca="1">G6+I6+K6</f>
        <v>1959.7045754779203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hybride</v>
      </c>
      <c r="B7" s="154">
        <f>'Données projet'!D10</f>
        <v>1.2947</v>
      </c>
      <c r="C7" s="147">
        <f ca="1">IF(OR('Données projet'!B10="",'Données projet'!C10="",'Données projet'!C10=0%),0,Calculateur!AN3)</f>
        <v>210.04871822652808</v>
      </c>
      <c r="D7" s="147">
        <f>IF(OR('Données projet'!B10="",'Données projet'!C10="",'Données projet'!C10=0%),0,Calculateur!AO3)</f>
        <v>250.17540614049324</v>
      </c>
      <c r="E7" s="147">
        <f t="shared" ref="E7:E15" ca="1" si="0">MIN(C7,D7)</f>
        <v>210.04871822652808</v>
      </c>
      <c r="F7" s="147">
        <f t="shared" ref="F7:F15" ca="1" si="1">E7*B7</f>
        <v>271.9500754878859</v>
      </c>
      <c r="G7" s="147">
        <f ca="1">F7*(100%-'Données projet'!$C$24)*(100%-'Données projet'!$C$25)*(100%-'Données projet'!$C$26)*(100%-'Données projet'!$C$27)</f>
        <v>244.7550679390973</v>
      </c>
      <c r="H7" s="155">
        <f>IF(OR('Données projet'!B10="",'Données projet'!C10="",'Données projet'!C10=0%),0,AVERAGE(Calculateur!$AX$3:$AX$33)*B7)</f>
        <v>12.309528634833477</v>
      </c>
      <c r="I7" s="149">
        <f>H7*(100%-'Données projet'!$C$24)*(100%-'Données projet'!$C$25)*(100%-'Données projet'!$C$26)*(100%-'Données projet'!$C$27)</f>
        <v>11.078575771350129</v>
      </c>
      <c r="J7" s="150">
        <f>IF(OR('Données projet'!B10="",'Données projet'!C10="",'Données projet'!C10=0%),0,SUM(Calculateur!$AQ$3:$AQ$33)*VLOOKUP('Données projet'!$B$10,Paramètres!$A$1:$I$89,9,0)*B7)</f>
        <v>91.858964999999998</v>
      </c>
      <c r="K7" s="151">
        <f>J7*(100%-'Données projet'!$C$24)*(100%-'Données projet'!$C$25)*(100%-'Données projet'!$C$26)*(100%-'Données projet'!$C$27)</f>
        <v>82.673068499999999</v>
      </c>
      <c r="L7" s="152">
        <f t="shared" ref="L7:L15" ca="1" si="2">G7+I7+K7</f>
        <v>338.5067122104474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1.8832</v>
      </c>
      <c r="C8" s="147">
        <f ca="1">IF(OR('Données projet'!B11="",'Données projet'!C11="",'Données projet'!C11=0%),0,Calculateur!BI3)</f>
        <v>316.58509520829671</v>
      </c>
      <c r="D8" s="147">
        <f>IF(OR('Données projet'!B11="",'Données projet'!C11="",'Données projet'!C11=0%),0,Calculateur!BJ3)</f>
        <v>240.71332110643596</v>
      </c>
      <c r="E8" s="147">
        <f t="shared" ca="1" si="0"/>
        <v>240.71332110643596</v>
      </c>
      <c r="F8" s="147">
        <f t="shared" ca="1" si="1"/>
        <v>453.31132630764017</v>
      </c>
      <c r="G8" s="147">
        <f ca="1">F8*(100%-'Données projet'!$C$24)*(100%-'Données projet'!$C$25)*(100%-'Données projet'!$C$26)*(100%-'Données projet'!$C$27)</f>
        <v>407.98019367687618</v>
      </c>
      <c r="H8" s="155">
        <f>IF(OR('Données projet'!B11="",'Données projet'!C11="",'Données projet'!C11=0%),0,AVERAGE(Calculateur!$BS$3:$BS$33)*B8)</f>
        <v>7.1603267593794753</v>
      </c>
      <c r="I8" s="149">
        <f>H8*(100%-'Données projet'!$C$24)*(100%-'Données projet'!$C$25)*(100%-'Données projet'!$C$26)*(100%-'Données projet'!$C$27)</f>
        <v>6.4442940834415277</v>
      </c>
      <c r="J8" s="150">
        <f>IF(OR('Données projet'!B11="",'Données projet'!C11="",'Données projet'!C11=0%),0,SUM(Calculateur!$BL$3:$BL$33)*VLOOKUP('Données projet'!$B$11,Paramètres!$A$1:$I$89,9,0)*B8)</f>
        <v>80.977599999999995</v>
      </c>
      <c r="K8" s="151">
        <f>J8*(100%-'Données projet'!$C$24)*(100%-'Données projet'!$C$25)*(100%-'Données projet'!$C$26)*(100%-'Données projet'!$C$27)</f>
        <v>72.879840000000002</v>
      </c>
      <c r="L8" s="152">
        <f t="shared" ca="1" si="2"/>
        <v>487.30432776031773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sycomore</v>
      </c>
      <c r="B9" s="154">
        <f>'Données projet'!D12</f>
        <v>0.58850000000000002</v>
      </c>
      <c r="C9" s="147">
        <f ca="1">IF(OR('Données projet'!B12="",'Données projet'!C12="",'Données projet'!C12=0%),0,Calculateur!CD3)</f>
        <v>260.20517190557814</v>
      </c>
      <c r="D9" s="147">
        <f>IF(OR('Données projet'!B12="",'Données projet'!C12="",'Données projet'!C12=0%),0,Calculateur!CE3)</f>
        <v>307.22009971147133</v>
      </c>
      <c r="E9" s="147">
        <f t="shared" ca="1" si="0"/>
        <v>260.20517190557814</v>
      </c>
      <c r="F9" s="147">
        <f t="shared" ca="1" si="1"/>
        <v>153.13074366643275</v>
      </c>
      <c r="G9" s="147">
        <f ca="1">F9*(100%-'Données projet'!$C$24)*(100%-'Données projet'!$C$25)*(100%-'Données projet'!$C$26)*(100%-'Données projet'!$C$27)</f>
        <v>137.81766929978949</v>
      </c>
      <c r="H9" s="155">
        <f>IF(OR('Données projet'!B12="",'Données projet'!C12="",'Données projet'!C12=0%),0,AVERAGE(Calculateur!$CN$3:$CN$33)*B9)</f>
        <v>3.0046965566560266</v>
      </c>
      <c r="I9" s="149">
        <f>H9*(100%-'Données projet'!$C$24)*(100%-'Données projet'!$C$25)*(100%-'Données projet'!$C$26)*(100%-'Données projet'!$C$27)</f>
        <v>2.7042269009904238</v>
      </c>
      <c r="J9" s="150">
        <f>IF(OR('Données projet'!B12="",'Données projet'!C12="",'Données projet'!C12=0%),0,SUM(Calculateur!$CG$3:$CG$33)*VLOOKUP('Données projet'!$B$12,Paramètres!$A$1:$I$89,9,0)*B9)</f>
        <v>20.156124999999999</v>
      </c>
      <c r="K9" s="151">
        <f>J9*(100%-'Données projet'!$C$24)*(100%-'Données projet'!$C$25)*(100%-'Données projet'!$C$26)*(100%-'Données projet'!$C$27)</f>
        <v>18.1405125</v>
      </c>
      <c r="L9" s="152">
        <f t="shared" ca="1" si="2"/>
        <v>158.66240870077991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Hêtre</v>
      </c>
      <c r="B10" s="154">
        <f>'Données projet'!D13</f>
        <v>0.58850000000000002</v>
      </c>
      <c r="C10" s="147">
        <f ca="1">IF(OR('Données projet'!B13="",'Données projet'!C13="",'Données projet'!C13=0%),0,Calculateur!CY3)</f>
        <v>310.4018929413723</v>
      </c>
      <c r="D10" s="147">
        <f>IF(OR('Données projet'!B13="",'Données projet'!C13="",'Données projet'!C13=0%),0,Calculateur!CZ3)</f>
        <v>127.5231137583819</v>
      </c>
      <c r="E10" s="147">
        <f t="shared" ca="1" si="0"/>
        <v>127.5231137583819</v>
      </c>
      <c r="F10" s="147">
        <f t="shared" ca="1" si="1"/>
        <v>75.04735244680775</v>
      </c>
      <c r="G10" s="147">
        <f ca="1">F10*(100%-'Données projet'!$C$24)*(100%-'Données projet'!$C$25)*(100%-'Données projet'!$C$26)*(100%-'Données projet'!$C$27)</f>
        <v>67.542617202126976</v>
      </c>
      <c r="H10" s="155">
        <f>IF(OR('Données projet'!B13="",'Données projet'!C13="",'Données projet'!C13=0%),0,AVERAGE(Calculateur!$DI$3:$DI$33)*B10)</f>
        <v>0.41630177421055437</v>
      </c>
      <c r="I10" s="149">
        <f>H10*(100%-'Données projet'!$C$24)*(100%-'Données projet'!$C$25)*(100%-'Données projet'!$C$26)*(100%-'Données projet'!$C$27)</f>
        <v>0.37467159678949896</v>
      </c>
      <c r="J10" s="150">
        <f>IF(OR('Données projet'!B13="",'Données projet'!C13="",'Données projet'!C13=0%),0,SUM(Calculateur!$DB$3:$DB$33)*VLOOKUP('Données projet'!$B$13,Paramètres!$A$1:$I$89,9,0)*B10)</f>
        <v>3.82525</v>
      </c>
      <c r="K10" s="151">
        <f>J10*(100%-'Données projet'!$C$24)*(100%-'Données projet'!$C$25)*(100%-'Données projet'!$C$26)*(100%-'Données projet'!$C$27)</f>
        <v>3.4427250000000003</v>
      </c>
      <c r="L10" s="152">
        <f t="shared" ca="1" si="2"/>
        <v>71.360013798916469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Châtaignier</v>
      </c>
      <c r="B11" s="154">
        <f>'Données projet'!D14</f>
        <v>1.0592999999999999</v>
      </c>
      <c r="C11" s="147">
        <f ca="1">IF(OR('Données projet'!B14="",'Données projet'!C14="",'Données projet'!C14=0%),0,Calculateur!DT3)</f>
        <v>234.09142087023463</v>
      </c>
      <c r="D11" s="147">
        <f>IF(OR('Données projet'!B14="",'Données projet'!C14="",'Données projet'!C14=0%),0,Calculateur!DU3)</f>
        <v>278.990685815294</v>
      </c>
      <c r="E11" s="147">
        <f t="shared" ca="1" si="0"/>
        <v>234.09142087023463</v>
      </c>
      <c r="F11" s="147">
        <f t="shared" ca="1" si="1"/>
        <v>247.97304212783953</v>
      </c>
      <c r="G11" s="147">
        <f ca="1">F11*(100%-'Données projet'!$C$24)*(100%-'Données projet'!$C$25)*(100%-'Données projet'!$C$26)*(100%-'Données projet'!$C$27)</f>
        <v>223.17573791505558</v>
      </c>
      <c r="H11" s="155">
        <f>IF(OR('Données projet'!B14="",'Données projet'!C14="",'Données projet'!C14=0%),0,AVERAGE(Calculateur!$ED$3:$ED$33)*B11)</f>
        <v>4.4337683639622751</v>
      </c>
      <c r="I11" s="149">
        <f>H11*(100%-'Données projet'!$C$24)*(100%-'Données projet'!$C$25)*(100%-'Données projet'!$C$26)*(100%-'Données projet'!$C$27)</f>
        <v>3.9903915275660475</v>
      </c>
      <c r="J11" s="150">
        <f>IF(OR('Données projet'!B14="",'Données projet'!C14="",'Données projet'!C14=0%),0,SUM(Calculateur!$DW$3:$DW$33)*VLOOKUP('Données projet'!$B$14,Paramètres!$A$1:$I$89,9,0)*B11)</f>
        <v>36.281025</v>
      </c>
      <c r="K11" s="151">
        <f>J11*(100%-'Données projet'!$C$24)*(100%-'Données projet'!$C$25)*(100%-'Données projet'!$C$26)*(100%-'Données projet'!$C$27)</f>
        <v>32.652922500000003</v>
      </c>
      <c r="L11" s="152">
        <f t="shared" ca="1" si="2"/>
        <v>259.81905194262163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2825.5577693092723</v>
      </c>
      <c r="G16" s="166">
        <f t="shared" ca="1" si="3"/>
        <v>2543.0019923783448</v>
      </c>
      <c r="H16" s="167">
        <f t="shared" si="3"/>
        <v>95.207140663637787</v>
      </c>
      <c r="I16" s="167">
        <f t="shared" si="3"/>
        <v>85.686426597274021</v>
      </c>
      <c r="J16" s="168">
        <f t="shared" si="3"/>
        <v>718.52074546153824</v>
      </c>
      <c r="K16" s="168">
        <f t="shared" si="3"/>
        <v>646.66867091538472</v>
      </c>
      <c r="L16" s="169">
        <f t="shared" ca="1" si="3"/>
        <v>3275.3570898910034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85" zoomScale="80" zoomScaleNormal="80" workbookViewId="0">
      <selection activeCell="C147" sqref="C147:C16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6195.153723513482</v>
      </c>
      <c r="U10" s="178">
        <f>'Données projet'!D9</f>
        <v>6.3558000000000003</v>
      </c>
      <c r="V10" s="177">
        <f>U10*T10</f>
        <v>39375.158035906992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174.25361263182197</v>
      </c>
      <c r="U11" s="178">
        <f>'Données projet'!D10</f>
        <v>1.2947</v>
      </c>
      <c r="V11" s="177">
        <f t="shared" ref="V11" si="0">U11*T11</f>
        <v>225.60615227441988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-455.79526096344273</v>
      </c>
      <c r="U12" s="178">
        <f>'Données projet'!D11</f>
        <v>1.8832</v>
      </c>
      <c r="V12" s="177">
        <f t="shared" ref="V12:V19" si="1">U12*T12</f>
        <v>-858.35363544635538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118.89254048293867</v>
      </c>
      <c r="U13" s="178">
        <f>'Données projet'!D12</f>
        <v>0.58850000000000002</v>
      </c>
      <c r="V13" s="177">
        <f t="shared" si="1"/>
        <v>69.968260074209411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Hêtre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-753.63050935942601</v>
      </c>
      <c r="U14" s="178">
        <f>'Données projet'!D13</f>
        <v>0.58850000000000002</v>
      </c>
      <c r="V14" s="177">
        <f t="shared" si="1"/>
        <v>-443.51155475802221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-223.10745951706133</v>
      </c>
      <c r="U15" s="178">
        <f>'Données projet'!D14</f>
        <v>1.0592999999999999</v>
      </c>
      <c r="V15" s="177">
        <f t="shared" si="1"/>
        <v>-236.33773186642304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1635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931.11+850</f>
        <v>1781.1100000000001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520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344.10339191073581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18</v>
      </c>
      <c r="B24" s="181">
        <f>'Données projet'!D37</f>
        <v>69.284615384615378</v>
      </c>
      <c r="C24" s="193">
        <v>12</v>
      </c>
      <c r="D24" s="182">
        <f t="shared" ref="D24:D42" si="2">B24*C24</f>
        <v>831.41538461538448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834.99614182079915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-490.89274991006334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65.669230769230765</v>
      </c>
      <c r="C26" s="193">
        <v>45</v>
      </c>
      <c r="D26" s="182">
        <f t="shared" si="2"/>
        <v>2955.1153846153843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36</v>
      </c>
      <c r="B27" s="181">
        <f>'Données projet'!D40</f>
        <v>69.3</v>
      </c>
      <c r="C27" s="193">
        <v>50</v>
      </c>
      <c r="D27" s="182">
        <f t="shared" si="2"/>
        <v>3465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42</v>
      </c>
      <c r="B28" s="181">
        <f>'Données projet'!D41</f>
        <v>73.392307692307682</v>
      </c>
      <c r="C28" s="193">
        <v>55</v>
      </c>
      <c r="D28" s="182">
        <f t="shared" si="2"/>
        <v>4036.5769230769224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2086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81</v>
      </c>
      <c r="C55" s="191">
        <v>10</v>
      </c>
      <c r="D55" s="179">
        <f t="shared" ref="D55:D73" si="4">B55*C55</f>
        <v>810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84</v>
      </c>
      <c r="C56" s="191">
        <v>25</v>
      </c>
      <c r="D56" s="179">
        <f t="shared" si="4"/>
        <v>2100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80</v>
      </c>
      <c r="C57" s="191">
        <v>30</v>
      </c>
      <c r="D57" s="179">
        <f t="shared" si="4"/>
        <v>2400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65</v>
      </c>
      <c r="C58" s="191">
        <v>35</v>
      </c>
      <c r="D58" s="179">
        <f t="shared" si="4"/>
        <v>2275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56</v>
      </c>
      <c r="C59" s="191">
        <v>40</v>
      </c>
      <c r="D59" s="179">
        <f t="shared" si="4"/>
        <v>2240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52</v>
      </c>
      <c r="C60" s="191">
        <v>45</v>
      </c>
      <c r="D60" s="179">
        <f t="shared" si="4"/>
        <v>2340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433</v>
      </c>
      <c r="C61" s="191">
        <v>60</v>
      </c>
      <c r="D61" s="179">
        <f t="shared" si="4"/>
        <v>25980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1427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29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71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95</v>
      </c>
      <c r="C87" s="191">
        <v>10</v>
      </c>
      <c r="D87" s="179">
        <f t="shared" si="6"/>
        <v>950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107</v>
      </c>
      <c r="C88" s="191">
        <v>15</v>
      </c>
      <c r="D88" s="179">
        <f t="shared" si="6"/>
        <v>1605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108</v>
      </c>
      <c r="C89" s="191">
        <v>30</v>
      </c>
      <c r="D89" s="179">
        <f t="shared" si="6"/>
        <v>3240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103</v>
      </c>
      <c r="C90" s="191">
        <v>35</v>
      </c>
      <c r="D90" s="179">
        <f t="shared" si="6"/>
        <v>3605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94</v>
      </c>
      <c r="C91" s="191">
        <v>50</v>
      </c>
      <c r="D91" s="179">
        <f t="shared" si="6"/>
        <v>4700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</v>
      </c>
      <c r="C92" s="191">
        <v>60</v>
      </c>
      <c r="D92" s="179">
        <f t="shared" si="6"/>
        <v>4980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1659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67</v>
      </c>
      <c r="C117" s="191">
        <v>10</v>
      </c>
      <c r="D117" s="179">
        <f t="shared" ref="D117:D135" si="8">B117*C117</f>
        <v>670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70</v>
      </c>
      <c r="C118" s="191">
        <v>15</v>
      </c>
      <c r="D118" s="179">
        <f t="shared" si="8"/>
        <v>1050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70</v>
      </c>
      <c r="C119" s="191">
        <v>20</v>
      </c>
      <c r="D119" s="179">
        <f t="shared" si="8"/>
        <v>1400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43</v>
      </c>
      <c r="C120" s="191">
        <v>30</v>
      </c>
      <c r="D120" s="179">
        <f t="shared" si="8"/>
        <v>1290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30</v>
      </c>
      <c r="C121" s="191">
        <v>35</v>
      </c>
      <c r="D121" s="179">
        <f t="shared" si="8"/>
        <v>1050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26</v>
      </c>
      <c r="C122" s="191">
        <v>45</v>
      </c>
      <c r="D122" s="179">
        <f t="shared" si="8"/>
        <v>1170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342</v>
      </c>
      <c r="C123" s="191">
        <v>70</v>
      </c>
      <c r="D123" s="179">
        <f t="shared" si="8"/>
        <v>23940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Hêtre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1708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4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22</v>
      </c>
      <c r="C148" s="191">
        <v>15</v>
      </c>
      <c r="D148" s="182">
        <f t="shared" ref="D148:D166" si="10">B148*C148</f>
        <v>330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51</v>
      </c>
      <c r="C149" s="191">
        <v>20</v>
      </c>
      <c r="D149" s="182">
        <f t="shared" si="10"/>
        <v>1020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64</v>
      </c>
      <c r="C150" s="191">
        <v>25</v>
      </c>
      <c r="D150" s="182">
        <f t="shared" si="10"/>
        <v>1600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69</v>
      </c>
      <c r="C151" s="191">
        <v>30</v>
      </c>
      <c r="D151" s="182">
        <f t="shared" si="10"/>
        <v>2070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72</v>
      </c>
      <c r="C152" s="191">
        <v>35</v>
      </c>
      <c r="D152" s="182">
        <f t="shared" si="10"/>
        <v>2520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69</v>
      </c>
      <c r="C153" s="191">
        <v>40</v>
      </c>
      <c r="D153" s="182">
        <f t="shared" si="10"/>
        <v>2760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67</v>
      </c>
      <c r="C154" s="191">
        <v>45</v>
      </c>
      <c r="D154" s="182">
        <f t="shared" si="10"/>
        <v>3015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63</v>
      </c>
      <c r="C155" s="191">
        <v>50</v>
      </c>
      <c r="D155" s="182">
        <f t="shared" si="10"/>
        <v>3150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58</v>
      </c>
      <c r="C156" s="191">
        <v>60</v>
      </c>
      <c r="D156" s="182">
        <f t="shared" si="10"/>
        <v>3480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53</v>
      </c>
      <c r="C157" s="191">
        <v>70</v>
      </c>
      <c r="D157" s="182">
        <f t="shared" si="10"/>
        <v>3710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130</v>
      </c>
      <c r="B158" s="175">
        <f>'Données projet'!D151</f>
        <v>47</v>
      </c>
      <c r="C158" s="191">
        <v>80</v>
      </c>
      <c r="D158" s="182">
        <f t="shared" si="10"/>
        <v>3760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140</v>
      </c>
      <c r="B159" s="175">
        <f>'Données projet'!D152</f>
        <v>41</v>
      </c>
      <c r="C159" s="191">
        <v>90</v>
      </c>
      <c r="D159" s="182">
        <f t="shared" si="10"/>
        <v>3690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150</v>
      </c>
      <c r="B160" s="175">
        <f>'Données projet'!D153</f>
        <v>37</v>
      </c>
      <c r="C160" s="191">
        <v>130</v>
      </c>
      <c r="D160" s="182">
        <f t="shared" si="10"/>
        <v>4810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2001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67</v>
      </c>
      <c r="C179" s="193">
        <v>10</v>
      </c>
      <c r="D179" s="179">
        <f t="shared" ref="D179:D197" si="11">B179*C179</f>
        <v>670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70</v>
      </c>
      <c r="C180" s="193">
        <v>15</v>
      </c>
      <c r="D180" s="179">
        <f t="shared" si="11"/>
        <v>1050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40</v>
      </c>
      <c r="B181" s="181">
        <f>'Données projet'!D169</f>
        <v>70</v>
      </c>
      <c r="C181" s="193">
        <v>20</v>
      </c>
      <c r="D181" s="179">
        <f t="shared" si="11"/>
        <v>1400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50</v>
      </c>
      <c r="B182" s="181">
        <f>'Données projet'!D170</f>
        <v>43</v>
      </c>
      <c r="C182" s="193">
        <v>30</v>
      </c>
      <c r="D182" s="179">
        <f t="shared" si="11"/>
        <v>1290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60</v>
      </c>
      <c r="B183" s="181">
        <f>'Données projet'!D171</f>
        <v>30</v>
      </c>
      <c r="C183" s="193">
        <v>35</v>
      </c>
      <c r="D183" s="179">
        <f t="shared" si="11"/>
        <v>1050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70</v>
      </c>
      <c r="B184" s="181">
        <f>'Données projet'!D172</f>
        <v>26</v>
      </c>
      <c r="C184" s="193">
        <v>45</v>
      </c>
      <c r="D184" s="179">
        <f t="shared" si="11"/>
        <v>1170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80</v>
      </c>
      <c r="B185" s="181">
        <f>'Données projet'!D173</f>
        <v>342</v>
      </c>
      <c r="C185" s="193">
        <v>70</v>
      </c>
      <c r="D185" s="179">
        <f t="shared" si="11"/>
        <v>23940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2025-11-18T14:36:05Z</dcterms:modified>
</cp:coreProperties>
</file>