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5\CHARLET R6\"/>
    </mc:Choice>
  </mc:AlternateContent>
  <xr:revisionPtr revIDLastSave="0" documentId="13_ncr:1_{F19FE329-D636-4C80-A566-A2B8C5E9C31F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2" i="1" l="1"/>
  <c r="D172" i="1" s="1"/>
  <c r="D171" i="1"/>
  <c r="D170" i="1"/>
  <c r="D169" i="1"/>
  <c r="D168" i="1"/>
  <c r="D167" i="1"/>
  <c r="D166" i="1"/>
  <c r="B147" i="1"/>
  <c r="D147" i="1" s="1"/>
  <c r="D146" i="1"/>
  <c r="D145" i="1"/>
  <c r="D144" i="1"/>
  <c r="D143" i="1"/>
  <c r="D142" i="1"/>
  <c r="D141" i="1"/>
  <c r="B95" i="1"/>
  <c r="B94" i="1"/>
  <c r="B93" i="1"/>
  <c r="B92" i="1"/>
  <c r="B91" i="1"/>
  <c r="B90" i="1"/>
  <c r="B89" i="1"/>
  <c r="B88" i="1"/>
  <c r="B121" i="1"/>
  <c r="B120" i="1"/>
  <c r="B119" i="1"/>
  <c r="B118" i="1"/>
  <c r="B117" i="1"/>
  <c r="B116" i="1"/>
  <c r="B115" i="1"/>
  <c r="B114" i="1"/>
  <c r="B69" i="1"/>
  <c r="D69" i="1" s="1"/>
  <c r="D68" i="1"/>
  <c r="D67" i="1"/>
  <c r="D66" i="1"/>
  <c r="D65" i="1"/>
  <c r="D64" i="1"/>
  <c r="D63" i="1"/>
  <c r="D50" i="1"/>
  <c r="B50" i="1"/>
  <c r="D49" i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I20" i="6"/>
  <c r="B232" i="1"/>
  <c r="D232" i="1" s="1"/>
  <c r="D231" i="1"/>
  <c r="B231" i="1"/>
  <c r="D230" i="1"/>
  <c r="B230" i="1"/>
  <c r="D229" i="1"/>
  <c r="B229" i="1"/>
  <c r="D228" i="1"/>
  <c r="B228" i="1"/>
  <c r="D227" i="1"/>
  <c r="B227" i="1"/>
  <c r="D226" i="1"/>
  <c r="B226" i="1"/>
  <c r="D225" i="1"/>
  <c r="B225" i="1"/>
  <c r="D224" i="1"/>
  <c r="B224" i="1"/>
  <c r="D223" i="1"/>
  <c r="B223" i="1"/>
  <c r="D222" i="1"/>
  <c r="B222" i="1"/>
  <c r="D221" i="1"/>
  <c r="B221" i="1"/>
  <c r="D220" i="1"/>
  <c r="B220" i="1"/>
  <c r="D219" i="1"/>
  <c r="B219" i="1"/>
  <c r="D218" i="1"/>
  <c r="B218" i="1"/>
  <c r="D205" i="1"/>
  <c r="B205" i="1"/>
  <c r="D204" i="1"/>
  <c r="B204" i="1"/>
  <c r="D203" i="1"/>
  <c r="B203" i="1"/>
  <c r="D202" i="1"/>
  <c r="B202" i="1"/>
  <c r="D201" i="1"/>
  <c r="B201" i="1"/>
  <c r="D200" i="1"/>
  <c r="B200" i="1"/>
  <c r="D199" i="1"/>
  <c r="B199" i="1"/>
  <c r="D198" i="1"/>
  <c r="B198" i="1"/>
  <c r="D197" i="1"/>
  <c r="B197" i="1"/>
  <c r="D196" i="1"/>
  <c r="B196" i="1"/>
  <c r="D195" i="1"/>
  <c r="B195" i="1"/>
  <c r="D194" i="1"/>
  <c r="B194" i="1"/>
  <c r="D193" i="1"/>
  <c r="B193" i="1"/>
  <c r="B192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A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J155" i="2" l="1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EO44" i="2" l="1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<sst xmlns="http://schemas.openxmlformats.org/spreadsheetml/2006/main" count="1180" uniqueCount="327">
  <si>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</si>
  <si>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</si>
  <si>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</si>
  <si>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</si>
  <si>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</si>
  <si>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</si>
  <si>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</si>
  <si>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</si>
  <si>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</si>
  <si>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</si>
  <si>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</si>
  <si>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</si>
  <si>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</si>
  <si>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</si>
  <si>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</si>
  <si>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</si>
  <si>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</si>
  <si>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</si>
  <si>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</si>
  <si>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</si>
  <si>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</si>
  <si>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</si>
  <si>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</si>
  <si>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</si>
  <si>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</si>
  <si>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</si>
  <si>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</si>
  <si>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</si>
  <si>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</si>
  <si>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</si>
  <si>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</si>
  <si>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</si>
  <si>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</si>
  <si>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</si>
  <si>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</si>
  <si>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</si>
  <si>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</si>
  <si>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</si>
  <si>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</si>
  <si>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</si>
  <si>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</si>
  <si>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</si>
  <si>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</si>
  <si>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</si>
  <si>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</si>
  <si>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</si>
  <si>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</si>
  <si>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</si>
  <si>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</si>
  <si>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</si>
  <si>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</si>
  <si>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</si>
  <si>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</si>
  <si>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</si>
  <si>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</si>
  <si>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</si>
  <si>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</si>
  <si>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</si>
  <si>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</si>
  <si>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</si>
  <si>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</si>
  <si>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</si>
  <si>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</si>
  <si>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</si>
  <si>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</si>
  <si>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</si>
  <si>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</si>
  <si>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</si>
  <si>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</si>
  <si>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</si>
  <si>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</si>
  <si>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</si>
  <si>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</si>
  <si>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</si>
  <si>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</si>
  <si>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</si>
  <si>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</si>
  <si>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</si>
  <si>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</si>
  <si>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</si>
  <si>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</si>
  <si>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</si>
  <si>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</si>
  <si>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</si>
  <si>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</si>
  <si>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</si>
  <si>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</si>
  <si>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</si>
  <si>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</si>
  <si>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</si>
  <si>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</si>
  <si>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</si>
  <si>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</si>
  <si>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</si>
  <si>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</si>
  <si>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</si>
  <si>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</si>
  <si>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</si>
  <si>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</si>
  <si>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</si>
  <si>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</si>
  <si>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</si>
  <si>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</si>
  <si>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</si>
  <si>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</si>
  <si>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</si>
  <si>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</si>
  <si>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</si>
  <si>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</si>
  <si>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</si>
  <si>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</si>
  <si>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</si>
  <si>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</si>
  <si>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</si>
  <si>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</si>
  <si>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</si>
  <si>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</si>
  <si>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</si>
  <si>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</si>
  <si>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</si>
  <si>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</si>
  <si>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</si>
  <si>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</si>
  <si>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</si>
  <si>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</si>
  <si>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</si>
  <si>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</si>
  <si>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</si>
  <si>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</si>
  <si>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</si>
  <si>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</si>
  <si>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</si>
  <si>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</si>
  <si>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</si>
  <si>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</si>
  <si>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</si>
  <si>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</si>
  <si>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</si>
  <si>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</si>
  <si>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</si>
  <si>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</si>
  <si>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</si>
  <si>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</si>
  <si>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</si>
  <si>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</si>
  <si>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</si>
  <si>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</si>
  <si>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</si>
  <si>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</si>
  <si>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</si>
  <si>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</si>
  <si>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</si>
  <si>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</si>
  <si>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</si>
  <si>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</si>
  <si>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</si>
  <si>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</si>
  <si>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</si>
  <si>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</si>
  <si>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</si>
  <si>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</si>
  <si>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</si>
  <si>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</si>
  <si>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</si>
  <si>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</si>
  <si>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</si>
  <si>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</si>
  <si>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</si>
  <si>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</si>
  <si>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</si>
  <si>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</si>
  <si>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</si>
  <si>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</si>
  <si>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</si>
  <si>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</si>
  <si>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</si>
  <si>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</si>
  <si>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</si>
  <si>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</si>
  <si>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</si>
  <si>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</si>
  <si>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</si>
  <si>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</si>
  <si>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</si>
  <si>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</si>
  <si>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</si>
  <si>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</si>
  <si>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</si>
  <si>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</si>
  <si>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</si>
  <si>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</si>
  <si>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</si>
  <si>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</si>
  <si>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</si>
  <si>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</si>
  <si>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</si>
  <si>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</si>
  <si>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</si>
  <si>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</si>
  <si>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</si>
  <si>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</si>
  <si>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</si>
  <si>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</si>
  <si>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</si>
  <si>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</si>
  <si>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</si>
  <si>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</si>
  <si>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</si>
  <si>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</si>
  <si>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</si>
  <si>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</si>
  <si>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</si>
  <si>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</si>
  <si>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</si>
  <si>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</si>
  <si>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</si>
  <si>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</si>
  <si>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</si>
  <si>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</si>
  <si>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</si>
  <si>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</si>
  <si>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</si>
  <si>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</si>
  <si>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</si>
  <si>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</si>
  <si>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</si>
  <si>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</si>
  <si>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</si>
  <si>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</si>
  <si>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</si>
  <si>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</si>
  <si>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</si>
  <si>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</si>
  <si>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</si>
  <si>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</si>
  <si>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</si>
  <si>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</si>
  <si>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</si>
  <si>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</si>
  <si>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</si>
  <si>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</si>
  <si>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</si>
  <si>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</si>
  <si>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</si>
  <si>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</si>
  <si>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</si>
  <si>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</si>
  <si>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</si>
  <si>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</si>
  <si>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</si>
  <si>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</si>
  <si>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</si>
  <si>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</si>
  <si>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</si>
  <si>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</si>
  <si>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</si>
  <si>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</si>
  <si>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</si>
  <si>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</si>
  <si>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</si>
  <si>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</si>
  <si>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</si>
  <si>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</si>
  <si>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</si>
  <si>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</si>
  <si>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</si>
  <si>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</si>
  <si>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</si>
  <si>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</si>
  <si>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</si>
  <si>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</si>
  <si>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</si>
  <si>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</si>
  <si>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</si>
  <si>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</si>
  <si>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</si>
  <si>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</si>
  <si>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</si>
  <si>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</si>
  <si>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</si>
  <si>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</si>
  <si>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</si>
  <si>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</si>
  <si>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</si>
  <si>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</si>
  <si>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</si>
  <si>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</si>
  <si>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</si>
  <si>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</si>
  <si>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</si>
  <si>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</si>
  <si>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</si>
  <si>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</si>
  <si>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</si>
  <si>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</si>
  <si>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</si>
  <si>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</si>
  <si>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</si>
  <si>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</si>
  <si>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</si>
  <si>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</si>
  <si>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</si>
  <si>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</si>
  <si>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</si>
  <si>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</si>
  <si>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</si>
  <si>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</si>
  <si>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</si>
  <si>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</si>
  <si>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</si>
  <si>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</si>
  <si>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</si>
  <si>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</si>
  <si>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</si>
  <si>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</si>
  <si>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</si>
  <si>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</si>
  <si>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</si>
  <si>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</si>
  <si>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</si>
  <si>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</si>
  <si>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</si>
  <si>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</si>
  <si>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</si>
  <si>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Tilleul grandes feuilles</t>
  </si>
  <si>
    <t>Tilleul petites feuilles</t>
  </si>
  <si>
    <t>Pin parasol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</si>
</sst>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258.94814067849393</c:v>
                </c:pt>
                <c:pt idx="32">
                  <c:v>274.60158300734776</c:v>
                </c:pt>
                <c:pt idx="33">
                  <c:v>290.23498252743809</c:v>
                </c:pt>
                <c:pt idx="34">
                  <c:v>305.84957082840884</c:v>
                </c:pt>
                <c:pt idx="35">
                  <c:v>321.44644345960904</c:v>
                </c:pt>
                <c:pt idx="36">
                  <c:v>221.82117142251073</c:v>
                </c:pt>
                <c:pt idx="37">
                  <c:v>239.97776963491199</c:v>
                </c:pt>
                <c:pt idx="38">
                  <c:v>258.10309568549462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312.31478349482393</c:v>
                </c:pt>
                <c:pt idx="42">
                  <c:v>255.72039353124964</c:v>
                </c:pt>
                <c:pt idx="43">
                  <c:v>273.88106684535086</c:v>
                </c:pt>
                <c:pt idx="44">
                  <c:v>292.01468408800241</c:v>
                </c:pt>
                <c:pt idx="45">
                  <c:v>310.12316145287963</c:v>
                </c:pt>
                <c:pt idx="46">
                  <c:v>328.20817307415138</c:v>
                </c:pt>
                <c:pt idx="47">
                  <c:v>346.27119353720633</c:v>
                </c:pt>
                <c:pt idx="48">
                  <c:v>364.31353104988244</c:v>
                </c:pt>
                <c:pt idx="49">
                  <c:v>288.58007809052577</c:v>
                </c:pt>
                <c:pt idx="50">
                  <c:v>305.77968125048278</c:v>
                </c:pt>
                <c:pt idx="51">
                  <c:v>322.95778432037196</c:v>
                </c:pt>
                <c:pt idx="52">
                  <c:v>340.11569160143591</c:v>
                </c:pt>
                <c:pt idx="53">
                  <c:v>357.25456506572556</c:v>
                </c:pt>
                <c:pt idx="54">
                  <c:v>374.37544611289837</c:v>
                </c:pt>
                <c:pt idx="55">
                  <c:v>391.47927313799431</c:v>
                </c:pt>
                <c:pt idx="56">
                  <c:v>320.48361258921801</c:v>
                </c:pt>
                <c:pt idx="57">
                  <c:v>336.67903038787364</c:v>
                </c:pt>
                <c:pt idx="58">
                  <c:v>352.85729940854344</c:v>
                </c:pt>
                <c:pt idx="59">
                  <c:v>369.01931645885975</c:v>
                </c:pt>
                <c:pt idx="60">
                  <c:v>385.16589338963871</c:v>
                </c:pt>
                <c:pt idx="61">
                  <c:v>401.29776844134739</c:v>
                </c:pt>
                <c:pt idx="62">
                  <c:v>417.41561567067311</c:v>
                </c:pt>
                <c:pt idx="63">
                  <c:v>433.52005284512489</c:v>
                </c:pt>
                <c:pt idx="64">
                  <c:v>368.77354749803999</c:v>
                </c:pt>
                <c:pt idx="65">
                  <c:v>384.39219996126917</c:v>
                </c:pt>
                <c:pt idx="66">
                  <c:v>399.99706566096523</c:v>
                </c:pt>
                <c:pt idx="67">
                  <c:v>415.58875807076885</c:v>
                </c:pt>
                <c:pt idx="68">
                  <c:v>431.16784088676042</c:v>
                </c:pt>
                <c:pt idx="69">
                  <c:v>446.73483375648271</c:v>
                </c:pt>
                <c:pt idx="70">
                  <c:v>462.29021716786838</c:v>
                </c:pt>
                <c:pt idx="71">
                  <c:v>477.83443664595023</c:v>
                </c:pt>
                <c:pt idx="72">
                  <c:v>416.18008617131954</c:v>
                </c:pt>
                <c:pt idx="73">
                  <c:v>431.26352307198675</c:v>
                </c:pt>
                <c:pt idx="74">
                  <c:v>446.33562973688754</c:v>
                </c:pt>
                <c:pt idx="75">
                  <c:v>461.3968425581499</c:v>
                </c:pt>
                <c:pt idx="76">
                  <c:v>476.44756712169919</c:v>
                </c:pt>
                <c:pt idx="77">
                  <c:v>491.48818130664989</c:v>
                </c:pt>
                <c:pt idx="78">
                  <c:v>506.51903798562699</c:v>
                </c:pt>
                <c:pt idx="79">
                  <c:v>521.54046738795955</c:v>
                </c:pt>
                <c:pt idx="80">
                  <c:v>536.55277917652279</c:v>
                </c:pt>
                <c:pt idx="81">
                  <c:v>463.50656260260411</c:v>
                </c:pt>
                <c:pt idx="82">
                  <c:v>477.88908984737236</c:v>
                </c:pt>
                <c:pt idx="83">
                  <c:v>492.26241502045281</c:v>
                </c:pt>
                <c:pt idx="84">
                  <c:v>506.62684458100836</c:v>
                </c:pt>
                <c:pt idx="85">
                  <c:v>520.98266619811454</c:v>
                </c:pt>
                <c:pt idx="86">
                  <c:v>535.33015039964948</c:v>
                </c:pt>
                <c:pt idx="87">
                  <c:v>549.66955203526913</c:v>
                </c:pt>
                <c:pt idx="88">
                  <c:v>564.00111157883271</c:v>
                </c:pt>
                <c:pt idx="89">
                  <c:v>578.32505629161221</c:v>
                </c:pt>
                <c:pt idx="90">
                  <c:v>497.54781834683246</c:v>
                </c:pt>
                <c:pt idx="91">
                  <c:v>511.3021834460132</c:v>
                </c:pt>
                <c:pt idx="92">
                  <c:v>525.0487354862172</c:v>
                </c:pt>
                <c:pt idx="93">
                  <c:v>538.78770778433466</c:v>
                </c:pt>
                <c:pt idx="94">
                  <c:v>552.51932079162111</c:v>
                </c:pt>
                <c:pt idx="95">
                  <c:v>566.2437831119247</c:v>
                </c:pt>
                <c:pt idx="96">
                  <c:v>579.96129241609663</c:v>
                </c:pt>
                <c:pt idx="97">
                  <c:v>593.67203626542425</c:v>
                </c:pt>
                <c:pt idx="98">
                  <c:v>607.37619285506821</c:v>
                </c:pt>
                <c:pt idx="99">
                  <c:v>621.07393168694807</c:v>
                </c:pt>
                <c:pt idx="100">
                  <c:v>542.69775145946699</c:v>
                </c:pt>
                <c:pt idx="101">
                  <c:v>556.07428889692221</c:v>
                </c:pt>
                <c:pt idx="102">
                  <c:v>569.44408833111663</c:v>
                </c:pt>
                <c:pt idx="103">
                  <c:v>582.80733019679406</c:v>
                </c:pt>
                <c:pt idx="104">
                  <c:v>596.16418598267194</c:v>
                </c:pt>
                <c:pt idx="105">
                  <c:v>609.51481886966769</c:v>
                </c:pt>
                <c:pt idx="106">
                  <c:v>622.85938431032332</c:v>
                </c:pt>
                <c:pt idx="107">
                  <c:v>636.19803055601562</c:v>
                </c:pt>
                <c:pt idx="108">
                  <c:v>649.53089913767428</c:v>
                </c:pt>
                <c:pt idx="109">
                  <c:v>662.85812530500016</c:v>
                </c:pt>
                <c:pt idx="110">
                  <c:v>578.06785471008243</c:v>
                </c:pt>
                <c:pt idx="111">
                  <c:v>591.14539111471265</c:v>
                </c:pt>
                <c:pt idx="112">
                  <c:v>604.21690639023745</c:v>
                </c:pt>
                <c:pt idx="113">
                  <c:v>617.28254910051817</c:v>
                </c:pt>
                <c:pt idx="114">
                  <c:v>630.34246101011342</c:v>
                </c:pt>
                <c:pt idx="115">
                  <c:v>643.39677753283024</c:v>
                </c:pt>
                <c:pt idx="116">
                  <c:v>656.44562814199264</c:v>
                </c:pt>
                <c:pt idx="117">
                  <c:v>669.48913674641392</c:v>
                </c:pt>
                <c:pt idx="118">
                  <c:v>682.5274220355592</c:v>
                </c:pt>
                <c:pt idx="119">
                  <c:v>695.56059779698035</c:v>
                </c:pt>
                <c:pt idx="120">
                  <c:v>415.93410136559504</c:v>
                </c:pt>
                <c:pt idx="121">
                  <c:v>423.30201611855676</c:v>
                </c:pt>
                <c:pt idx="122">
                  <c:v>430.66717084686138</c:v>
                </c:pt>
                <c:pt idx="123">
                  <c:v>438.02961943852762</c:v>
                </c:pt>
                <c:pt idx="124">
                  <c:v>293.61402449000741</c:v>
                </c:pt>
                <c:pt idx="125">
                  <c:v>298.14022151190977</c:v>
                </c:pt>
                <c:pt idx="126">
                  <c:v>302.66488711697389</c:v>
                </c:pt>
                <c:pt idx="127">
                  <c:v>307.18804746662357</c:v>
                </c:pt>
                <c:pt idx="128">
                  <c:v>213.06200089969022</c:v>
                </c:pt>
                <c:pt idx="129">
                  <c:v>216.00348689034254</c:v>
                </c:pt>
                <c:pt idx="130">
                  <c:v>218.94405119022016</c:v>
                </c:pt>
                <c:pt idx="131">
                  <c:v>221.88370795710989</c:v>
                </c:pt>
                <c:pt idx="132">
                  <c:v>9.8479201135599071E-12</c:v>
                </c:pt>
                <c:pt idx="133">
                  <c:v>9.8479201135599071E-12</c:v>
                </c:pt>
                <c:pt idx="134">
                  <c:v>9.8479201135599071E-12</c:v>
                </c:pt>
                <c:pt idx="135">
                  <c:v>9.8479201135599071E-12</c:v>
                </c:pt>
                <c:pt idx="136">
                  <c:v>9.8479201135599071E-12</c:v>
                </c:pt>
                <c:pt idx="137">
                  <c:v>9.8479201135599071E-12</c:v>
                </c:pt>
                <c:pt idx="138">
                  <c:v>9.8479201135599071E-12</c:v>
                </c:pt>
                <c:pt idx="139">
                  <c:v>9.8479201135599071E-12</c:v>
                </c:pt>
                <c:pt idx="140">
                  <c:v>9.8479201135599071E-12</c:v>
                </c:pt>
                <c:pt idx="141">
                  <c:v>9.8479201135599071E-12</c:v>
                </c:pt>
                <c:pt idx="142">
                  <c:v>9.8479201135599071E-12</c:v>
                </c:pt>
                <c:pt idx="143">
                  <c:v>9.8479201135599071E-12</c:v>
                </c:pt>
                <c:pt idx="144">
                  <c:v>9.8479201135599071E-12</c:v>
                </c:pt>
                <c:pt idx="145">
                  <c:v>9.8479201135599071E-12</c:v>
                </c:pt>
                <c:pt idx="146">
                  <c:v>9.8479201135599071E-12</c:v>
                </c:pt>
                <c:pt idx="147">
                  <c:v>9.8479201135599071E-12</c:v>
                </c:pt>
                <c:pt idx="148">
                  <c:v>9.8479201135599071E-12</c:v>
                </c:pt>
                <c:pt idx="149">
                  <c:v>9.8479201135599071E-12</c:v>
                </c:pt>
                <c:pt idx="150">
                  <c:v>9.8479201135599071E-12</c:v>
                </c:pt>
                <c:pt idx="151">
                  <c:v>9.8479201135599071E-12</c:v>
                </c:pt>
                <c:pt idx="152">
                  <c:v>9.8479201135599071E-12</c:v>
                </c:pt>
                <c:pt idx="153">
                  <c:v>9.8479201135599071E-12</c:v>
                </c:pt>
                <c:pt idx="154">
                  <c:v>9.8479201135599071E-12</c:v>
                </c:pt>
                <c:pt idx="155">
                  <c:v>9.8479201135599071E-12</c:v>
                </c:pt>
                <c:pt idx="156">
                  <c:v>9.8479201135599071E-12</c:v>
                </c:pt>
                <c:pt idx="157">
                  <c:v>9.8479201135599071E-12</c:v>
                </c:pt>
                <c:pt idx="158">
                  <c:v>9.8479201135599071E-12</c:v>
                </c:pt>
                <c:pt idx="159">
                  <c:v>9.8479201135599071E-12</c:v>
                </c:pt>
                <c:pt idx="160">
                  <c:v>9.8479201135599071E-12</c:v>
                </c:pt>
                <c:pt idx="161">
                  <c:v>9.8479201135599071E-12</c:v>
                </c:pt>
                <c:pt idx="162">
                  <c:v>9.8479201135599071E-12</c:v>
                </c:pt>
                <c:pt idx="163">
                  <c:v>9.8479201135599071E-12</c:v>
                </c:pt>
                <c:pt idx="164">
                  <c:v>9.8479201135599071E-12</c:v>
                </c:pt>
                <c:pt idx="165">
                  <c:v>9.8479201135599071E-12</c:v>
                </c:pt>
                <c:pt idx="166">
                  <c:v>9.8479201135599071E-12</c:v>
                </c:pt>
                <c:pt idx="167">
                  <c:v>9.8479201135599071E-12</c:v>
                </c:pt>
                <c:pt idx="168">
                  <c:v>9.8479201135599071E-12</c:v>
                </c:pt>
                <c:pt idx="169">
                  <c:v>9.8479201135599071E-12</c:v>
                </c:pt>
                <c:pt idx="170">
                  <c:v>9.8479201135599071E-12</c:v>
                </c:pt>
                <c:pt idx="171">
                  <c:v>9.8479201135599071E-12</c:v>
                </c:pt>
                <c:pt idx="172">
                  <c:v>9.8479201135599071E-12</c:v>
                </c:pt>
                <c:pt idx="173">
                  <c:v>9.8479201135599071E-12</c:v>
                </c:pt>
                <c:pt idx="174">
                  <c:v>9.8479201135599071E-12</c:v>
                </c:pt>
                <c:pt idx="175">
                  <c:v>9.8479201135599071E-12</c:v>
                </c:pt>
                <c:pt idx="176">
                  <c:v>9.8479201135599071E-12</c:v>
                </c:pt>
                <c:pt idx="177">
                  <c:v>9.8479201135599071E-12</c:v>
                </c:pt>
                <c:pt idx="178">
                  <c:v>9.8479201135599071E-12</c:v>
                </c:pt>
                <c:pt idx="179">
                  <c:v>9.8479201135599071E-12</c:v>
                </c:pt>
                <c:pt idx="180">
                  <c:v>9.8479201135599071E-12</c:v>
                </c:pt>
                <c:pt idx="181">
                  <c:v>9.8479201135599071E-12</c:v>
                </c:pt>
                <c:pt idx="182">
                  <c:v>9.8479201135599071E-12</c:v>
                </c:pt>
                <c:pt idx="183">
                  <c:v>9.8479201135599071E-12</c:v>
                </c:pt>
                <c:pt idx="184">
                  <c:v>9.8479201135599071E-12</c:v>
                </c:pt>
                <c:pt idx="185">
                  <c:v>9.8479201135599071E-12</c:v>
                </c:pt>
                <c:pt idx="186">
                  <c:v>9.8479201135599071E-12</c:v>
                </c:pt>
                <c:pt idx="187">
                  <c:v>9.8479201135599071E-12</c:v>
                </c:pt>
                <c:pt idx="188">
                  <c:v>9.8479201135599071E-12</c:v>
                </c:pt>
                <c:pt idx="189">
                  <c:v>9.8479201135599071E-12</c:v>
                </c:pt>
                <c:pt idx="190">
                  <c:v>9.8479201135599071E-12</c:v>
                </c:pt>
                <c:pt idx="191">
                  <c:v>9.8479201135599071E-12</c:v>
                </c:pt>
                <c:pt idx="192">
                  <c:v>9.8479201135599071E-12</c:v>
                </c:pt>
                <c:pt idx="193">
                  <c:v>9.8479201135599071E-12</c:v>
                </c:pt>
                <c:pt idx="194">
                  <c:v>9.8479201135599071E-12</c:v>
                </c:pt>
                <c:pt idx="195">
                  <c:v>9.8479201135599071E-12</c:v>
                </c:pt>
                <c:pt idx="196">
                  <c:v>9.8479201135599071E-12</c:v>
                </c:pt>
                <c:pt idx="197">
                  <c:v>9.8479201135599071E-12</c:v>
                </c:pt>
                <c:pt idx="198">
                  <c:v>9.8479201135599071E-12</c:v>
                </c:pt>
                <c:pt idx="199">
                  <c:v>9.8479201135599071E-12</c:v>
                </c:pt>
                <c:pt idx="200">
                  <c:v>9.8479201135599071E-12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1.9411817270446112</c:v>
                </c:pt>
                <c:pt idx="2">
                  <c:v>2.4297641653807944</c:v>
                </c:pt>
                <c:pt idx="3">
                  <c:v>3.0418043526627723</c:v>
                </c:pt>
                <c:pt idx="4">
                  <c:v>3.8086140137352733</c:v>
                </c:pt>
                <c:pt idx="5">
                  <c:v>4.7694737635358386</c:v>
                </c:pt>
                <c:pt idx="6">
                  <c:v>5.9736677222174537</c:v>
                </c:pt>
                <c:pt idx="7">
                  <c:v>7.4830391464966226</c:v>
                </c:pt>
                <c:pt idx="8">
                  <c:v>9.375200859104206</c:v>
                </c:pt>
                <c:pt idx="9">
                  <c:v>11.747568694482132</c:v>
                </c:pt>
                <c:pt idx="10">
                  <c:v>14.722429499116059</c:v>
                </c:pt>
                <c:pt idx="11">
                  <c:v>18.453309725680967</c:v>
                </c:pt>
                <c:pt idx="12">
                  <c:v>23.132979232814776</c:v>
                </c:pt>
                <c:pt idx="13">
                  <c:v>29.003511187168854</c:v>
                </c:pt>
                <c:pt idx="14">
                  <c:v>36.368927545143769</c:v>
                </c:pt>
                <c:pt idx="15">
                  <c:v>45.611096240380732</c:v>
                </c:pt>
                <c:pt idx="16">
                  <c:v>57.209718188365294</c:v>
                </c:pt>
                <c:pt idx="17">
                  <c:v>71.76745869558242</c:v>
                </c:pt>
                <c:pt idx="18">
                  <c:v>90.041550356942707</c:v>
                </c:pt>
                <c:pt idx="19">
                  <c:v>112.98353756349984</c:v>
                </c:pt>
                <c:pt idx="20">
                  <c:v>141.78926461478019</c:v>
                </c:pt>
                <c:pt idx="21">
                  <c:v>123.90752725067647</c:v>
                </c:pt>
                <c:pt idx="22">
                  <c:v>143.87396520954266</c:v>
                </c:pt>
                <c:pt idx="23">
                  <c:v>163.77399413433875</c:v>
                </c:pt>
                <c:pt idx="24">
                  <c:v>183.61682804539444</c:v>
                </c:pt>
                <c:pt idx="25">
                  <c:v>203.40952119107328</c:v>
                </c:pt>
                <c:pt idx="26">
                  <c:v>223.15764021827397</c:v>
                </c:pt>
                <c:pt idx="27">
                  <c:v>242.86568478783872</c:v>
                </c:pt>
                <c:pt idx="28">
                  <c:v>262.53736401160751</c:v>
                </c:pt>
                <c:pt idx="29">
                  <c:v>282.17578546861114</c:v>
                </c:pt>
                <c:pt idx="30">
                  <c:v>301.78358873635585</c:v>
                </c:pt>
                <c:pt idx="31">
                  <c:v>233.98245141380619</c:v>
                </c:pt>
                <c:pt idx="32">
                  <c:v>257.39776916516081</c:v>
                </c:pt>
                <c:pt idx="33">
                  <c:v>280.76492347284267</c:v>
                </c:pt>
                <c:pt idx="34">
                  <c:v>304.08848473578604</c:v>
                </c:pt>
                <c:pt idx="35">
                  <c:v>327.3722648494786</c:v>
                </c:pt>
                <c:pt idx="36">
                  <c:v>350.61948923031804</c:v>
                </c:pt>
                <c:pt idx="37">
                  <c:v>373.83292076812228</c:v>
                </c:pt>
                <c:pt idx="38">
                  <c:v>397.01495135221603</c:v>
                </c:pt>
                <c:pt idx="39">
                  <c:v>420.16767089021386</c:v>
                </c:pt>
                <c:pt idx="40">
                  <c:v>443.29292031429776</c:v>
                </c:pt>
                <c:pt idx="41">
                  <c:v>346.40691666299762</c:v>
                </c:pt>
                <c:pt idx="42">
                  <c:v>370.51869100778345</c:v>
                </c:pt>
                <c:pt idx="43">
                  <c:v>394.59625328405656</c:v>
                </c:pt>
                <c:pt idx="44">
                  <c:v>418.64198281510261</c:v>
                </c:pt>
                <c:pt idx="45">
                  <c:v>442.65796346687102</c:v>
                </c:pt>
                <c:pt idx="46">
                  <c:v>466.64603470301768</c:v>
                </c:pt>
                <c:pt idx="47">
                  <c:v>490.60783159413654</c:v>
                </c:pt>
                <c:pt idx="48">
                  <c:v>514.54481660428598</c:v>
                </c:pt>
                <c:pt idx="49">
                  <c:v>538.45830515610044</c:v>
                </c:pt>
                <c:pt idx="50">
                  <c:v>562.34948641975632</c:v>
                </c:pt>
                <c:pt idx="51">
                  <c:v>449.6414221106092</c:v>
                </c:pt>
                <c:pt idx="52">
                  <c:v>472.48036714392589</c:v>
                </c:pt>
                <c:pt idx="53">
                  <c:v>495.29581803158686</c:v>
                </c:pt>
                <c:pt idx="54">
                  <c:v>518.08900823898523</c:v>
                </c:pt>
                <c:pt idx="55">
                  <c:v>540.86105394398044</c:v>
                </c:pt>
                <c:pt idx="56">
                  <c:v>563.61296975757841</c:v>
                </c:pt>
                <c:pt idx="57">
                  <c:v>586.3456817754037</c:v>
                </c:pt>
                <c:pt idx="58">
                  <c:v>609.06003850108198</c:v>
                </c:pt>
                <c:pt idx="59">
                  <c:v>631.75682005648241</c:v>
                </c:pt>
                <c:pt idx="60">
                  <c:v>654.43674600057705</c:v>
                </c:pt>
                <c:pt idx="61">
                  <c:v>538.83770149584484</c:v>
                </c:pt>
                <c:pt idx="62">
                  <c:v>559.56961376197262</c:v>
                </c:pt>
                <c:pt idx="63">
                  <c:v>580.28545371418193</c:v>
                </c:pt>
                <c:pt idx="64">
                  <c:v>600.9858753500979</c:v>
                </c:pt>
                <c:pt idx="65">
                  <c:v>621.67148398309314</c:v>
                </c:pt>
                <c:pt idx="66">
                  <c:v>642.3428413983936</c:v>
                </c:pt>
                <c:pt idx="67">
                  <c:v>663.00047031146926</c:v>
                </c:pt>
                <c:pt idx="68">
                  <c:v>683.64485824233805</c:v>
                </c:pt>
                <c:pt idx="69">
                  <c:v>704.27646089797838</c:v>
                </c:pt>
                <c:pt idx="70">
                  <c:v>724.8957051381575</c:v>
                </c:pt>
                <c:pt idx="71">
                  <c:v>613.47465478619222</c:v>
                </c:pt>
                <c:pt idx="72">
                  <c:v>631.75682005648218</c:v>
                </c:pt>
                <c:pt idx="73">
                  <c:v>650.02804840865338</c:v>
                </c:pt>
                <c:pt idx="74">
                  <c:v>668.28869028503095</c:v>
                </c:pt>
                <c:pt idx="75">
                  <c:v>686.53907543225387</c:v>
                </c:pt>
                <c:pt idx="76">
                  <c:v>704.77951465231456</c:v>
                </c:pt>
                <c:pt idx="77">
                  <c:v>723.01030136305792</c:v>
                </c:pt>
                <c:pt idx="78">
                  <c:v>741.23171299324815</c:v>
                </c:pt>
                <c:pt idx="79">
                  <c:v>759.4440122334571</c:v>
                </c:pt>
                <c:pt idx="80">
                  <c:v>777.64744816083942</c:v>
                </c:pt>
                <c:pt idx="81">
                  <c:v>675.21244034007634</c:v>
                </c:pt>
                <c:pt idx="82">
                  <c:v>690.94283930246672</c:v>
                </c:pt>
                <c:pt idx="83">
                  <c:v>706.66590086759163</c:v>
                </c:pt>
                <c:pt idx="84">
                  <c:v>722.38181116058729</c:v>
                </c:pt>
                <c:pt idx="85">
                  <c:v>738.09074755429128</c:v>
                </c:pt>
                <c:pt idx="86">
                  <c:v>753.79287926214727</c:v>
                </c:pt>
                <c:pt idx="87">
                  <c:v>769.48836787917628</c:v>
                </c:pt>
                <c:pt idx="88">
                  <c:v>785.17736787656031</c:v>
                </c:pt>
                <c:pt idx="89">
                  <c:v>800.86002705467661</c:v>
                </c:pt>
                <c:pt idx="90">
                  <c:v>816.53648695883328</c:v>
                </c:pt>
                <c:pt idx="91">
                  <c:v>712.32444295533423</c:v>
                </c:pt>
                <c:pt idx="92">
                  <c:v>712.32444295533423</c:v>
                </c:pt>
                <c:pt idx="93">
                  <c:v>712.32444295533423</c:v>
                </c:pt>
                <c:pt idx="94">
                  <c:v>712.32444295533423</c:v>
                </c:pt>
                <c:pt idx="95">
                  <c:v>712.32444295533423</c:v>
                </c:pt>
                <c:pt idx="96">
                  <c:v>712.32444295533423</c:v>
                </c:pt>
                <c:pt idx="97">
                  <c:v>712.32444295533423</c:v>
                </c:pt>
                <c:pt idx="98">
                  <c:v>712.32444295533423</c:v>
                </c:pt>
                <c:pt idx="99">
                  <c:v>712.32444295533423</c:v>
                </c:pt>
                <c:pt idx="100">
                  <c:v>712.32444295533423</c:v>
                </c:pt>
                <c:pt idx="101">
                  <c:v>712.32444295533423</c:v>
                </c:pt>
                <c:pt idx="102">
                  <c:v>712.32444295533423</c:v>
                </c:pt>
                <c:pt idx="103">
                  <c:v>712.32444295533423</c:v>
                </c:pt>
                <c:pt idx="104">
                  <c:v>712.32444295533423</c:v>
                </c:pt>
                <c:pt idx="105">
                  <c:v>712.32444295533423</c:v>
                </c:pt>
                <c:pt idx="106">
                  <c:v>712.32444295533423</c:v>
                </c:pt>
                <c:pt idx="107">
                  <c:v>712.32444295533423</c:v>
                </c:pt>
                <c:pt idx="108">
                  <c:v>712.32444295533423</c:v>
                </c:pt>
                <c:pt idx="109">
                  <c:v>712.32444295533423</c:v>
                </c:pt>
                <c:pt idx="110">
                  <c:v>712.32444295533423</c:v>
                </c:pt>
                <c:pt idx="111">
                  <c:v>712.32444295533423</c:v>
                </c:pt>
                <c:pt idx="112">
                  <c:v>712.32444295533423</c:v>
                </c:pt>
                <c:pt idx="113">
                  <c:v>712.32444295533423</c:v>
                </c:pt>
                <c:pt idx="114">
                  <c:v>712.32444295533423</c:v>
                </c:pt>
                <c:pt idx="115">
                  <c:v>712.32444295533423</c:v>
                </c:pt>
                <c:pt idx="116">
                  <c:v>712.32444295533423</c:v>
                </c:pt>
                <c:pt idx="117">
                  <c:v>712.32444295533423</c:v>
                </c:pt>
                <c:pt idx="118">
                  <c:v>712.32444295533423</c:v>
                </c:pt>
                <c:pt idx="119">
                  <c:v>712.32444295533423</c:v>
                </c:pt>
                <c:pt idx="120">
                  <c:v>712.32444295533423</c:v>
                </c:pt>
                <c:pt idx="121">
                  <c:v>712.32444295533423</c:v>
                </c:pt>
                <c:pt idx="122">
                  <c:v>712.32444295533423</c:v>
                </c:pt>
                <c:pt idx="123">
                  <c:v>712.32444295533423</c:v>
                </c:pt>
                <c:pt idx="124">
                  <c:v>712.32444295533423</c:v>
                </c:pt>
                <c:pt idx="125">
                  <c:v>712.32444295533423</c:v>
                </c:pt>
                <c:pt idx="126">
                  <c:v>712.32444295533423</c:v>
                </c:pt>
                <c:pt idx="127">
                  <c:v>712.32444295533423</c:v>
                </c:pt>
                <c:pt idx="128">
                  <c:v>712.32444295533423</c:v>
                </c:pt>
                <c:pt idx="129">
                  <c:v>712.32444295533423</c:v>
                </c:pt>
                <c:pt idx="130">
                  <c:v>712.32444295533423</c:v>
                </c:pt>
                <c:pt idx="131">
                  <c:v>712.32444295533423</c:v>
                </c:pt>
                <c:pt idx="132">
                  <c:v>712.32444295533423</c:v>
                </c:pt>
                <c:pt idx="133">
                  <c:v>712.32444295533423</c:v>
                </c:pt>
                <c:pt idx="134">
                  <c:v>712.32444295533423</c:v>
                </c:pt>
                <c:pt idx="135">
                  <c:v>712.32444295533423</c:v>
                </c:pt>
                <c:pt idx="136">
                  <c:v>712.32444295533423</c:v>
                </c:pt>
                <c:pt idx="137">
                  <c:v>712.32444295533423</c:v>
                </c:pt>
                <c:pt idx="138">
                  <c:v>712.32444295533423</c:v>
                </c:pt>
                <c:pt idx="139">
                  <c:v>712.32444295533423</c:v>
                </c:pt>
                <c:pt idx="140">
                  <c:v>712.32444295533423</c:v>
                </c:pt>
                <c:pt idx="141">
                  <c:v>712.32444295533423</c:v>
                </c:pt>
                <c:pt idx="142">
                  <c:v>712.32444295533423</c:v>
                </c:pt>
                <c:pt idx="143">
                  <c:v>712.32444295533423</c:v>
                </c:pt>
                <c:pt idx="144">
                  <c:v>712.32444295533423</c:v>
                </c:pt>
                <c:pt idx="145">
                  <c:v>712.32444295533423</c:v>
                </c:pt>
                <c:pt idx="146">
                  <c:v>712.32444295533423</c:v>
                </c:pt>
                <c:pt idx="147">
                  <c:v>712.32444295533423</c:v>
                </c:pt>
                <c:pt idx="148">
                  <c:v>712.32444295533423</c:v>
                </c:pt>
                <c:pt idx="149">
                  <c:v>712.32444295533423</c:v>
                </c:pt>
                <c:pt idx="150">
                  <c:v>712.32444295533423</c:v>
                </c:pt>
                <c:pt idx="151">
                  <c:v>712.32444295533423</c:v>
                </c:pt>
                <c:pt idx="152">
                  <c:v>712.32444295533423</c:v>
                </c:pt>
                <c:pt idx="153">
                  <c:v>712.32444295533423</c:v>
                </c:pt>
                <c:pt idx="154">
                  <c:v>712.32444295533423</c:v>
                </c:pt>
                <c:pt idx="155">
                  <c:v>712.32444295533423</c:v>
                </c:pt>
                <c:pt idx="156">
                  <c:v>712.32444295533423</c:v>
                </c:pt>
                <c:pt idx="157">
                  <c:v>712.32444295533423</c:v>
                </c:pt>
                <c:pt idx="158">
                  <c:v>712.32444295533423</c:v>
                </c:pt>
                <c:pt idx="159">
                  <c:v>712.32444295533423</c:v>
                </c:pt>
                <c:pt idx="160">
                  <c:v>712.32444295533423</c:v>
                </c:pt>
                <c:pt idx="161">
                  <c:v>712.32444295533423</c:v>
                </c:pt>
                <c:pt idx="162">
                  <c:v>712.32444295533423</c:v>
                </c:pt>
                <c:pt idx="163">
                  <c:v>712.32444295533423</c:v>
                </c:pt>
                <c:pt idx="164">
                  <c:v>712.32444295533423</c:v>
                </c:pt>
                <c:pt idx="165">
                  <c:v>712.32444295533423</c:v>
                </c:pt>
                <c:pt idx="166">
                  <c:v>712.32444295533423</c:v>
                </c:pt>
                <c:pt idx="167">
                  <c:v>712.32444295533423</c:v>
                </c:pt>
                <c:pt idx="168">
                  <c:v>712.32444295533423</c:v>
                </c:pt>
                <c:pt idx="169">
                  <c:v>712.32444295533423</c:v>
                </c:pt>
                <c:pt idx="170">
                  <c:v>712.32444295533423</c:v>
                </c:pt>
                <c:pt idx="171">
                  <c:v>712.32444295533423</c:v>
                </c:pt>
                <c:pt idx="172">
                  <c:v>712.32444295533423</c:v>
                </c:pt>
                <c:pt idx="173">
                  <c:v>712.32444295533423</c:v>
                </c:pt>
                <c:pt idx="174">
                  <c:v>712.32444295533423</c:v>
                </c:pt>
                <c:pt idx="175">
                  <c:v>712.32444295533423</c:v>
                </c:pt>
                <c:pt idx="176">
                  <c:v>712.32444295533423</c:v>
                </c:pt>
                <c:pt idx="177">
                  <c:v>712.32444295533423</c:v>
                </c:pt>
                <c:pt idx="178">
                  <c:v>712.32444295533423</c:v>
                </c:pt>
                <c:pt idx="179">
                  <c:v>712.32444295533423</c:v>
                </c:pt>
                <c:pt idx="180">
                  <c:v>712.32444295533423</c:v>
                </c:pt>
                <c:pt idx="181">
                  <c:v>712.32444295533423</c:v>
                </c:pt>
                <c:pt idx="182">
                  <c:v>712.32444295533423</c:v>
                </c:pt>
                <c:pt idx="183">
                  <c:v>712.32444295533423</c:v>
                </c:pt>
                <c:pt idx="184">
                  <c:v>712.32444295533423</c:v>
                </c:pt>
                <c:pt idx="185">
                  <c:v>712.32444295533423</c:v>
                </c:pt>
                <c:pt idx="186">
                  <c:v>712.32444295533423</c:v>
                </c:pt>
                <c:pt idx="187">
                  <c:v>712.32444295533423</c:v>
                </c:pt>
                <c:pt idx="188">
                  <c:v>712.32444295533423</c:v>
                </c:pt>
                <c:pt idx="189">
                  <c:v>712.32444295533423</c:v>
                </c:pt>
                <c:pt idx="190">
                  <c:v>712.32444295533423</c:v>
                </c:pt>
                <c:pt idx="191">
                  <c:v>712.32444295533423</c:v>
                </c:pt>
                <c:pt idx="192">
                  <c:v>712.32444295533423</c:v>
                </c:pt>
                <c:pt idx="193">
                  <c:v>712.32444295533423</c:v>
                </c:pt>
                <c:pt idx="194">
                  <c:v>712.32444295533423</c:v>
                </c:pt>
                <c:pt idx="195">
                  <c:v>712.32444295533423</c:v>
                </c:pt>
                <c:pt idx="196">
                  <c:v>712.32444295533423</c:v>
                </c:pt>
                <c:pt idx="197">
                  <c:v>712.32444295533423</c:v>
                </c:pt>
                <c:pt idx="198">
                  <c:v>712.32444295533423</c:v>
                </c:pt>
                <c:pt idx="199">
                  <c:v>712.32444295533423</c:v>
                </c:pt>
                <c:pt idx="200">
                  <c:v>712.32444295533423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1.9228171101479343</c:v>
                </c:pt>
                <c:pt idx="2">
                  <c:v>2.3839762212252493</c:v>
                </c:pt>
                <c:pt idx="3">
                  <c:v>2.9561699626966398</c:v>
                </c:pt>
                <c:pt idx="4">
                  <c:v>3.6662308682624953</c:v>
                </c:pt>
                <c:pt idx="5">
                  <c:v>4.5474981006760791</c:v>
                </c:pt>
                <c:pt idx="6">
                  <c:v>5.6414002822324134</c:v>
                </c:pt>
                <c:pt idx="7">
                  <c:v>6.9994245047079717</c:v>
                </c:pt>
                <c:pt idx="8">
                  <c:v>8.6855659931576685</c:v>
                </c:pt>
                <c:pt idx="9">
                  <c:v>10.779376066926231</c:v>
                </c:pt>
                <c:pt idx="10">
                  <c:v>13.379754904830248</c:v>
                </c:pt>
                <c:pt idx="11">
                  <c:v>16.609671582214194</c:v>
                </c:pt>
                <c:pt idx="12">
                  <c:v>20.622038654014851</c:v>
                </c:pt>
                <c:pt idx="13">
                  <c:v>25.607024390178637</c:v>
                </c:pt>
                <c:pt idx="14">
                  <c:v>31.801155346095459</c:v>
                </c:pt>
                <c:pt idx="15">
                  <c:v>39.498648660803447</c:v>
                </c:pt>
                <c:pt idx="16">
                  <c:v>49.065521546616061</c:v>
                </c:pt>
                <c:pt idx="17">
                  <c:v>60.957160137116858</c:v>
                </c:pt>
                <c:pt idx="18">
                  <c:v>75.740197770787589</c:v>
                </c:pt>
                <c:pt idx="19">
                  <c:v>94.119762105118596</c:v>
                </c:pt>
                <c:pt idx="20">
                  <c:v>116.97341140922269</c:v>
                </c:pt>
                <c:pt idx="21">
                  <c:v>108.1931416441323</c:v>
                </c:pt>
                <c:pt idx="22">
                  <c:v>125.6068855785234</c:v>
                </c:pt>
                <c:pt idx="23">
                  <c:v>142.96199841867738</c:v>
                </c:pt>
                <c:pt idx="24">
                  <c:v>160.26661002786599</c:v>
                </c:pt>
                <c:pt idx="25">
                  <c:v>177.52694566934088</c:v>
                </c:pt>
                <c:pt idx="26">
                  <c:v>194.74791846795674</c:v>
                </c:pt>
                <c:pt idx="27">
                  <c:v>211.93350024727374</c:v>
                </c:pt>
                <c:pt idx="28">
                  <c:v>229.08696530373251</c:v>
                </c:pt>
                <c:pt idx="29">
                  <c:v>246.21105711862251</c:v>
                </c:pt>
                <c:pt idx="30">
                  <c:v>263.30810614969687</c:v>
                </c:pt>
                <c:pt idx="31">
                  <c:v>206.25174818981284</c:v>
                </c:pt>
                <c:pt idx="32">
                  <c:v>226.50943532106294</c:v>
                </c:pt>
                <c:pt idx="33">
                  <c:v>246.72563774429935</c:v>
                </c:pt>
                <c:pt idx="34">
                  <c:v>266.90423231001682</c:v>
                </c:pt>
                <c:pt idx="35">
                  <c:v>287.04846149927101</c:v>
                </c:pt>
                <c:pt idx="36">
                  <c:v>307.16107541724091</c:v>
                </c:pt>
                <c:pt idx="37">
                  <c:v>327.24443459088332</c:v>
                </c:pt>
                <c:pt idx="38">
                  <c:v>347.30058618137667</c:v>
                </c:pt>
                <c:pt idx="39">
                  <c:v>367.33132165621686</c:v>
                </c:pt>
                <c:pt idx="40">
                  <c:v>387.33822121677048</c:v>
                </c:pt>
                <c:pt idx="41">
                  <c:v>307.1610754172408</c:v>
                </c:pt>
                <c:pt idx="42">
                  <c:v>327.88357486428237</c:v>
                </c:pt>
                <c:pt idx="43">
                  <c:v>348.57716937355349</c:v>
                </c:pt>
                <c:pt idx="44">
                  <c:v>369.24381536730135</c:v>
                </c:pt>
                <c:pt idx="45">
                  <c:v>389.88523246274627</c:v>
                </c:pt>
                <c:pt idx="46">
                  <c:v>410.50294341321847</c:v>
                </c:pt>
                <c:pt idx="47">
                  <c:v>431.09830560423705</c:v>
                </c:pt>
                <c:pt idx="48">
                  <c:v>451.67253621627088</c:v>
                </c:pt>
                <c:pt idx="49">
                  <c:v>472.22673256386997</c:v>
                </c:pt>
                <c:pt idx="50">
                  <c:v>492.76188870967644</c:v>
                </c:pt>
                <c:pt idx="51">
                  <c:v>399.56060449432636</c:v>
                </c:pt>
                <c:pt idx="52">
                  <c:v>419.40484180194272</c:v>
                </c:pt>
                <c:pt idx="53">
                  <c:v>439.22885835221342</c:v>
                </c:pt>
                <c:pt idx="54">
                  <c:v>459.03369461888457</c:v>
                </c:pt>
                <c:pt idx="55">
                  <c:v>478.82029402342147</c:v>
                </c:pt>
                <c:pt idx="56">
                  <c:v>498.58951570604586</c:v>
                </c:pt>
                <c:pt idx="57">
                  <c:v>518.34214516637292</c:v>
                </c:pt>
                <c:pt idx="58">
                  <c:v>538.07890319826015</c:v>
                </c:pt>
                <c:pt idx="59">
                  <c:v>557.80045344608595</c:v>
                </c:pt>
                <c:pt idx="60">
                  <c:v>577.50740883732692</c:v>
                </c:pt>
                <c:pt idx="61">
                  <c:v>481.4825295865167</c:v>
                </c:pt>
                <c:pt idx="62">
                  <c:v>499.34953422631764</c:v>
                </c:pt>
                <c:pt idx="63">
                  <c:v>517.20300843460734</c:v>
                </c:pt>
                <c:pt idx="64">
                  <c:v>535.04348473955304</c:v>
                </c:pt>
                <c:pt idx="65">
                  <c:v>552.87145728238113</c:v>
                </c:pt>
                <c:pt idx="66">
                  <c:v>570.6873857583937</c:v>
                </c:pt>
                <c:pt idx="67">
                  <c:v>588.49169884050696</c:v>
                </c:pt>
                <c:pt idx="68">
                  <c:v>606.2847971671714</c:v>
                </c:pt>
                <c:pt idx="69">
                  <c:v>624.06705596150925</c:v>
                </c:pt>
                <c:pt idx="70">
                  <c:v>641.8388273366063</c:v>
                </c:pt>
                <c:pt idx="71">
                  <c:v>549.07929537769098</c:v>
                </c:pt>
                <c:pt idx="72">
                  <c:v>564.87639384426382</c:v>
                </c:pt>
                <c:pt idx="73">
                  <c:v>580.66425649016571</c:v>
                </c:pt>
                <c:pt idx="74">
                  <c:v>596.44316965824521</c:v>
                </c:pt>
                <c:pt idx="75">
                  <c:v>612.21340331456997</c:v>
                </c:pt>
                <c:pt idx="76">
                  <c:v>627.97521239147818</c:v>
                </c:pt>
                <c:pt idx="77">
                  <c:v>643.72883798886176</c:v>
                </c:pt>
                <c:pt idx="78">
                  <c:v>659.47450845181413</c:v>
                </c:pt>
                <c:pt idx="79">
                  <c:v>675.21244034007702</c:v>
                </c:pt>
                <c:pt idx="80">
                  <c:v>690.94283930246741</c:v>
                </c:pt>
                <c:pt idx="81">
                  <c:v>606.2847971671714</c:v>
                </c:pt>
                <c:pt idx="82">
                  <c:v>619.90620335950791</c:v>
                </c:pt>
                <c:pt idx="83">
                  <c:v>633.52140991484214</c:v>
                </c:pt>
                <c:pt idx="84">
                  <c:v>647.13056877940483</c:v>
                </c:pt>
                <c:pt idx="85">
                  <c:v>660.73382499079878</c:v>
                </c:pt>
                <c:pt idx="86">
                  <c:v>674.33131713084038</c:v>
                </c:pt>
                <c:pt idx="87">
                  <c:v>687.92317774000242</c:v>
                </c:pt>
                <c:pt idx="88">
                  <c:v>701.50953369741865</c:v>
                </c:pt>
                <c:pt idx="89">
                  <c:v>715.09050656993907</c:v>
                </c:pt>
                <c:pt idx="90">
                  <c:v>728.66621293330627</c:v>
                </c:pt>
                <c:pt idx="91">
                  <c:v>640.57875641162809</c:v>
                </c:pt>
                <c:pt idx="92">
                  <c:v>640.57875641162809</c:v>
                </c:pt>
                <c:pt idx="93">
                  <c:v>640.57875641162809</c:v>
                </c:pt>
                <c:pt idx="94">
                  <c:v>640.57875641162809</c:v>
                </c:pt>
                <c:pt idx="95">
                  <c:v>640.57875641162809</c:v>
                </c:pt>
                <c:pt idx="96">
                  <c:v>640.57875641162809</c:v>
                </c:pt>
                <c:pt idx="97">
                  <c:v>640.57875641162809</c:v>
                </c:pt>
                <c:pt idx="98">
                  <c:v>640.57875641162809</c:v>
                </c:pt>
                <c:pt idx="99">
                  <c:v>640.57875641162809</c:v>
                </c:pt>
                <c:pt idx="100">
                  <c:v>640.57875641162809</c:v>
                </c:pt>
                <c:pt idx="101">
                  <c:v>640.57875641162809</c:v>
                </c:pt>
                <c:pt idx="102">
                  <c:v>640.57875641162809</c:v>
                </c:pt>
                <c:pt idx="103">
                  <c:v>640.57875641162809</c:v>
                </c:pt>
                <c:pt idx="104">
                  <c:v>640.57875641162809</c:v>
                </c:pt>
                <c:pt idx="105">
                  <c:v>640.57875641162809</c:v>
                </c:pt>
                <c:pt idx="106">
                  <c:v>640.57875641162809</c:v>
                </c:pt>
                <c:pt idx="107">
                  <c:v>640.57875641162809</c:v>
                </c:pt>
                <c:pt idx="108">
                  <c:v>640.57875641162809</c:v>
                </c:pt>
                <c:pt idx="109">
                  <c:v>640.57875641162809</c:v>
                </c:pt>
                <c:pt idx="110">
                  <c:v>640.57875641162809</c:v>
                </c:pt>
                <c:pt idx="111">
                  <c:v>640.57875641162809</c:v>
                </c:pt>
                <c:pt idx="112">
                  <c:v>640.57875641162809</c:v>
                </c:pt>
                <c:pt idx="113">
                  <c:v>640.57875641162809</c:v>
                </c:pt>
                <c:pt idx="114">
                  <c:v>640.57875641162809</c:v>
                </c:pt>
                <c:pt idx="115">
                  <c:v>640.57875641162809</c:v>
                </c:pt>
                <c:pt idx="116">
                  <c:v>640.57875641162809</c:v>
                </c:pt>
                <c:pt idx="117">
                  <c:v>640.57875641162809</c:v>
                </c:pt>
                <c:pt idx="118">
                  <c:v>640.57875641162809</c:v>
                </c:pt>
                <c:pt idx="119">
                  <c:v>640.57875641162809</c:v>
                </c:pt>
                <c:pt idx="120">
                  <c:v>640.57875641162809</c:v>
                </c:pt>
                <c:pt idx="121">
                  <c:v>640.57875641162809</c:v>
                </c:pt>
                <c:pt idx="122">
                  <c:v>640.57875641162809</c:v>
                </c:pt>
                <c:pt idx="123">
                  <c:v>640.57875641162809</c:v>
                </c:pt>
                <c:pt idx="124">
                  <c:v>640.57875641162809</c:v>
                </c:pt>
                <c:pt idx="125">
                  <c:v>640.57875641162809</c:v>
                </c:pt>
                <c:pt idx="126">
                  <c:v>640.57875641162809</c:v>
                </c:pt>
                <c:pt idx="127">
                  <c:v>640.57875641162809</c:v>
                </c:pt>
                <c:pt idx="128">
                  <c:v>640.57875641162809</c:v>
                </c:pt>
                <c:pt idx="129">
                  <c:v>640.57875641162809</c:v>
                </c:pt>
                <c:pt idx="130">
                  <c:v>640.57875641162809</c:v>
                </c:pt>
                <c:pt idx="131">
                  <c:v>640.57875641162809</c:v>
                </c:pt>
                <c:pt idx="132">
                  <c:v>640.57875641162809</c:v>
                </c:pt>
                <c:pt idx="133">
                  <c:v>640.57875641162809</c:v>
                </c:pt>
                <c:pt idx="134">
                  <c:v>640.57875641162809</c:v>
                </c:pt>
                <c:pt idx="135">
                  <c:v>640.57875641162809</c:v>
                </c:pt>
                <c:pt idx="136">
                  <c:v>640.57875641162809</c:v>
                </c:pt>
                <c:pt idx="137">
                  <c:v>640.57875641162809</c:v>
                </c:pt>
                <c:pt idx="138">
                  <c:v>640.57875641162809</c:v>
                </c:pt>
                <c:pt idx="139">
                  <c:v>640.57875641162809</c:v>
                </c:pt>
                <c:pt idx="140">
                  <c:v>640.57875641162809</c:v>
                </c:pt>
                <c:pt idx="141">
                  <c:v>640.57875641162809</c:v>
                </c:pt>
                <c:pt idx="142">
                  <c:v>640.57875641162809</c:v>
                </c:pt>
                <c:pt idx="143">
                  <c:v>640.57875641162809</c:v>
                </c:pt>
                <c:pt idx="144">
                  <c:v>640.57875641162809</c:v>
                </c:pt>
                <c:pt idx="145">
                  <c:v>640.57875641162809</c:v>
                </c:pt>
                <c:pt idx="146">
                  <c:v>640.57875641162809</c:v>
                </c:pt>
                <c:pt idx="147">
                  <c:v>640.57875641162809</c:v>
                </c:pt>
                <c:pt idx="148">
                  <c:v>640.57875641162809</c:v>
                </c:pt>
                <c:pt idx="149">
                  <c:v>640.57875641162809</c:v>
                </c:pt>
                <c:pt idx="150">
                  <c:v>640.57875641162809</c:v>
                </c:pt>
                <c:pt idx="151">
                  <c:v>640.57875641162809</c:v>
                </c:pt>
                <c:pt idx="152">
                  <c:v>640.57875641162809</c:v>
                </c:pt>
                <c:pt idx="153">
                  <c:v>640.57875641162809</c:v>
                </c:pt>
                <c:pt idx="154">
                  <c:v>640.57875641162809</c:v>
                </c:pt>
                <c:pt idx="155">
                  <c:v>640.57875641162809</c:v>
                </c:pt>
                <c:pt idx="156">
                  <c:v>640.57875641162809</c:v>
                </c:pt>
                <c:pt idx="157">
                  <c:v>640.57875641162809</c:v>
                </c:pt>
                <c:pt idx="158">
                  <c:v>640.57875641162809</c:v>
                </c:pt>
                <c:pt idx="159">
                  <c:v>640.57875641162809</c:v>
                </c:pt>
                <c:pt idx="160">
                  <c:v>640.57875641162809</c:v>
                </c:pt>
                <c:pt idx="161">
                  <c:v>640.57875641162809</c:v>
                </c:pt>
                <c:pt idx="162">
                  <c:v>640.57875641162809</c:v>
                </c:pt>
                <c:pt idx="163">
                  <c:v>640.57875641162809</c:v>
                </c:pt>
                <c:pt idx="164">
                  <c:v>640.57875641162809</c:v>
                </c:pt>
                <c:pt idx="165">
                  <c:v>640.57875641162809</c:v>
                </c:pt>
                <c:pt idx="166">
                  <c:v>640.57875641162809</c:v>
                </c:pt>
                <c:pt idx="167">
                  <c:v>640.57875641162809</c:v>
                </c:pt>
                <c:pt idx="168">
                  <c:v>640.57875641162809</c:v>
                </c:pt>
                <c:pt idx="169">
                  <c:v>640.57875641162809</c:v>
                </c:pt>
                <c:pt idx="170">
                  <c:v>640.57875641162809</c:v>
                </c:pt>
                <c:pt idx="171">
                  <c:v>640.57875641162809</c:v>
                </c:pt>
                <c:pt idx="172">
                  <c:v>640.57875641162809</c:v>
                </c:pt>
                <c:pt idx="173">
                  <c:v>640.57875641162809</c:v>
                </c:pt>
                <c:pt idx="174">
                  <c:v>640.57875641162809</c:v>
                </c:pt>
                <c:pt idx="175">
                  <c:v>640.57875641162809</c:v>
                </c:pt>
                <c:pt idx="176">
                  <c:v>640.57875641162809</c:v>
                </c:pt>
                <c:pt idx="177">
                  <c:v>640.57875641162809</c:v>
                </c:pt>
                <c:pt idx="178">
                  <c:v>640.57875641162809</c:v>
                </c:pt>
                <c:pt idx="179">
                  <c:v>640.57875641162809</c:v>
                </c:pt>
                <c:pt idx="180">
                  <c:v>640.57875641162809</c:v>
                </c:pt>
                <c:pt idx="181">
                  <c:v>640.57875641162809</c:v>
                </c:pt>
                <c:pt idx="182">
                  <c:v>640.57875641162809</c:v>
                </c:pt>
                <c:pt idx="183">
                  <c:v>640.57875641162809</c:v>
                </c:pt>
                <c:pt idx="184">
                  <c:v>640.57875641162809</c:v>
                </c:pt>
                <c:pt idx="185">
                  <c:v>640.57875641162809</c:v>
                </c:pt>
                <c:pt idx="186">
                  <c:v>640.57875641162809</c:v>
                </c:pt>
                <c:pt idx="187">
                  <c:v>640.57875641162809</c:v>
                </c:pt>
                <c:pt idx="188">
                  <c:v>640.57875641162809</c:v>
                </c:pt>
                <c:pt idx="189">
                  <c:v>640.57875641162809</c:v>
                </c:pt>
                <c:pt idx="190">
                  <c:v>640.57875641162809</c:v>
                </c:pt>
                <c:pt idx="191">
                  <c:v>640.57875641162809</c:v>
                </c:pt>
                <c:pt idx="192">
                  <c:v>640.57875641162809</c:v>
                </c:pt>
                <c:pt idx="193">
                  <c:v>640.57875641162809</c:v>
                </c:pt>
                <c:pt idx="194">
                  <c:v>640.57875641162809</c:v>
                </c:pt>
                <c:pt idx="195">
                  <c:v>640.57875641162809</c:v>
                </c:pt>
                <c:pt idx="196">
                  <c:v>640.57875641162809</c:v>
                </c:pt>
                <c:pt idx="197">
                  <c:v>640.57875641162809</c:v>
                </c:pt>
                <c:pt idx="198">
                  <c:v>640.57875641162809</c:v>
                </c:pt>
                <c:pt idx="199">
                  <c:v>640.57875641162809</c:v>
                </c:pt>
                <c:pt idx="200">
                  <c:v>640.57875641162809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2.1820279828780054</c:v>
                </c:pt>
                <c:pt idx="2">
                  <c:v>2.7489287958390509</c:v>
                </c:pt>
                <c:pt idx="3">
                  <c:v>3.4636936546704455</c:v>
                </c:pt>
                <c:pt idx="4">
                  <c:v>4.3650326800554504</c:v>
                </c:pt>
                <c:pt idx="5">
                  <c:v>5.5018251647390555</c:v>
                </c:pt>
                <c:pt idx="6">
                  <c:v>6.9357995812068935</c:v>
                </c:pt>
                <c:pt idx="7">
                  <c:v>8.7449219687578292</c:v>
                </c:pt>
                <c:pt idx="8">
                  <c:v>11.027680444407844</c:v>
                </c:pt>
                <c:pt idx="9">
                  <c:v>13.908503463014158</c:v>
                </c:pt>
                <c:pt idx="10">
                  <c:v>17.544612615119544</c:v>
                </c:pt>
                <c:pt idx="11">
                  <c:v>36.331036561408958</c:v>
                </c:pt>
                <c:pt idx="12">
                  <c:v>54.840007625050731</c:v>
                </c:pt>
                <c:pt idx="13">
                  <c:v>73.182288487787176</c:v>
                </c:pt>
                <c:pt idx="14">
                  <c:v>91.40622373102336</c:v>
                </c:pt>
                <c:pt idx="15">
                  <c:v>109.53891756394223</c:v>
                </c:pt>
                <c:pt idx="16">
                  <c:v>127.59766496907207</c:v>
                </c:pt>
                <c:pt idx="17">
                  <c:v>145.59443058119251</c:v>
                </c:pt>
                <c:pt idx="18">
                  <c:v>163.5379655741686</c:v>
                </c:pt>
                <c:pt idx="19">
                  <c:v>181.43493765298726</c:v>
                </c:pt>
                <c:pt idx="20">
                  <c:v>199.29058865200216</c:v>
                </c:pt>
                <c:pt idx="21">
                  <c:v>122.75914555397303</c:v>
                </c:pt>
                <c:pt idx="22">
                  <c:v>143.987243321303</c:v>
                </c:pt>
                <c:pt idx="23">
                  <c:v>165.14031756750202</c:v>
                </c:pt>
                <c:pt idx="24">
                  <c:v>186.22934307037499</c:v>
                </c:pt>
                <c:pt idx="25">
                  <c:v>207.26259803384178</c:v>
                </c:pt>
                <c:pt idx="26">
                  <c:v>228.24653971138068</c:v>
                </c:pt>
                <c:pt idx="27">
                  <c:v>249.18633943133077</c:v>
                </c:pt>
                <c:pt idx="28">
                  <c:v>270.08622765058908</c:v>
                </c:pt>
                <c:pt idx="29">
                  <c:v>290.94972629449177</c:v>
                </c:pt>
                <c:pt idx="30">
                  <c:v>311.77981081702825</c:v>
                </c:pt>
                <c:pt idx="31">
                  <c:v>228.39109794958097</c:v>
                </c:pt>
                <c:pt idx="32">
                  <c:v>245.86761689093177</c:v>
                </c:pt>
                <c:pt idx="33">
                  <c:v>263.31592501165994</c:v>
                </c:pt>
                <c:pt idx="34">
                  <c:v>280.73815459645294</c:v>
                </c:pt>
                <c:pt idx="35">
                  <c:v>298.13615159385171</c:v>
                </c:pt>
                <c:pt idx="36">
                  <c:v>315.51152888688659</c:v>
                </c:pt>
                <c:pt idx="37">
                  <c:v>332.86570720430353</c:v>
                </c:pt>
                <c:pt idx="38">
                  <c:v>350.1999470478529</c:v>
                </c:pt>
                <c:pt idx="39">
                  <c:v>367.51537396448816</c:v>
                </c:pt>
                <c:pt idx="40">
                  <c:v>384.81299880518822</c:v>
                </c:pt>
                <c:pt idx="41">
                  <c:v>297.70507599289084</c:v>
                </c:pt>
                <c:pt idx="42">
                  <c:v>310.91850478314001</c:v>
                </c:pt>
                <c:pt idx="43">
                  <c:v>324.1194742654539</c:v>
                </c:pt>
                <c:pt idx="44">
                  <c:v>337.30856346736851</c:v>
                </c:pt>
                <c:pt idx="45">
                  <c:v>350.48630242966345</c:v>
                </c:pt>
                <c:pt idx="46">
                  <c:v>363.65317807573314</c:v>
                </c:pt>
                <c:pt idx="47">
                  <c:v>376.80963918625883</c:v>
                </c:pt>
                <c:pt idx="48">
                  <c:v>389.95610064267242</c:v>
                </c:pt>
                <c:pt idx="49">
                  <c:v>403.09294706842178</c:v>
                </c:pt>
                <c:pt idx="50">
                  <c:v>416.22053597073187</c:v>
                </c:pt>
                <c:pt idx="51">
                  <c:v>364.51152094505261</c:v>
                </c:pt>
                <c:pt idx="52">
                  <c:v>374.23634836554851</c:v>
                </c:pt>
                <c:pt idx="53">
                  <c:v>383.95567048788757</c:v>
                </c:pt>
                <c:pt idx="54">
                  <c:v>393.66964638244093</c:v>
                </c:pt>
                <c:pt idx="55">
                  <c:v>403.37842662539168</c:v>
                </c:pt>
                <c:pt idx="56">
                  <c:v>413.08215395025701</c:v>
                </c:pt>
                <c:pt idx="57">
                  <c:v>422.78096383498195</c:v>
                </c:pt>
                <c:pt idx="58">
                  <c:v>432.47498503233845</c:v>
                </c:pt>
                <c:pt idx="59">
                  <c:v>442.16434005027787</c:v>
                </c:pt>
                <c:pt idx="60">
                  <c:v>451.84914558797823</c:v>
                </c:pt>
                <c:pt idx="61">
                  <c:v>416.07789334479304</c:v>
                </c:pt>
                <c:pt idx="62">
                  <c:v>423.06614984150383</c:v>
                </c:pt>
                <c:pt idx="63">
                  <c:v>430.05192187030821</c:v>
                </c:pt>
                <c:pt idx="64">
                  <c:v>437.03525550874696</c:v>
                </c:pt>
                <c:pt idx="65">
                  <c:v>444.01619524073664</c:v>
                </c:pt>
                <c:pt idx="66">
                  <c:v>450.99478403642752</c:v>
                </c:pt>
                <c:pt idx="67">
                  <c:v>457.97106342685856</c:v>
                </c:pt>
                <c:pt idx="68">
                  <c:v>464.94507357382457</c:v>
                </c:pt>
                <c:pt idx="69">
                  <c:v>471.91685333533269</c:v>
                </c:pt>
                <c:pt idx="70">
                  <c:v>478.88644032698608</c:v>
                </c:pt>
                <c:pt idx="71">
                  <c:v>447.43457068363909</c:v>
                </c:pt>
                <c:pt idx="72">
                  <c:v>452.98824059157351</c:v>
                </c:pt>
                <c:pt idx="73">
                  <c:v>458.54045490538175</c:v>
                </c:pt>
                <c:pt idx="74">
                  <c:v>464.09123375012194</c:v>
                </c:pt>
                <c:pt idx="75">
                  <c:v>469.64059672980551</c:v>
                </c:pt>
                <c:pt idx="76">
                  <c:v>475.18856294702186</c:v>
                </c:pt>
                <c:pt idx="77">
                  <c:v>480.73515102159814</c:v>
                </c:pt>
                <c:pt idx="78">
                  <c:v>486.28037910835252</c:v>
                </c:pt>
                <c:pt idx="79">
                  <c:v>491.82426491399656</c:v>
                </c:pt>
                <c:pt idx="80">
                  <c:v>497.36682571323246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2.1567642387920674</c:v>
                </c:pt>
                <c:pt idx="2">
                  <c:v>2.6855980128649111</c:v>
                </c:pt>
                <c:pt idx="3">
                  <c:v>3.3446067142828606</c:v>
                </c:pt>
                <c:pt idx="4">
                  <c:v>4.16595112708253</c:v>
                </c:pt>
                <c:pt idx="5">
                  <c:v>5.1897648480507295</c:v>
                </c:pt>
                <c:pt idx="6">
                  <c:v>6.4661370653121786</c:v>
                </c:pt>
                <c:pt idx="7">
                  <c:v>8.057589882609383</c:v>
                </c:pt>
                <c:pt idx="8">
                  <c:v>10.042173869899939</c:v>
                </c:pt>
                <c:pt idx="9">
                  <c:v>12.517336527679234</c:v>
                </c:pt>
                <c:pt idx="10">
                  <c:v>15.604757149851741</c:v>
                </c:pt>
                <c:pt idx="11">
                  <c:v>19.456390119377222</c:v>
                </c:pt>
                <c:pt idx="12">
                  <c:v>24.262019428339389</c:v>
                </c:pt>
                <c:pt idx="13">
                  <c:v>30.258703255192469</c:v>
                </c:pt>
                <c:pt idx="14">
                  <c:v>37.742582608618598</c:v>
                </c:pt>
                <c:pt idx="15">
                  <c:v>47.083647183971607</c:v>
                </c:pt>
                <c:pt idx="16">
                  <c:v>58.744200717255033</c:v>
                </c:pt>
                <c:pt idx="17">
                  <c:v>73.30195483191865</c:v>
                </c:pt>
                <c:pt idx="18">
                  <c:v>91.478914136887184</c:v>
                </c:pt>
                <c:pt idx="19">
                  <c:v>114.17750802800187</c:v>
                </c:pt>
                <c:pt idx="20">
                  <c:v>142.52579115025176</c:v>
                </c:pt>
                <c:pt idx="21">
                  <c:v>97.312065972754382</c:v>
                </c:pt>
                <c:pt idx="22">
                  <c:v>115.27221811342979</c:v>
                </c:pt>
                <c:pt idx="23">
                  <c:v>133.16379985429114</c:v>
                </c:pt>
                <c:pt idx="24">
                  <c:v>150.99733996220459</c:v>
                </c:pt>
                <c:pt idx="25">
                  <c:v>168.78066680719573</c:v>
                </c:pt>
                <c:pt idx="26">
                  <c:v>186.51981963531719</c:v>
                </c:pt>
                <c:pt idx="27">
                  <c:v>204.21959279021061</c:v>
                </c:pt>
                <c:pt idx="28">
                  <c:v>221.88388047112758</c:v>
                </c:pt>
                <c:pt idx="29">
                  <c:v>239.51590555035622</c:v>
                </c:pt>
                <c:pt idx="30">
                  <c:v>257.1183772918742</c:v>
                </c:pt>
                <c:pt idx="31">
                  <c:v>190.87571093543406</c:v>
                </c:pt>
                <c:pt idx="32">
                  <c:v>205.6687727406734</c:v>
                </c:pt>
                <c:pt idx="33">
                  <c:v>220.43724193036135</c:v>
                </c:pt>
                <c:pt idx="34">
                  <c:v>235.18299859219027</c:v>
                </c:pt>
                <c:pt idx="35">
                  <c:v>249.90766763554743</c:v>
                </c:pt>
                <c:pt idx="36">
                  <c:v>264.61266674466111</c:v>
                </c:pt>
                <c:pt idx="37">
                  <c:v>279.29924310003668</c:v>
                </c:pt>
                <c:pt idx="38">
                  <c:v>293.96850196335311</c:v>
                </c:pt>
                <c:pt idx="39">
                  <c:v>308.62142925305045</c:v>
                </c:pt>
                <c:pt idx="40">
                  <c:v>323.25890960508121</c:v>
                </c:pt>
                <c:pt idx="41">
                  <c:v>253.80202769919762</c:v>
                </c:pt>
                <c:pt idx="42">
                  <c:v>264.90081208016181</c:v>
                </c:pt>
                <c:pt idx="43">
                  <c:v>275.98911371379239</c:v>
                </c:pt>
                <c:pt idx="44">
                  <c:v>287.0674133532234</c:v>
                </c:pt>
                <c:pt idx="45">
                  <c:v>298.13615159385154</c:v>
                </c:pt>
                <c:pt idx="46">
                  <c:v>309.19573362623737</c:v>
                </c:pt>
                <c:pt idx="47">
                  <c:v>320.24653327300206</c:v>
                </c:pt>
                <c:pt idx="48">
                  <c:v>331.28889643907769</c:v>
                </c:pt>
                <c:pt idx="49">
                  <c:v>342.32314407768052</c:v>
                </c:pt>
                <c:pt idx="50">
                  <c:v>353.34957475371965</c:v>
                </c:pt>
                <c:pt idx="51">
                  <c:v>305.46232940780999</c:v>
                </c:pt>
                <c:pt idx="52">
                  <c:v>313.50226463243422</c:v>
                </c:pt>
                <c:pt idx="53">
                  <c:v>321.53762812838323</c:v>
                </c:pt>
                <c:pt idx="54">
                  <c:v>329.56855035950645</c:v>
                </c:pt>
                <c:pt idx="55">
                  <c:v>337.59515490695998</c:v>
                </c:pt>
                <c:pt idx="56">
                  <c:v>345.61755899091719</c:v>
                </c:pt>
                <c:pt idx="57">
                  <c:v>353.6358739412795</c:v>
                </c:pt>
                <c:pt idx="58">
                  <c:v>361.65020562344097</c:v>
                </c:pt>
                <c:pt idx="59">
                  <c:v>369.66065482432015</c:v>
                </c:pt>
                <c:pt idx="60">
                  <c:v>377.66731760316674</c:v>
                </c:pt>
                <c:pt idx="61">
                  <c:v>347.76571840159392</c:v>
                </c:pt>
                <c:pt idx="62">
                  <c:v>353.63587394127961</c:v>
                </c:pt>
                <c:pt idx="63">
                  <c:v>359.50389442227942</c:v>
                </c:pt>
                <c:pt idx="64">
                  <c:v>365.36981964928873</c:v>
                </c:pt>
                <c:pt idx="65">
                  <c:v>371.23368804323746</c:v>
                </c:pt>
                <c:pt idx="66">
                  <c:v>377.09553671098297</c:v>
                </c:pt>
                <c:pt idx="67">
                  <c:v>382.95540151044014</c:v>
                </c:pt>
                <c:pt idx="68">
                  <c:v>388.81331711151353</c:v>
                </c:pt>
                <c:pt idx="69">
                  <c:v>394.669317053165</c:v>
                </c:pt>
                <c:pt idx="70">
                  <c:v>400.52343379691257</c:v>
                </c:pt>
                <c:pt idx="71">
                  <c:v>374.9511899311089</c:v>
                </c:pt>
                <c:pt idx="72">
                  <c:v>379.38254731510438</c:v>
                </c:pt>
                <c:pt idx="73">
                  <c:v>383.812778391736</c:v>
                </c:pt>
                <c:pt idx="74">
                  <c:v>388.24189801221195</c:v>
                </c:pt>
                <c:pt idx="75">
                  <c:v>392.66992066083503</c:v>
                </c:pt>
                <c:pt idx="76">
                  <c:v>397.09686046819598</c:v>
                </c:pt>
                <c:pt idx="77">
                  <c:v>401.52273122374817</c:v>
                </c:pt>
                <c:pt idx="78">
                  <c:v>405.9475463877975</c:v>
                </c:pt>
                <c:pt idx="79">
                  <c:v>410.37131910294289</c:v>
                </c:pt>
                <c:pt idx="80">
                  <c:v>414.79406220499703</c:v>
                </c:pt>
                <c:pt idx="81">
                  <c:v>1.1825802166488628E-12</c:v>
                </c:pt>
                <c:pt idx="82">
                  <c:v>1.1825802166488628E-12</c:v>
                </c:pt>
                <c:pt idx="83">
                  <c:v>1.1825802166488628E-12</c:v>
                </c:pt>
                <c:pt idx="84">
                  <c:v>1.1825802166488628E-12</c:v>
                </c:pt>
                <c:pt idx="85">
                  <c:v>1.1825802166488628E-12</c:v>
                </c:pt>
                <c:pt idx="86">
                  <c:v>1.1825802166488628E-12</c:v>
                </c:pt>
                <c:pt idx="87">
                  <c:v>1.1825802166488628E-12</c:v>
                </c:pt>
                <c:pt idx="88">
                  <c:v>1.1825802166488628E-12</c:v>
                </c:pt>
                <c:pt idx="89">
                  <c:v>1.1825802166488628E-12</c:v>
                </c:pt>
                <c:pt idx="90">
                  <c:v>1.1825802166488628E-12</c:v>
                </c:pt>
                <c:pt idx="91">
                  <c:v>1.1825802166488628E-12</c:v>
                </c:pt>
                <c:pt idx="92">
                  <c:v>1.1825802166488628E-12</c:v>
                </c:pt>
                <c:pt idx="93">
                  <c:v>1.1825802166488628E-12</c:v>
                </c:pt>
                <c:pt idx="94">
                  <c:v>1.1825802166488628E-12</c:v>
                </c:pt>
                <c:pt idx="95">
                  <c:v>1.1825802166488628E-12</c:v>
                </c:pt>
                <c:pt idx="96">
                  <c:v>1.1825802166488628E-12</c:v>
                </c:pt>
                <c:pt idx="97">
                  <c:v>1.1825802166488628E-12</c:v>
                </c:pt>
                <c:pt idx="98">
                  <c:v>1.1825802166488628E-12</c:v>
                </c:pt>
                <c:pt idx="99">
                  <c:v>1.1825802166488628E-12</c:v>
                </c:pt>
                <c:pt idx="100">
                  <c:v>1.1825802166488628E-12</c:v>
                </c:pt>
                <c:pt idx="101">
                  <c:v>1.1825802166488628E-12</c:v>
                </c:pt>
                <c:pt idx="102">
                  <c:v>1.1825802166488628E-12</c:v>
                </c:pt>
                <c:pt idx="103">
                  <c:v>1.1825802166488628E-12</c:v>
                </c:pt>
                <c:pt idx="104">
                  <c:v>1.1825802166488628E-12</c:v>
                </c:pt>
                <c:pt idx="105">
                  <c:v>1.1825802166488628E-12</c:v>
                </c:pt>
                <c:pt idx="106">
                  <c:v>1.1825802166488628E-12</c:v>
                </c:pt>
                <c:pt idx="107">
                  <c:v>1.1825802166488628E-12</c:v>
                </c:pt>
                <c:pt idx="108">
                  <c:v>1.1825802166488628E-12</c:v>
                </c:pt>
                <c:pt idx="109">
                  <c:v>1.1825802166488628E-12</c:v>
                </c:pt>
                <c:pt idx="110">
                  <c:v>1.1825802166488628E-12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2.9770808019599735</c:v>
                </c:pt>
                <c:pt idx="2">
                  <c:v>3.4373570828714688</c:v>
                </c:pt>
                <c:pt idx="3">
                  <c:v>3.969049858352836</c:v>
                </c:pt>
                <c:pt idx="4">
                  <c:v>4.5832774414983648</c:v>
                </c:pt>
                <c:pt idx="5">
                  <c:v>5.2928945237969822</c:v>
                </c:pt>
                <c:pt idx="6">
                  <c:v>6.1127641431566362</c:v>
                </c:pt>
                <c:pt idx="7">
                  <c:v>7.0600723651439914</c:v>
                </c:pt>
                <c:pt idx="8">
                  <c:v>8.1546924022830094</c:v>
                </c:pt>
                <c:pt idx="9">
                  <c:v>9.4196059574262012</c:v>
                </c:pt>
                <c:pt idx="10">
                  <c:v>10.881390806178834</c:v>
                </c:pt>
                <c:pt idx="11">
                  <c:v>12.570785056701292</c:v>
                </c:pt>
                <c:pt idx="12">
                  <c:v>14.523340173738314</c:v>
                </c:pt>
                <c:pt idx="13">
                  <c:v>16.780176763115087</c:v>
                </c:pt>
                <c:pt idx="14">
                  <c:v>19.388859324553817</c:v>
                </c:pt>
                <c:pt idx="15">
                  <c:v>22.40440874242114</c:v>
                </c:pt>
                <c:pt idx="16">
                  <c:v>25.890474251448747</c:v>
                </c:pt>
                <c:pt idx="17">
                  <c:v>29.92069005192911</c:v>
                </c:pt>
                <c:pt idx="18">
                  <c:v>34.580245730952278</c:v>
                </c:pt>
                <c:pt idx="19">
                  <c:v>39.967704259345972</c:v>
                </c:pt>
                <c:pt idx="20">
                  <c:v>46.197106678273713</c:v>
                </c:pt>
                <c:pt idx="21">
                  <c:v>53.400408781022065</c:v>
                </c:pt>
                <c:pt idx="22">
                  <c:v>61.730302268911977</c:v>
                </c:pt>
                <c:pt idx="23">
                  <c:v>71.363481171441208</c:v>
                </c:pt>
                <c:pt idx="24">
                  <c:v>82.504423950448952</c:v>
                </c:pt>
                <c:pt idx="25">
                  <c:v>95.389772865783996</c:v>
                </c:pt>
                <c:pt idx="26">
                  <c:v>110.29340510848425</c:v>
                </c:pt>
                <c:pt idx="27">
                  <c:v>127.53230518830827</c:v>
                </c:pt>
                <c:pt idx="28">
                  <c:v>147.47336542186929</c:v>
                </c:pt>
                <c:pt idx="29">
                  <c:v>170.54126148381732</c:v>
                </c:pt>
                <c:pt idx="30">
                  <c:v>197.22757329492163</c:v>
                </c:pt>
                <c:pt idx="31">
                  <c:v>208.92142876180176</c:v>
                </c:pt>
                <c:pt idx="32">
                  <c:v>220.60017986363141</c:v>
                </c:pt>
                <c:pt idx="33">
                  <c:v>232.264739416477</c:v>
                </c:pt>
                <c:pt idx="34">
                  <c:v>243.91592098733301</c:v>
                </c:pt>
                <c:pt idx="35">
                  <c:v>255.55445401337798</c:v>
                </c:pt>
                <c:pt idx="36">
                  <c:v>267.18099601974819</c:v>
                </c:pt>
                <c:pt idx="37">
                  <c:v>278.79614259728777</c:v>
                </c:pt>
                <c:pt idx="38">
                  <c:v>290.4004356291054</c:v>
                </c:pt>
                <c:pt idx="39">
                  <c:v>301.99437013242931</c:v>
                </c:pt>
                <c:pt idx="40">
                  <c:v>313.57839999414279</c:v>
                </c:pt>
                <c:pt idx="41">
                  <c:v>325.15294281399184</c:v>
                </c:pt>
                <c:pt idx="42">
                  <c:v>336.71838402176826</c:v>
                </c:pt>
                <c:pt idx="43">
                  <c:v>348.27508039901596</c:v>
                </c:pt>
                <c:pt idx="44">
                  <c:v>359.82336310869147</c:v>
                </c:pt>
                <c:pt idx="45">
                  <c:v>234.70281254814427</c:v>
                </c:pt>
                <c:pt idx="46">
                  <c:v>249.59893217379951</c:v>
                </c:pt>
                <c:pt idx="47">
                  <c:v>264.47489375819822</c:v>
                </c:pt>
                <c:pt idx="48">
                  <c:v>279.33199093869058</c:v>
                </c:pt>
                <c:pt idx="49">
                  <c:v>294.17136845681017</c:v>
                </c:pt>
                <c:pt idx="50">
                  <c:v>308.99404610191897</c:v>
                </c:pt>
                <c:pt idx="51">
                  <c:v>323.80093781674623</c:v>
                </c:pt>
                <c:pt idx="52">
                  <c:v>255.78698052992738</c:v>
                </c:pt>
                <c:pt idx="53">
                  <c:v>269.71503855690486</c:v>
                </c:pt>
                <c:pt idx="54">
                  <c:v>283.62691234584025</c:v>
                </c:pt>
                <c:pt idx="55">
                  <c:v>297.52350768668458</c:v>
                </c:pt>
                <c:pt idx="56">
                  <c:v>311.40563882069802</c:v>
                </c:pt>
                <c:pt idx="57">
                  <c:v>325.27404144854546</c:v>
                </c:pt>
                <c:pt idx="58">
                  <c:v>339.12938340274769</c:v>
                </c:pt>
                <c:pt idx="59">
                  <c:v>352.97227348409729</c:v>
                </c:pt>
                <c:pt idx="60">
                  <c:v>281.39125702931875</c:v>
                </c:pt>
                <c:pt idx="61">
                  <c:v>294.31014596253618</c:v>
                </c:pt>
                <c:pt idx="62">
                  <c:v>307.2163841165638</c:v>
                </c:pt>
                <c:pt idx="63">
                  <c:v>320.11057795832443</c:v>
                </c:pt>
                <c:pt idx="64">
                  <c:v>332.99328109429655</c:v>
                </c:pt>
                <c:pt idx="65">
                  <c:v>345.86500078813629</c:v>
                </c:pt>
                <c:pt idx="66">
                  <c:v>358.72620345698607</c:v>
                </c:pt>
                <c:pt idx="67">
                  <c:v>371.57731933813437</c:v>
                </c:pt>
                <c:pt idx="68">
                  <c:v>314.62020332185165</c:v>
                </c:pt>
                <c:pt idx="69">
                  <c:v>326.95889671398453</c:v>
                </c:pt>
                <c:pt idx="70">
                  <c:v>339.28731000411216</c:v>
                </c:pt>
                <c:pt idx="71">
                  <c:v>351.60586945648743</c:v>
                </c:pt>
                <c:pt idx="72">
                  <c:v>363.9149690215898</c:v>
                </c:pt>
                <c:pt idx="73">
                  <c:v>376.21497381909467</c:v>
                </c:pt>
                <c:pt idx="74">
                  <c:v>388.50622314145625</c:v>
                </c:pt>
                <c:pt idx="75">
                  <c:v>400.78903305747446</c:v>
                </c:pt>
                <c:pt idx="76">
                  <c:v>345.86384431093734</c:v>
                </c:pt>
                <c:pt idx="77">
                  <c:v>357.77573460306729</c:v>
                </c:pt>
                <c:pt idx="78">
                  <c:v>369.67894674632447</c:v>
                </c:pt>
                <c:pt idx="79">
                  <c:v>381.57379960604271</c:v>
                </c:pt>
                <c:pt idx="80">
                  <c:v>393.46059054098606</c:v>
                </c:pt>
                <c:pt idx="81">
                  <c:v>405.33959747363838</c:v>
                </c:pt>
                <c:pt idx="82">
                  <c:v>417.21108070510104</c:v>
                </c:pt>
                <c:pt idx="83">
                  <c:v>429.07528451262601</c:v>
                </c:pt>
                <c:pt idx="84">
                  <c:v>440.93243856122854</c:v>
                </c:pt>
                <c:pt idx="85">
                  <c:v>376.60167716610619</c:v>
                </c:pt>
                <c:pt idx="86">
                  <c:v>387.96577939828467</c:v>
                </c:pt>
                <c:pt idx="87">
                  <c:v>399.32265618290847</c:v>
                </c:pt>
                <c:pt idx="88">
                  <c:v>410.67254202116061</c:v>
                </c:pt>
                <c:pt idx="89">
                  <c:v>422.01565739214857</c:v>
                </c:pt>
                <c:pt idx="90">
                  <c:v>433.35220995374738</c:v>
                </c:pt>
                <c:pt idx="91">
                  <c:v>444.6823956112226</c:v>
                </c:pt>
                <c:pt idx="92">
                  <c:v>456.00639947125768</c:v>
                </c:pt>
                <c:pt idx="93">
                  <c:v>467.32439669627183</c:v>
                </c:pt>
                <c:pt idx="94">
                  <c:v>413.86099161777793</c:v>
                </c:pt>
                <c:pt idx="95">
                  <c:v>425.19717647466877</c:v>
                </c:pt>
                <c:pt idx="96">
                  <c:v>436.52686044713772</c:v>
                </c:pt>
                <c:pt idx="97">
                  <c:v>447.85023606285631</c:v>
                </c:pt>
                <c:pt idx="98">
                  <c:v>459.16748531856956</c:v>
                </c:pt>
                <c:pt idx="99">
                  <c:v>470.47878050700183</c:v>
                </c:pt>
                <c:pt idx="100">
                  <c:v>481.78428496010048</c:v>
                </c:pt>
                <c:pt idx="101">
                  <c:v>493.08415371888253</c:v>
                </c:pt>
                <c:pt idx="102">
                  <c:v>504.37853413868493</c:v>
                </c:pt>
                <c:pt idx="103">
                  <c:v>515.6675664373829</c:v>
                </c:pt>
                <c:pt idx="104">
                  <c:v>441.67788304694392</c:v>
                </c:pt>
                <c:pt idx="105">
                  <c:v>452.64938831122686</c:v>
                </c:pt>
                <c:pt idx="106">
                  <c:v>463.61520902016565</c:v>
                </c:pt>
                <c:pt idx="107">
                  <c:v>474.57549859599521</c:v>
                </c:pt>
                <c:pt idx="108">
                  <c:v>485.53040279578119</c:v>
                </c:pt>
                <c:pt idx="109">
                  <c:v>496.48006026237272</c:v>
                </c:pt>
                <c:pt idx="110">
                  <c:v>507.42460302422029</c:v>
                </c:pt>
                <c:pt idx="111">
                  <c:v>518.36415694983214</c:v>
                </c:pt>
                <c:pt idx="112">
                  <c:v>529.29884216187008</c:v>
                </c:pt>
                <c:pt idx="113">
                  <c:v>540.22877341525339</c:v>
                </c:pt>
                <c:pt idx="114">
                  <c:v>483.77843347470525</c:v>
                </c:pt>
                <c:pt idx="115">
                  <c:v>495.18106269086019</c:v>
                </c:pt>
                <c:pt idx="116">
                  <c:v>506.57812932992596</c:v>
                </c:pt>
                <c:pt idx="117">
                  <c:v>517.96977617364007</c:v>
                </c:pt>
                <c:pt idx="118">
                  <c:v>529.35613921155607</c:v>
                </c:pt>
                <c:pt idx="119">
                  <c:v>540.73734810639564</c:v>
                </c:pt>
                <c:pt idx="120">
                  <c:v>552.11352661818967</c:v>
                </c:pt>
                <c:pt idx="121">
                  <c:v>563.48479299165012</c:v>
                </c:pt>
                <c:pt idx="122">
                  <c:v>574.85126031065295</c:v>
                </c:pt>
                <c:pt idx="123">
                  <c:v>586.21303682323253</c:v>
                </c:pt>
                <c:pt idx="124">
                  <c:v>597.57022624007823</c:v>
                </c:pt>
                <c:pt idx="125">
                  <c:v>608.92292800916312</c:v>
                </c:pt>
                <c:pt idx="126">
                  <c:v>516.97691743661551</c:v>
                </c:pt>
                <c:pt idx="127">
                  <c:v>528.23080123722991</c:v>
                </c:pt>
                <c:pt idx="128">
                  <c:v>539.47963831715936</c:v>
                </c:pt>
                <c:pt idx="129">
                  <c:v>550.7235487287619</c:v>
                </c:pt>
                <c:pt idx="130">
                  <c:v>561.96264722308808</c:v>
                </c:pt>
                <c:pt idx="131">
                  <c:v>573.19704358756508</c:v>
                </c:pt>
                <c:pt idx="132">
                  <c:v>584.42684295583661</c:v>
                </c:pt>
                <c:pt idx="133">
                  <c:v>595.65214609255543</c:v>
                </c:pt>
                <c:pt idx="134">
                  <c:v>606.87304965559781</c:v>
                </c:pt>
                <c:pt idx="135">
                  <c:v>618.08964643788192</c:v>
                </c:pt>
                <c:pt idx="136">
                  <c:v>629.30202559072757</c:v>
                </c:pt>
                <c:pt idx="137">
                  <c:v>640.51027283047199</c:v>
                </c:pt>
                <c:pt idx="138">
                  <c:v>541.94116393966794</c:v>
                </c:pt>
                <c:pt idx="139">
                  <c:v>552.88748579227229</c:v>
                </c:pt>
                <c:pt idx="140">
                  <c:v>563.82926666737285</c:v>
                </c:pt>
                <c:pt idx="141">
                  <c:v>574.76660709862961</c:v>
                </c:pt>
                <c:pt idx="142">
                  <c:v>585.69960348209554</c:v>
                </c:pt>
                <c:pt idx="143">
                  <c:v>596.6283483221988</c:v>
                </c:pt>
                <c:pt idx="144">
                  <c:v>607.55293045876988</c:v>
                </c:pt>
                <c:pt idx="145">
                  <c:v>618.47343527689191</c:v>
                </c:pt>
                <c:pt idx="146">
                  <c:v>629.38994490116841</c:v>
                </c:pt>
                <c:pt idx="147">
                  <c:v>640.30253837581188</c:v>
                </c:pt>
                <c:pt idx="148">
                  <c:v>651.21129183182666</c:v>
                </c:pt>
                <c:pt idx="149">
                  <c:v>662.11627864240563</c:v>
                </c:pt>
                <c:pt idx="150">
                  <c:v>410.25891232631693</c:v>
                </c:pt>
                <c:pt idx="151">
                  <c:v>416.93235115607769</c:v>
                </c:pt>
                <c:pt idx="152">
                  <c:v>423.60348761898211</c:v>
                </c:pt>
                <c:pt idx="153">
                  <c:v>430.27236311544448</c:v>
                </c:pt>
                <c:pt idx="154">
                  <c:v>282.6023588125982</c:v>
                </c:pt>
                <c:pt idx="155">
                  <c:v>286.67220565892586</c:v>
                </c:pt>
                <c:pt idx="156">
                  <c:v>290.74075975339866</c:v>
                </c:pt>
                <c:pt idx="157">
                  <c:v>294.80804177162997</c:v>
                </c:pt>
                <c:pt idx="158">
                  <c:v>197.61056174383373</c:v>
                </c:pt>
                <c:pt idx="159">
                  <c:v>200.15752525879114</c:v>
                </c:pt>
                <c:pt idx="160">
                  <c:v>202.70373739936429</c:v>
                </c:pt>
                <c:pt idx="161">
                  <c:v>205.24920896259411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3.7138259221099683</c:v>
                </c:pt>
                <c:pt idx="2">
                  <c:v>4.7309108463624874</c:v>
                </c:pt>
                <c:pt idx="3">
                  <c:v>6.027617636452085</c:v>
                </c:pt>
                <c:pt idx="4">
                  <c:v>7.6810999806853788</c:v>
                </c:pt>
                <c:pt idx="5">
                  <c:v>9.7898716771095984</c:v>
                </c:pt>
                <c:pt idx="6">
                  <c:v>12.479738614015437</c:v>
                </c:pt>
                <c:pt idx="7">
                  <c:v>15.911382843284249</c:v>
                </c:pt>
                <c:pt idx="8">
                  <c:v>20.290060063507351</c:v>
                </c:pt>
                <c:pt idx="9">
                  <c:v>25.878000948864749</c:v>
                </c:pt>
                <c:pt idx="10">
                  <c:v>33.010272095467052</c:v>
                </c:pt>
                <c:pt idx="11">
                  <c:v>32.684411935370242</c:v>
                </c:pt>
                <c:pt idx="12">
                  <c:v>37.238716630922887</c:v>
                </c:pt>
                <c:pt idx="13">
                  <c:v>41.777822228146768</c:v>
                </c:pt>
                <c:pt idx="14">
                  <c:v>46.30362019347325</c:v>
                </c:pt>
                <c:pt idx="15">
                  <c:v>50.817599882933671</c:v>
                </c:pt>
                <c:pt idx="16">
                  <c:v>55.320963078589209</c:v>
                </c:pt>
                <c:pt idx="17">
                  <c:v>59.814698997625499</c:v>
                </c:pt>
                <c:pt idx="18">
                  <c:v>64.299635432173289</c:v>
                </c:pt>
                <c:pt idx="19">
                  <c:v>68.776474790283032</c:v>
                </c:pt>
                <c:pt idx="20">
                  <c:v>73.2458202116823</c:v>
                </c:pt>
                <c:pt idx="21">
                  <c:v>67.530132496249337</c:v>
                </c:pt>
                <c:pt idx="22">
                  <c:v>72.033422052926326</c:v>
                </c:pt>
                <c:pt idx="23">
                  <c:v>76.52950393433629</c:v>
                </c:pt>
                <c:pt idx="24">
                  <c:v>81.018862667556931</c:v>
                </c:pt>
                <c:pt idx="25">
                  <c:v>85.50192450968099</c:v>
                </c:pt>
                <c:pt idx="26">
                  <c:v>89.97906721617538</c:v>
                </c:pt>
                <c:pt idx="27">
                  <c:v>94.450627755787011</c:v>
                </c:pt>
                <c:pt idx="28">
                  <c:v>98.916908482647329</c:v>
                </c:pt>
                <c:pt idx="29">
                  <c:v>103.37818213140581</c:v>
                </c:pt>
                <c:pt idx="30">
                  <c:v>107.83469590208618</c:v>
                </c:pt>
                <c:pt idx="31">
                  <c:v>98.209823833104664</c:v>
                </c:pt>
                <c:pt idx="32">
                  <c:v>102.39775119701852</c:v>
                </c:pt>
                <c:pt idx="33">
                  <c:v>106.5814399340653</c:v>
                </c:pt>
                <c:pt idx="34">
                  <c:v>110.76108040465705</c:v>
                </c:pt>
                <c:pt idx="35">
                  <c:v>114.93684738519251</c:v>
                </c:pt>
                <c:pt idx="36">
                  <c:v>119.10890187710241</c:v>
                </c:pt>
                <c:pt idx="37">
                  <c:v>123.27739264841686</c:v>
                </c:pt>
                <c:pt idx="38">
                  <c:v>127.44245755531409</c:v>
                </c:pt>
                <c:pt idx="39">
                  <c:v>131.60422468138054</c:v>
                </c:pt>
                <c:pt idx="40">
                  <c:v>135.76281332482557</c:v>
                </c:pt>
                <c:pt idx="41">
                  <c:v>122.52165253275138</c:v>
                </c:pt>
                <c:pt idx="42">
                  <c:v>126.4775516908024</c:v>
                </c:pt>
                <c:pt idx="43">
                  <c:v>130.43045100417166</c:v>
                </c:pt>
                <c:pt idx="44">
                  <c:v>134.38045448347569</c:v>
                </c:pt>
                <c:pt idx="45">
                  <c:v>138.32765950780188</c:v>
                </c:pt>
                <c:pt idx="46">
                  <c:v>142.27215742917619</c:v>
                </c:pt>
                <c:pt idx="47">
                  <c:v>146.21403410631265</c:v>
                </c:pt>
                <c:pt idx="48">
                  <c:v>150.15337037764502</c:v>
                </c:pt>
                <c:pt idx="49">
                  <c:v>154.09024248199574</c:v>
                </c:pt>
                <c:pt idx="50">
                  <c:v>158.02472243389869</c:v>
                </c:pt>
                <c:pt idx="51">
                  <c:v>143.35982997558298</c:v>
                </c:pt>
                <c:pt idx="52">
                  <c:v>146.97701925683239</c:v>
                </c:pt>
                <c:pt idx="53">
                  <c:v>150.59208151761672</c:v>
                </c:pt>
                <c:pt idx="54">
                  <c:v>154.20507517228276</c:v>
                </c:pt>
                <c:pt idx="55">
                  <c:v>157.81605566672286</c:v>
                </c:pt>
                <c:pt idx="56">
                  <c:v>161.42507569530952</c:v>
                </c:pt>
                <c:pt idx="57">
                  <c:v>165.03218539736787</c:v>
                </c:pt>
                <c:pt idx="58">
                  <c:v>168.63743253553062</c:v>
                </c:pt>
                <c:pt idx="59">
                  <c:v>172.24086265800759</c:v>
                </c:pt>
                <c:pt idx="60">
                  <c:v>175.84251924653304</c:v>
                </c:pt>
                <c:pt idx="61">
                  <c:v>159.18270439481353</c:v>
                </c:pt>
                <c:pt idx="62">
                  <c:v>162.63460616317681</c:v>
                </c:pt>
                <c:pt idx="63">
                  <c:v>166.08477455421976</c:v>
                </c:pt>
                <c:pt idx="64">
                  <c:v>169.53325075999811</c:v>
                </c:pt>
                <c:pt idx="65">
                  <c:v>172.98007415540471</c:v>
                </c:pt>
                <c:pt idx="66">
                  <c:v>176.42528241380708</c:v>
                </c:pt>
                <c:pt idx="67">
                  <c:v>179.86891161315864</c:v>
                </c:pt>
                <c:pt idx="68">
                  <c:v>183.31099633354074</c:v>
                </c:pt>
                <c:pt idx="69">
                  <c:v>186.75156974697731</c:v>
                </c:pt>
                <c:pt idx="70">
                  <c:v>190.19066370027147</c:v>
                </c:pt>
                <c:pt idx="71">
                  <c:v>173.30280514466014</c:v>
                </c:pt>
                <c:pt idx="72">
                  <c:v>176.48771864103071</c:v>
                </c:pt>
                <c:pt idx="73">
                  <c:v>179.67128316138113</c:v>
                </c:pt>
                <c:pt idx="74">
                  <c:v>182.8535260485705</c:v>
                </c:pt>
                <c:pt idx="75">
                  <c:v>186.03447361348336</c:v>
                </c:pt>
                <c:pt idx="76">
                  <c:v>189.21415119138021</c:v>
                </c:pt>
                <c:pt idx="77">
                  <c:v>192.39258319425255</c:v>
                </c:pt>
                <c:pt idx="78">
                  <c:v>195.56979315952978</c:v>
                </c:pt>
                <c:pt idx="79">
                  <c:v>198.74580379544909</c:v>
                </c:pt>
                <c:pt idx="80">
                  <c:v>201.92063702336625</c:v>
                </c:pt>
                <c:pt idx="81">
                  <c:v>183.82042045372137</c:v>
                </c:pt>
                <c:pt idx="82">
                  <c:v>186.90745169437602</c:v>
                </c:pt>
                <c:pt idx="83">
                  <c:v>189.99329295620396</c:v>
                </c:pt>
                <c:pt idx="84">
                  <c:v>193.0779663477085</c:v>
                </c:pt>
                <c:pt idx="85">
                  <c:v>196.16149321143004</c:v>
                </c:pt>
                <c:pt idx="86">
                  <c:v>199.24389416239453</c:v>
                </c:pt>
                <c:pt idx="87">
                  <c:v>202.32518912405283</c:v>
                </c:pt>
                <c:pt idx="88">
                  <c:v>205.40539736191135</c:v>
                </c:pt>
                <c:pt idx="89">
                  <c:v>208.48453751503601</c:v>
                </c:pt>
                <c:pt idx="90">
                  <c:v>211.56262762559308</c:v>
                </c:pt>
                <c:pt idx="91">
                  <c:v>193.79444275011988</c:v>
                </c:pt>
                <c:pt idx="92">
                  <c:v>196.67011448980301</c:v>
                </c:pt>
                <c:pt idx="93">
                  <c:v>199.54480975549231</c:v>
                </c:pt>
                <c:pt idx="94">
                  <c:v>202.41854463860543</c:v>
                </c:pt>
                <c:pt idx="95">
                  <c:v>205.29133473515969</c:v>
                </c:pt>
                <c:pt idx="96">
                  <c:v>208.1631951679085</c:v>
                </c:pt>
                <c:pt idx="97">
                  <c:v>211.03414060719024</c:v>
                </c:pt>
                <c:pt idx="98">
                  <c:v>213.90418529058067</c:v>
                </c:pt>
                <c:pt idx="99">
                  <c:v>216.77334304143324</c:v>
                </c:pt>
                <c:pt idx="100">
                  <c:v>219.64162728638416</c:v>
                </c:pt>
                <c:pt idx="101">
                  <c:v>201.10110209400946</c:v>
                </c:pt>
                <c:pt idx="102">
                  <c:v>203.91209759056576</c:v>
                </c:pt>
                <c:pt idx="103">
                  <c:v>206.72219636824983</c:v>
                </c:pt>
                <c:pt idx="104">
                  <c:v>209.53141237012494</c:v>
                </c:pt>
                <c:pt idx="105">
                  <c:v>212.33975913389179</c:v>
                </c:pt>
                <c:pt idx="106">
                  <c:v>215.14724980900687</c:v>
                </c:pt>
                <c:pt idx="107">
                  <c:v>217.95389717285943</c:v>
                </c:pt>
                <c:pt idx="108">
                  <c:v>220.75971364606912</c:v>
                </c:pt>
                <c:pt idx="109">
                  <c:v>223.56471130696445</c:v>
                </c:pt>
                <c:pt idx="110">
                  <c:v>226.36890190529382</c:v>
                </c:pt>
                <c:pt idx="111">
                  <c:v>208.39124575488822</c:v>
                </c:pt>
                <c:pt idx="112">
                  <c:v>211.02377781170495</c:v>
                </c:pt>
                <c:pt idx="113">
                  <c:v>213.65555244851154</c:v>
                </c:pt>
                <c:pt idx="114">
                  <c:v>216.28658033714316</c:v>
                </c:pt>
                <c:pt idx="115">
                  <c:v>218.91687186793149</c:v>
                </c:pt>
                <c:pt idx="116">
                  <c:v>221.54643716050532</c:v>
                </c:pt>
                <c:pt idx="117">
                  <c:v>224.17528607404893</c:v>
                </c:pt>
                <c:pt idx="118">
                  <c:v>226.80342821705418</c:v>
                </c:pt>
                <c:pt idx="119">
                  <c:v>229.43087295659561</c:v>
                </c:pt>
                <c:pt idx="120">
                  <c:v>232.05762942715737</c:v>
                </c:pt>
                <c:pt idx="121">
                  <c:v>214.66040263138709</c:v>
                </c:pt>
                <c:pt idx="122">
                  <c:v>217.13580956686542</c:v>
                </c:pt>
                <c:pt idx="123">
                  <c:v>219.61056746835547</c:v>
                </c:pt>
                <c:pt idx="124">
                  <c:v>222.08468470180398</c:v>
                </c:pt>
                <c:pt idx="125">
                  <c:v>224.5581694310587</c:v>
                </c:pt>
                <c:pt idx="126">
                  <c:v>227.03102962497655</c:v>
                </c:pt>
                <c:pt idx="127">
                  <c:v>229.5032730642051</c:v>
                </c:pt>
                <c:pt idx="128">
                  <c:v>231.97490734765566</c:v>
                </c:pt>
                <c:pt idx="129">
                  <c:v>234.44593989868622</c:v>
                </c:pt>
                <c:pt idx="130">
                  <c:v>236.91637797100864</c:v>
                </c:pt>
                <c:pt idx="131">
                  <c:v>220.10751245497337</c:v>
                </c:pt>
                <c:pt idx="132">
                  <c:v>222.43659959290594</c:v>
                </c:pt>
                <c:pt idx="133">
                  <c:v>224.76512717398791</c:v>
                </c:pt>
                <c:pt idx="134">
                  <c:v>227.09310182902166</c:v>
                </c:pt>
                <c:pt idx="135">
                  <c:v>229.42053004141295</c:v>
                </c:pt>
                <c:pt idx="136">
                  <c:v>231.74741815194491</c:v>
                </c:pt>
                <c:pt idx="137">
                  <c:v>234.07377236335159</c:v>
                </c:pt>
                <c:pt idx="138">
                  <c:v>236.39959874469741</c:v>
                </c:pt>
                <c:pt idx="139">
                  <c:v>238.72490323557687</c:v>
                </c:pt>
                <c:pt idx="140">
                  <c:v>241.04969165014106</c:v>
                </c:pt>
                <c:pt idx="141">
                  <c:v>224.84790904766518</c:v>
                </c:pt>
                <c:pt idx="142">
                  <c:v>227.05172040284063</c:v>
                </c:pt>
                <c:pt idx="143">
                  <c:v>229.25504194720369</c:v>
                </c:pt>
                <c:pt idx="144">
                  <c:v>231.45787906540224</c:v>
                </c:pt>
                <c:pt idx="145">
                  <c:v>233.66023703095814</c:v>
                </c:pt>
                <c:pt idx="146">
                  <c:v>235.86212100961222</c:v>
                </c:pt>
                <c:pt idx="147">
                  <c:v>238.0635360625362</c:v>
                </c:pt>
                <c:pt idx="148">
                  <c:v>240.264487149421</c:v>
                </c:pt>
                <c:pt idx="149">
                  <c:v>242.4649791314439</c:v>
                </c:pt>
                <c:pt idx="150">
                  <c:v>244.66501677412418</c:v>
                </c:pt>
                <c:pt idx="151">
                  <c:v>2.3347705940945655E-12</c:v>
                </c:pt>
                <c:pt idx="152">
                  <c:v>2.3347705940945655E-12</c:v>
                </c:pt>
                <c:pt idx="153">
                  <c:v>2.3347705940945655E-12</c:v>
                </c:pt>
                <c:pt idx="154">
                  <c:v>2.3347705940945655E-12</c:v>
                </c:pt>
                <c:pt idx="155">
                  <c:v>2.3347705940945655E-12</c:v>
                </c:pt>
                <c:pt idx="156">
                  <c:v>2.3347705940945655E-12</c:v>
                </c:pt>
                <c:pt idx="157">
                  <c:v>2.3347705940945655E-12</c:v>
                </c:pt>
                <c:pt idx="158">
                  <c:v>2.3347705940945655E-12</c:v>
                </c:pt>
                <c:pt idx="159">
                  <c:v>2.3347705940945655E-12</c:v>
                </c:pt>
                <c:pt idx="160">
                  <c:v>2.3347705940945655E-12</c:v>
                </c:pt>
                <c:pt idx="161">
                  <c:v>2.3347705940945655E-12</c:v>
                </c:pt>
                <c:pt idx="162">
                  <c:v>2.3347705940945655E-12</c:v>
                </c:pt>
                <c:pt idx="163">
                  <c:v>2.3347705940945655E-12</c:v>
                </c:pt>
                <c:pt idx="164">
                  <c:v>2.3347705940945655E-12</c:v>
                </c:pt>
                <c:pt idx="165">
                  <c:v>2.3347705940945655E-12</c:v>
                </c:pt>
                <c:pt idx="166">
                  <c:v>2.3347705940945655E-12</c:v>
                </c:pt>
                <c:pt idx="167">
                  <c:v>2.3347705940945655E-12</c:v>
                </c:pt>
                <c:pt idx="168">
                  <c:v>2.3347705940945655E-12</c:v>
                </c:pt>
                <c:pt idx="169">
                  <c:v>2.3347705940945655E-12</c:v>
                </c:pt>
                <c:pt idx="170">
                  <c:v>2.3347705940945655E-12</c:v>
                </c:pt>
                <c:pt idx="171">
                  <c:v>2.3347705940945655E-12</c:v>
                </c:pt>
                <c:pt idx="172">
                  <c:v>2.3347705940945655E-12</c:v>
                </c:pt>
                <c:pt idx="173">
                  <c:v>2.3347705940945655E-12</c:v>
                </c:pt>
                <c:pt idx="174">
                  <c:v>2.3347705940945655E-12</c:v>
                </c:pt>
                <c:pt idx="175">
                  <c:v>2.3347705940945655E-12</c:v>
                </c:pt>
                <c:pt idx="176">
                  <c:v>2.3347705940945655E-12</c:v>
                </c:pt>
                <c:pt idx="177">
                  <c:v>2.3347705940945655E-12</c:v>
                </c:pt>
                <c:pt idx="178">
                  <c:v>2.3347705940945655E-12</c:v>
                </c:pt>
                <c:pt idx="179">
                  <c:v>2.3347705940945655E-12</c:v>
                </c:pt>
                <c:pt idx="180">
                  <c:v>2.3347705940945655E-12</c:v>
                </c:pt>
                <c:pt idx="181">
                  <c:v>2.3347705940945655E-12</c:v>
                </c:pt>
                <c:pt idx="182">
                  <c:v>2.3347705940945655E-12</c:v>
                </c:pt>
                <c:pt idx="183">
                  <c:v>2.3347705940945655E-12</c:v>
                </c:pt>
                <c:pt idx="184">
                  <c:v>2.3347705940945655E-12</c:v>
                </c:pt>
                <c:pt idx="185">
                  <c:v>2.3347705940945655E-12</c:v>
                </c:pt>
                <c:pt idx="186">
                  <c:v>2.3347705940945655E-12</c:v>
                </c:pt>
                <c:pt idx="187">
                  <c:v>2.3347705940945655E-12</c:v>
                </c:pt>
                <c:pt idx="188">
                  <c:v>2.3347705940945655E-12</c:v>
                </c:pt>
                <c:pt idx="189">
                  <c:v>2.3347705940945655E-12</c:v>
                </c:pt>
                <c:pt idx="190">
                  <c:v>2.3347705940945655E-12</c:v>
                </c:pt>
                <c:pt idx="191">
                  <c:v>2.3347705940945655E-12</c:v>
                </c:pt>
                <c:pt idx="192">
                  <c:v>2.3347705940945655E-12</c:v>
                </c:pt>
                <c:pt idx="193">
                  <c:v>2.3347705940945655E-12</c:v>
                </c:pt>
                <c:pt idx="194">
                  <c:v>2.3347705940945655E-12</c:v>
                </c:pt>
                <c:pt idx="195">
                  <c:v>2.3347705940945655E-12</c:v>
                </c:pt>
                <c:pt idx="196">
                  <c:v>2.3347705940945655E-12</c:v>
                </c:pt>
                <c:pt idx="197">
                  <c:v>2.3347705940945655E-12</c:v>
                </c:pt>
                <c:pt idx="198">
                  <c:v>2.3347705940945655E-12</c:v>
                </c:pt>
                <c:pt idx="199">
                  <c:v>2.3347705940945655E-12</c:v>
                </c:pt>
                <c:pt idx="200">
                  <c:v>2.3347705940945655E-12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21" sqref="E2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10.31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0.1</v>
      </c>
      <c r="D9" s="33">
        <f t="shared" ref="D9:D18" si="0">C9*$C$5</f>
        <v>1.0310000000000001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22</v>
      </c>
      <c r="C10" s="32">
        <v>0.05</v>
      </c>
      <c r="D10" s="33">
        <f t="shared" si="0"/>
        <v>0.51550000000000007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35</v>
      </c>
      <c r="C11" s="32">
        <v>0.05</v>
      </c>
      <c r="D11" s="33">
        <f t="shared" si="0"/>
        <v>0.51550000000000007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35</v>
      </c>
      <c r="C12" s="32">
        <v>0.28999999999999998</v>
      </c>
      <c r="D12" s="33">
        <f t="shared" si="0"/>
        <v>2.9899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50</v>
      </c>
      <c r="C13" s="32">
        <v>0.05</v>
      </c>
      <c r="D13" s="33">
        <f t="shared" si="0"/>
        <v>0.51550000000000007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50</v>
      </c>
      <c r="C14" s="32">
        <v>0.16</v>
      </c>
      <c r="D14" s="33">
        <f t="shared" si="0"/>
        <v>1.6496000000000002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325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12</v>
      </c>
      <c r="C15" s="32">
        <v>0.15</v>
      </c>
      <c r="D15" s="33">
        <f t="shared" si="0"/>
        <v>1.5465</v>
      </c>
      <c r="E15" s="34">
        <v>161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39</v>
      </c>
      <c r="C16" s="32">
        <v>0.15</v>
      </c>
      <c r="D16" s="33">
        <f t="shared" si="0"/>
        <v>1.5465</v>
      </c>
      <c r="E16" s="34">
        <v>150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326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10.31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30</v>
      </c>
      <c r="B36" s="60">
        <f>190.14/1.56</f>
        <v>121.88461538461537</v>
      </c>
      <c r="C36" s="60"/>
      <c r="D36" s="60"/>
      <c r="E36" s="51"/>
      <c r="F36" s="51"/>
      <c r="G36" s="51"/>
      <c r="H36" s="51"/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35</v>
      </c>
      <c r="B37" s="60">
        <f>252.98/1.56</f>
        <v>162.16666666666666</v>
      </c>
      <c r="C37" s="60">
        <v>1</v>
      </c>
      <c r="D37" s="60">
        <f>94.54/1.56</f>
        <v>60.602564102564102</v>
      </c>
      <c r="E37" s="51"/>
      <c r="F37" s="51"/>
      <c r="G37" s="51"/>
      <c r="H37" s="51"/>
      <c r="I37" s="53">
        <f t="shared" ref="I37:I55" si="1">IF(A37&lt;&gt;0,(B37-(B36-D36))/(A37-A36),"")</f>
        <v>8.0564102564102562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41</v>
      </c>
      <c r="B38" s="60">
        <f>245.62/1.56</f>
        <v>157.44871794871796</v>
      </c>
      <c r="C38" s="60">
        <v>2</v>
      </c>
      <c r="D38" s="60">
        <f>60.08/1.56</f>
        <v>38.512820512820511</v>
      </c>
      <c r="E38" s="51"/>
      <c r="F38" s="51"/>
      <c r="G38" s="51"/>
      <c r="H38" s="51"/>
      <c r="I38" s="53">
        <f t="shared" si="1"/>
        <v>9.3141025641025674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48</v>
      </c>
      <c r="B39" s="60">
        <f>287.59/1.56</f>
        <v>184.35256410256409</v>
      </c>
      <c r="C39" s="60">
        <v>3</v>
      </c>
      <c r="D39" s="60">
        <f>74.92/1.56</f>
        <v>48.025641025641022</v>
      </c>
      <c r="E39" s="51"/>
      <c r="F39" s="51"/>
      <c r="G39" s="51"/>
      <c r="H39" s="51"/>
      <c r="I39" s="49">
        <f t="shared" si="1"/>
        <v>9.3452380952380913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55</v>
      </c>
      <c r="B40" s="60">
        <f>309.57/1.56</f>
        <v>198.44230769230768</v>
      </c>
      <c r="C40" s="60">
        <v>4</v>
      </c>
      <c r="D40" s="60">
        <f>70.43/1.56</f>
        <v>45.147435897435898</v>
      </c>
      <c r="E40" s="51"/>
      <c r="F40" s="51"/>
      <c r="G40" s="51"/>
      <c r="H40" s="51"/>
      <c r="I40" s="49">
        <f t="shared" si="1"/>
        <v>8.8736263736263741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63</v>
      </c>
      <c r="B41" s="60">
        <f>343.65/1.56</f>
        <v>220.28846153846152</v>
      </c>
      <c r="C41" s="60">
        <v>5</v>
      </c>
      <c r="D41" s="60">
        <f>65.09/1.56</f>
        <v>41.724358974358978</v>
      </c>
      <c r="E41" s="51"/>
      <c r="F41" s="51"/>
      <c r="G41" s="51"/>
      <c r="H41" s="51"/>
      <c r="I41" s="53">
        <f t="shared" si="1"/>
        <v>8.374198717948719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71</v>
      </c>
      <c r="B42" s="60">
        <f>379.65/1.56</f>
        <v>243.36538461538458</v>
      </c>
      <c r="C42" s="60">
        <v>6</v>
      </c>
      <c r="D42" s="60">
        <f>62.3/1.56</f>
        <v>39.935897435897431</v>
      </c>
      <c r="E42" s="51"/>
      <c r="F42" s="51"/>
      <c r="G42" s="51"/>
      <c r="H42" s="51"/>
      <c r="I42" s="53">
        <f t="shared" si="1"/>
        <v>8.1001602564102555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f>427.46/1.56</f>
        <v>274.0128205128205</v>
      </c>
      <c r="C43" s="60">
        <v>7</v>
      </c>
      <c r="D43" s="60">
        <f>71.15/1.56</f>
        <v>45.608974358974358</v>
      </c>
      <c r="E43" s="51"/>
      <c r="F43" s="51"/>
      <c r="G43" s="51"/>
      <c r="H43" s="51"/>
      <c r="I43" s="49">
        <f t="shared" si="1"/>
        <v>7.8425925925925934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89</v>
      </c>
      <c r="B44" s="60">
        <f>461.54/1.56</f>
        <v>295.85897435897436</v>
      </c>
      <c r="C44" s="60">
        <v>8</v>
      </c>
      <c r="D44" s="60">
        <f>77.05/1.56</f>
        <v>49.391025641025635</v>
      </c>
      <c r="E44" s="51"/>
      <c r="F44" s="51"/>
      <c r="G44" s="51"/>
      <c r="H44" s="51"/>
      <c r="I44" s="49">
        <f t="shared" si="1"/>
        <v>7.4950142450142483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99</v>
      </c>
      <c r="B45" s="60">
        <f>496.47/1.56</f>
        <v>318.25</v>
      </c>
      <c r="C45" s="60">
        <v>9</v>
      </c>
      <c r="D45" s="60">
        <f>74.91/1.56</f>
        <v>48.019230769230766</v>
      </c>
      <c r="E45" s="51"/>
      <c r="F45" s="51"/>
      <c r="G45" s="51"/>
      <c r="H45" s="51"/>
      <c r="I45" s="49">
        <f t="shared" si="1"/>
        <v>7.1782051282051267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109</v>
      </c>
      <c r="B46" s="60">
        <f>530.66/1.56</f>
        <v>340.16666666666663</v>
      </c>
      <c r="C46" s="60">
        <v>10</v>
      </c>
      <c r="D46" s="60">
        <f>80.01/1.56</f>
        <v>51.28846153846154</v>
      </c>
      <c r="E46" s="51"/>
      <c r="F46" s="51"/>
      <c r="G46" s="51"/>
      <c r="H46" s="51"/>
      <c r="I46" s="49">
        <f t="shared" si="1"/>
        <v>6.9935897435897401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119</v>
      </c>
      <c r="B47" s="60">
        <f>557.45/1.56</f>
        <v>357.33974358974359</v>
      </c>
      <c r="C47" s="60">
        <v>11</v>
      </c>
      <c r="D47" s="60">
        <f>234.04/1.56</f>
        <v>150.02564102564102</v>
      </c>
      <c r="E47" s="51"/>
      <c r="F47" s="51"/>
      <c r="G47" s="51"/>
      <c r="H47" s="51"/>
      <c r="I47" s="49">
        <f t="shared" si="1"/>
        <v>6.8461538461538511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123</v>
      </c>
      <c r="B48" s="60">
        <f>347.31/1.56</f>
        <v>222.63461538461539</v>
      </c>
      <c r="C48" s="60">
        <v>12</v>
      </c>
      <c r="D48" s="60">
        <f>120.39/1.56</f>
        <v>77.17307692307692</v>
      </c>
      <c r="E48" s="51"/>
      <c r="F48" s="51"/>
      <c r="G48" s="51"/>
      <c r="H48" s="51"/>
      <c r="I48" s="49">
        <f t="shared" si="1"/>
        <v>3.8301282051282044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127</v>
      </c>
      <c r="B49" s="60">
        <f>241.49/1.56</f>
        <v>154.80128205128204</v>
      </c>
      <c r="C49" s="60">
        <v>13</v>
      </c>
      <c r="D49" s="60">
        <f>77.87/1.56</f>
        <v>49.916666666666671</v>
      </c>
      <c r="E49" s="51"/>
      <c r="F49" s="51"/>
      <c r="G49" s="51"/>
      <c r="H49" s="51"/>
      <c r="I49" s="49">
        <f t="shared" si="1"/>
        <v>2.3349358974358978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131</v>
      </c>
      <c r="B50" s="50">
        <f>173.02/1.56</f>
        <v>110.91025641025641</v>
      </c>
      <c r="C50" s="50">
        <v>14</v>
      </c>
      <c r="D50" s="50">
        <f>173.02/1.56</f>
        <v>110.91025641025641</v>
      </c>
      <c r="E50" s="51"/>
      <c r="F50" s="51"/>
      <c r="G50" s="51"/>
      <c r="H50" s="51"/>
      <c r="I50" s="49">
        <f t="shared" si="1"/>
        <v>1.5064102564102591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Erable plane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11</v>
      </c>
      <c r="C62" s="60"/>
      <c r="D62" s="60"/>
      <c r="E62" s="51"/>
      <c r="F62" s="51">
        <v>0.25</v>
      </c>
      <c r="G62" s="51">
        <v>0.25</v>
      </c>
      <c r="H62" s="51">
        <v>0.5</v>
      </c>
      <c r="I62" s="53">
        <f>IFERROR(B62/A62,"")</f>
        <v>1.1000000000000001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134</v>
      </c>
      <c r="C63" s="60">
        <v>1</v>
      </c>
      <c r="D63" s="60">
        <f>32+35</f>
        <v>67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12.3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212</v>
      </c>
      <c r="C64" s="60">
        <v>2</v>
      </c>
      <c r="D64" s="60">
        <f>35+35</f>
        <v>70</v>
      </c>
      <c r="E64" s="51">
        <v>0.1</v>
      </c>
      <c r="F64" s="51">
        <v>0.45</v>
      </c>
      <c r="G64" s="51">
        <v>0.45</v>
      </c>
      <c r="H64" s="51"/>
      <c r="I64" s="49">
        <f>IF(A64&lt;&gt;0,(B64-(B63-D63))/(A64-A63),"")</f>
        <v>14.5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263</v>
      </c>
      <c r="C65" s="60">
        <v>3</v>
      </c>
      <c r="D65" s="60">
        <f>35+35</f>
        <v>70</v>
      </c>
      <c r="E65" s="51"/>
      <c r="F65" s="51"/>
      <c r="G65" s="51"/>
      <c r="H65" s="51"/>
      <c r="I65" s="49">
        <f>IF(A65&lt;&gt;0,(B65-(B64-D64))/(A65-A64),"")</f>
        <v>12.1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50</v>
      </c>
      <c r="B66" s="60">
        <v>285</v>
      </c>
      <c r="C66" s="60">
        <v>4</v>
      </c>
      <c r="D66" s="60">
        <f>24+19</f>
        <v>43</v>
      </c>
      <c r="E66" s="51"/>
      <c r="F66" s="51"/>
      <c r="G66" s="51"/>
      <c r="H66" s="51"/>
      <c r="I66" s="49">
        <f t="shared" ref="I66:I81" si="2">IF(A66&lt;&gt;0,(B66-(B65-D65))/(A66-A65),"")</f>
        <v>9.1999999999999993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60</v>
      </c>
      <c r="B67" s="60">
        <v>310</v>
      </c>
      <c r="C67" s="60">
        <v>5</v>
      </c>
      <c r="D67" s="60">
        <f>16+14</f>
        <v>30</v>
      </c>
      <c r="E67" s="51"/>
      <c r="F67" s="51"/>
      <c r="G67" s="51"/>
      <c r="H67" s="51"/>
      <c r="I67" s="49">
        <f t="shared" si="2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70</v>
      </c>
      <c r="B68" s="60">
        <v>329</v>
      </c>
      <c r="C68" s="60">
        <v>6</v>
      </c>
      <c r="D68" s="60">
        <f>13+13</f>
        <v>26</v>
      </c>
      <c r="E68" s="51"/>
      <c r="F68" s="51"/>
      <c r="G68" s="51"/>
      <c r="H68" s="51"/>
      <c r="I68" s="49">
        <f t="shared" si="2"/>
        <v>4.9000000000000004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80</v>
      </c>
      <c r="B69" s="50">
        <f>319+12+11</f>
        <v>342</v>
      </c>
      <c r="C69" s="50">
        <v>7</v>
      </c>
      <c r="D69" s="50">
        <f>B69</f>
        <v>342</v>
      </c>
      <c r="E69" s="51"/>
      <c r="F69" s="51"/>
      <c r="G69" s="51"/>
      <c r="H69" s="51"/>
      <c r="I69" s="49">
        <f t="shared" si="2"/>
        <v>3.9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f>77+29</f>
        <v>106</v>
      </c>
      <c r="C88" s="60">
        <v>1</v>
      </c>
      <c r="D88" s="60">
        <v>29</v>
      </c>
      <c r="E88" s="51"/>
      <c r="F88" s="51">
        <v>0.5</v>
      </c>
      <c r="G88" s="51">
        <v>0.5</v>
      </c>
      <c r="H88" s="87"/>
      <c r="I88" s="53">
        <f>IFERROR(B88/A88,"")</f>
        <v>5.3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159+71</f>
        <v>230</v>
      </c>
      <c r="C89" s="60">
        <v>2</v>
      </c>
      <c r="D89" s="60">
        <v>71</v>
      </c>
      <c r="E89" s="51">
        <v>0.1</v>
      </c>
      <c r="F89" s="51">
        <v>0.45</v>
      </c>
      <c r="G89" s="51">
        <v>0.45</v>
      </c>
      <c r="H89" s="87"/>
      <c r="I89" s="53">
        <f t="shared" ref="I89:I107" si="3">IF(A89&lt;&gt;0,(B89-(B88-D88))/(A89-A88),"")</f>
        <v>15.3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246+95</f>
        <v>341</v>
      </c>
      <c r="C90" s="60">
        <v>3</v>
      </c>
      <c r="D90" s="60">
        <v>95</v>
      </c>
      <c r="E90" s="87"/>
      <c r="F90" s="87"/>
      <c r="G90" s="87"/>
      <c r="H90" s="87"/>
      <c r="I90" s="53">
        <f t="shared" si="3"/>
        <v>18.2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328+107</f>
        <v>435</v>
      </c>
      <c r="C91" s="60">
        <v>4</v>
      </c>
      <c r="D91" s="60">
        <v>107</v>
      </c>
      <c r="E91" s="87"/>
      <c r="F91" s="87"/>
      <c r="G91" s="87"/>
      <c r="H91" s="87"/>
      <c r="I91" s="53">
        <f t="shared" si="3"/>
        <v>18.899999999999999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400+108</f>
        <v>508</v>
      </c>
      <c r="C92" s="60">
        <v>5</v>
      </c>
      <c r="D92" s="60">
        <v>108</v>
      </c>
      <c r="E92" s="87"/>
      <c r="F92" s="87"/>
      <c r="G92" s="87"/>
      <c r="H92" s="87"/>
      <c r="I92" s="53">
        <f t="shared" si="3"/>
        <v>18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461+103</f>
        <v>564</v>
      </c>
      <c r="C93" s="60">
        <v>6</v>
      </c>
      <c r="D93" s="60">
        <v>103</v>
      </c>
      <c r="E93" s="87"/>
      <c r="F93" s="87"/>
      <c r="G93" s="87"/>
      <c r="H93" s="87"/>
      <c r="I93" s="53">
        <f t="shared" si="3"/>
        <v>16.399999999999999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512+94</f>
        <v>606</v>
      </c>
      <c r="C94" s="60">
        <v>7</v>
      </c>
      <c r="D94" s="60">
        <v>94</v>
      </c>
      <c r="E94" s="87"/>
      <c r="F94" s="87"/>
      <c r="G94" s="87"/>
      <c r="H94" s="87"/>
      <c r="I94" s="53">
        <f t="shared" si="3"/>
        <v>14.5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f>554+83</f>
        <v>637</v>
      </c>
      <c r="C95" s="60">
        <v>8</v>
      </c>
      <c r="D95" s="60">
        <v>83</v>
      </c>
      <c r="E95" s="87"/>
      <c r="F95" s="87"/>
      <c r="G95" s="87"/>
      <c r="H95" s="87"/>
      <c r="I95" s="53">
        <f t="shared" si="3"/>
        <v>12.5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f>67+20</f>
        <v>87</v>
      </c>
      <c r="C114" s="50">
        <v>1</v>
      </c>
      <c r="D114" s="60">
        <v>20</v>
      </c>
      <c r="E114" s="51"/>
      <c r="F114" s="51">
        <v>0.5</v>
      </c>
      <c r="G114" s="51">
        <v>0.5</v>
      </c>
      <c r="H114" s="51"/>
      <c r="I114" s="53">
        <f>IFERROR(B114/A114,"")</f>
        <v>4.3499999999999996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140+60</f>
        <v>200</v>
      </c>
      <c r="C115" s="50">
        <v>2</v>
      </c>
      <c r="D115" s="60">
        <v>60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4">IF(A115&lt;&gt;0,(B115-(B114-D114))/(A115-A114),"")</f>
        <v>13.3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218+79</f>
        <v>297</v>
      </c>
      <c r="C116" s="50">
        <v>3</v>
      </c>
      <c r="D116" s="60">
        <v>79</v>
      </c>
      <c r="E116" s="51"/>
      <c r="F116" s="51"/>
      <c r="G116" s="51"/>
      <c r="H116" s="51"/>
      <c r="I116" s="53">
        <f t="shared" si="4"/>
        <v>15.7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291+89</f>
        <v>380</v>
      </c>
      <c r="C117" s="50">
        <v>4</v>
      </c>
      <c r="D117" s="60">
        <v>89</v>
      </c>
      <c r="E117" s="51"/>
      <c r="F117" s="51"/>
      <c r="G117" s="51"/>
      <c r="H117" s="51"/>
      <c r="I117" s="53">
        <f t="shared" si="4"/>
        <v>16.2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357+90</f>
        <v>447</v>
      </c>
      <c r="C118" s="50">
        <v>5</v>
      </c>
      <c r="D118" s="60">
        <v>90</v>
      </c>
      <c r="E118" s="51"/>
      <c r="F118" s="51"/>
      <c r="G118" s="51"/>
      <c r="H118" s="51"/>
      <c r="I118" s="53">
        <f t="shared" si="4"/>
        <v>15.6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412+86</f>
        <v>498</v>
      </c>
      <c r="C119" s="50">
        <v>6</v>
      </c>
      <c r="D119" s="60">
        <v>86</v>
      </c>
      <c r="E119" s="51"/>
      <c r="F119" s="51"/>
      <c r="G119" s="51"/>
      <c r="H119" s="51"/>
      <c r="I119" s="53">
        <f t="shared" si="4"/>
        <v>14.1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459+78</f>
        <v>537</v>
      </c>
      <c r="C120" s="60">
        <v>7</v>
      </c>
      <c r="D120" s="60">
        <v>78</v>
      </c>
      <c r="E120" s="87"/>
      <c r="F120" s="87"/>
      <c r="G120" s="87"/>
      <c r="H120" s="87"/>
      <c r="I120" s="53">
        <f t="shared" si="4"/>
        <v>12.5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f>497+70</f>
        <v>567</v>
      </c>
      <c r="C121" s="60">
        <v>8</v>
      </c>
      <c r="D121" s="60">
        <v>70</v>
      </c>
      <c r="E121" s="87"/>
      <c r="F121" s="87"/>
      <c r="G121" s="87"/>
      <c r="H121" s="87"/>
      <c r="I121" s="53">
        <f t="shared" si="4"/>
        <v>10.8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Tilleul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v>11</v>
      </c>
      <c r="C140" s="50"/>
      <c r="D140" s="60"/>
      <c r="E140" s="51"/>
      <c r="F140" s="51">
        <v>0.25</v>
      </c>
      <c r="G140" s="51">
        <v>0.25</v>
      </c>
      <c r="H140" s="51">
        <v>0.5</v>
      </c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134</v>
      </c>
      <c r="C141" s="50">
        <v>1</v>
      </c>
      <c r="D141" s="60">
        <f>32+35</f>
        <v>67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12.3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212</v>
      </c>
      <c r="C142" s="50">
        <v>2</v>
      </c>
      <c r="D142" s="60">
        <f>35+35</f>
        <v>70</v>
      </c>
      <c r="E142" s="51">
        <v>0.1</v>
      </c>
      <c r="F142" s="51">
        <v>0.45</v>
      </c>
      <c r="G142" s="51">
        <v>0.45</v>
      </c>
      <c r="H142" s="51"/>
      <c r="I142" s="57">
        <f t="shared" si="5"/>
        <v>14.5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40</v>
      </c>
      <c r="B143" s="60">
        <v>263</v>
      </c>
      <c r="C143" s="50">
        <v>3</v>
      </c>
      <c r="D143" s="60">
        <f>35+35</f>
        <v>70</v>
      </c>
      <c r="E143" s="51"/>
      <c r="F143" s="51"/>
      <c r="G143" s="51"/>
      <c r="H143" s="51"/>
      <c r="I143" s="57">
        <f t="shared" si="5"/>
        <v>12.1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50</v>
      </c>
      <c r="B144" s="60">
        <v>285</v>
      </c>
      <c r="C144" s="50">
        <v>4</v>
      </c>
      <c r="D144" s="60">
        <f>24+19</f>
        <v>43</v>
      </c>
      <c r="E144" s="51"/>
      <c r="F144" s="51"/>
      <c r="G144" s="51"/>
      <c r="H144" s="51"/>
      <c r="I144" s="57">
        <f t="shared" si="5"/>
        <v>9.1999999999999993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60</v>
      </c>
      <c r="B145" s="60">
        <v>310</v>
      </c>
      <c r="C145" s="50">
        <v>5</v>
      </c>
      <c r="D145" s="60">
        <f>16+14</f>
        <v>30</v>
      </c>
      <c r="E145" s="51"/>
      <c r="F145" s="51"/>
      <c r="G145" s="51"/>
      <c r="H145" s="51"/>
      <c r="I145" s="57">
        <f t="shared" si="5"/>
        <v>6.8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70</v>
      </c>
      <c r="B146" s="60">
        <v>329</v>
      </c>
      <c r="C146" s="50">
        <v>6</v>
      </c>
      <c r="D146" s="60">
        <f>13+13</f>
        <v>26</v>
      </c>
      <c r="E146" s="51"/>
      <c r="F146" s="51"/>
      <c r="G146" s="51"/>
      <c r="H146" s="51"/>
      <c r="I146" s="57">
        <f t="shared" si="5"/>
        <v>4.9000000000000004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80</v>
      </c>
      <c r="B147" s="60">
        <f>319+12+11</f>
        <v>342</v>
      </c>
      <c r="C147" s="50">
        <v>7</v>
      </c>
      <c r="D147" s="60">
        <f>B147</f>
        <v>342</v>
      </c>
      <c r="E147" s="51"/>
      <c r="F147" s="51"/>
      <c r="G147" s="51"/>
      <c r="H147" s="51"/>
      <c r="I147" s="57">
        <f>IF(A147&lt;&gt;0,(B147-(B146-D146))/(A147-A146),"")</f>
        <v>3.9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Tilleul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95</v>
      </c>
      <c r="C166" s="60">
        <v>1</v>
      </c>
      <c r="D166" s="60">
        <f>15+28</f>
        <v>43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4.75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174</v>
      </c>
      <c r="C167" s="60">
        <v>2</v>
      </c>
      <c r="D167" s="60">
        <f>28+28</f>
        <v>56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12.2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220</v>
      </c>
      <c r="C168" s="60">
        <v>3</v>
      </c>
      <c r="D168" s="60">
        <f>28+28</f>
        <v>56</v>
      </c>
      <c r="E168" s="51"/>
      <c r="F168" s="51"/>
      <c r="G168" s="51"/>
      <c r="H168" s="51"/>
      <c r="I168" s="49">
        <f t="shared" si="6"/>
        <v>10.199999999999999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241</v>
      </c>
      <c r="C169" s="60">
        <v>4</v>
      </c>
      <c r="D169" s="60">
        <f>22+17</f>
        <v>39</v>
      </c>
      <c r="E169" s="51"/>
      <c r="F169" s="51"/>
      <c r="G169" s="51"/>
      <c r="H169" s="51"/>
      <c r="I169" s="49">
        <f t="shared" si="6"/>
        <v>7.7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258</v>
      </c>
      <c r="C170" s="60">
        <v>5</v>
      </c>
      <c r="D170" s="60">
        <f>13+12</f>
        <v>25</v>
      </c>
      <c r="E170" s="51"/>
      <c r="F170" s="51"/>
      <c r="G170" s="51"/>
      <c r="H170" s="51"/>
      <c r="I170" s="49">
        <f t="shared" si="6"/>
        <v>5.6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274</v>
      </c>
      <c r="C171" s="60">
        <v>6</v>
      </c>
      <c r="D171" s="60">
        <f>11+10</f>
        <v>21</v>
      </c>
      <c r="E171" s="51"/>
      <c r="F171" s="51"/>
      <c r="G171" s="51"/>
      <c r="H171" s="51"/>
      <c r="I171" s="49">
        <f t="shared" si="6"/>
        <v>4.0999999999999996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f>267+9+8</f>
        <v>284</v>
      </c>
      <c r="C172" s="60">
        <v>7</v>
      </c>
      <c r="D172" s="60">
        <f>B172</f>
        <v>284</v>
      </c>
      <c r="E172" s="51"/>
      <c r="F172" s="51"/>
      <c r="G172" s="51"/>
      <c r="H172" s="51"/>
      <c r="I172" s="49">
        <f t="shared" si="6"/>
        <v>3.1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Chêne pubescent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30</v>
      </c>
      <c r="B192" s="60">
        <f>136.82/1.56</f>
        <v>87.705128205128204</v>
      </c>
      <c r="C192" s="60"/>
      <c r="D192" s="60"/>
      <c r="E192" s="51"/>
      <c r="F192" s="51"/>
      <c r="G192" s="51"/>
      <c r="H192" s="51"/>
      <c r="I192" s="49">
        <f>IFERROR(B192/A192,"")</f>
        <v>2.9235042735042733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44</v>
      </c>
      <c r="B193" s="60">
        <f>253.38/1.56</f>
        <v>162.42307692307691</v>
      </c>
      <c r="C193" s="60">
        <v>1</v>
      </c>
      <c r="D193" s="60">
        <f>100.49/1.56</f>
        <v>64.416666666666657</v>
      </c>
      <c r="E193" s="51"/>
      <c r="F193" s="51"/>
      <c r="G193" s="51"/>
      <c r="H193" s="51"/>
      <c r="I193" s="49">
        <f t="shared" ref="I193:I211" si="7">IF(A193&lt;&gt;0,(B193-(B192-D192))/(A193-A192),"")</f>
        <v>5.3369963369963358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51</v>
      </c>
      <c r="B194" s="60">
        <f>227.43/1.56</f>
        <v>145.78846153846155</v>
      </c>
      <c r="C194" s="60">
        <v>2</v>
      </c>
      <c r="D194" s="60">
        <f>58.79/1.56</f>
        <v>37.685897435897431</v>
      </c>
      <c r="E194" s="51"/>
      <c r="F194" s="51"/>
      <c r="G194" s="51"/>
      <c r="H194" s="51"/>
      <c r="I194" s="49">
        <f t="shared" si="7"/>
        <v>6.8260073260073284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59</v>
      </c>
      <c r="B195" s="60">
        <f>248.44/1.56</f>
        <v>159.25641025641025</v>
      </c>
      <c r="C195" s="60">
        <v>3</v>
      </c>
      <c r="D195" s="60">
        <f>60.75/1.56</f>
        <v>38.942307692307693</v>
      </c>
      <c r="E195" s="51"/>
      <c r="F195" s="51"/>
      <c r="G195" s="51"/>
      <c r="H195" s="51"/>
      <c r="I195" s="49">
        <f t="shared" si="7"/>
        <v>6.3942307692307665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67</v>
      </c>
      <c r="B196" s="60">
        <f>261.86/1.56</f>
        <v>167.85897435897436</v>
      </c>
      <c r="C196" s="60">
        <v>4</v>
      </c>
      <c r="D196" s="60">
        <f>49.91/1.56</f>
        <v>31.993589743589741</v>
      </c>
      <c r="E196" s="51"/>
      <c r="F196" s="51"/>
      <c r="G196" s="51"/>
      <c r="H196" s="51"/>
      <c r="I196" s="49">
        <f t="shared" si="7"/>
        <v>5.9431089743589762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75</v>
      </c>
      <c r="B197" s="60">
        <f>282.96/1.56</f>
        <v>181.38461538461536</v>
      </c>
      <c r="C197" s="60">
        <v>5</v>
      </c>
      <c r="D197" s="60">
        <f>48.23/1.56</f>
        <v>30.916666666666664</v>
      </c>
      <c r="E197" s="51"/>
      <c r="F197" s="51"/>
      <c r="G197" s="51"/>
      <c r="H197" s="51"/>
      <c r="I197" s="49">
        <f t="shared" si="7"/>
        <v>5.6899038461538431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84</v>
      </c>
      <c r="B198" s="60">
        <f>312.01/1.56</f>
        <v>200.00641025641025</v>
      </c>
      <c r="C198" s="60">
        <v>6</v>
      </c>
      <c r="D198" s="60">
        <f>54.73/1.56</f>
        <v>35.083333333333329</v>
      </c>
      <c r="E198" s="51"/>
      <c r="F198" s="51"/>
      <c r="G198" s="51"/>
      <c r="H198" s="51"/>
      <c r="I198" s="49">
        <f t="shared" si="7"/>
        <v>5.5042735042735051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93</v>
      </c>
      <c r="B199" s="50">
        <f>331.14/1.56</f>
        <v>212.26923076923075</v>
      </c>
      <c r="C199" s="50">
        <v>7</v>
      </c>
      <c r="D199" s="50">
        <f>46.93/1.56</f>
        <v>30.083333333333332</v>
      </c>
      <c r="E199" s="51"/>
      <c r="F199" s="51"/>
      <c r="G199" s="51"/>
      <c r="H199" s="51"/>
      <c r="I199" s="49">
        <f t="shared" si="7"/>
        <v>5.2606837606837598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103</v>
      </c>
      <c r="B200" s="50">
        <f>366.24/1.56</f>
        <v>234.76923076923077</v>
      </c>
      <c r="C200" s="50">
        <v>8</v>
      </c>
      <c r="D200" s="50">
        <f>61.64/1.56</f>
        <v>39.512820512820511</v>
      </c>
      <c r="E200" s="51"/>
      <c r="F200" s="51"/>
      <c r="G200" s="51"/>
      <c r="H200" s="51"/>
      <c r="I200" s="49">
        <f t="shared" si="7"/>
        <v>5.2583333333333373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113</v>
      </c>
      <c r="B201" s="50">
        <f>384.1/1.56</f>
        <v>246.21794871794873</v>
      </c>
      <c r="C201" s="50">
        <v>9</v>
      </c>
      <c r="D201" s="50">
        <f>49.3/1.56</f>
        <v>31.602564102564099</v>
      </c>
      <c r="E201" s="51"/>
      <c r="F201" s="51"/>
      <c r="G201" s="51"/>
      <c r="H201" s="51"/>
      <c r="I201" s="49">
        <f t="shared" si="7"/>
        <v>5.0961538461538449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125</v>
      </c>
      <c r="B202" s="50">
        <f>434.14/1.56</f>
        <v>278.29487179487177</v>
      </c>
      <c r="C202" s="50">
        <v>10</v>
      </c>
      <c r="D202" s="50">
        <f>75.13/1.56</f>
        <v>48.160256410256409</v>
      </c>
      <c r="E202" s="51"/>
      <c r="F202" s="51"/>
      <c r="G202" s="51"/>
      <c r="H202" s="51"/>
      <c r="I202" s="49">
        <f t="shared" si="7"/>
        <v>5.3066239316239274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137</v>
      </c>
      <c r="B203" s="50">
        <f>457.19/1.56</f>
        <v>293.07051282051282</v>
      </c>
      <c r="C203" s="50">
        <v>11</v>
      </c>
      <c r="D203" s="50">
        <f>79.81/1.56</f>
        <v>51.160256410256409</v>
      </c>
      <c r="E203" s="51"/>
      <c r="F203" s="51"/>
      <c r="G203" s="51"/>
      <c r="H203" s="51"/>
      <c r="I203" s="49">
        <f t="shared" si="7"/>
        <v>5.2446581196581219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>
        <v>149</v>
      </c>
      <c r="B204" s="50">
        <f>472.97/1.56</f>
        <v>303.18589743589746</v>
      </c>
      <c r="C204" s="50">
        <v>12</v>
      </c>
      <c r="D204" s="50">
        <f>187.99/1.56</f>
        <v>120.50641025641026</v>
      </c>
      <c r="E204" s="51"/>
      <c r="F204" s="51"/>
      <c r="G204" s="51"/>
      <c r="H204" s="51"/>
      <c r="I204" s="49">
        <f t="shared" si="7"/>
        <v>5.1063034188034209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>
        <v>153</v>
      </c>
      <c r="B205" s="50">
        <f>304.29/1.56</f>
        <v>195.05769230769232</v>
      </c>
      <c r="C205" s="50">
        <v>13</v>
      </c>
      <c r="D205" s="50">
        <f>109.38/1.56</f>
        <v>70.115384615384613</v>
      </c>
      <c r="E205" s="51"/>
      <c r="F205" s="51"/>
      <c r="G205" s="51"/>
      <c r="H205" s="51"/>
      <c r="I205" s="49">
        <f t="shared" si="7"/>
        <v>3.0945512820512846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>
        <v>157</v>
      </c>
      <c r="B206" s="50">
        <v>132.42948717948718</v>
      </c>
      <c r="C206" s="50">
        <v>14</v>
      </c>
      <c r="D206" s="50">
        <v>45.71153846153846</v>
      </c>
      <c r="E206" s="51"/>
      <c r="F206" s="51"/>
      <c r="G206" s="51"/>
      <c r="H206" s="51"/>
      <c r="I206" s="49">
        <f t="shared" si="7"/>
        <v>1.8717948717948687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>
        <v>161</v>
      </c>
      <c r="B207" s="50">
        <v>91.365384615384613</v>
      </c>
      <c r="C207" s="50">
        <v>15</v>
      </c>
      <c r="D207" s="50">
        <v>91.365384615384613</v>
      </c>
      <c r="E207" s="51"/>
      <c r="F207" s="51"/>
      <c r="G207" s="51"/>
      <c r="H207" s="51"/>
      <c r="I207" s="49">
        <f t="shared" si="7"/>
        <v>1.1618589743589709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Pin pignon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10</v>
      </c>
      <c r="B218" s="60">
        <f>29.5/2.4</f>
        <v>12.291666666666668</v>
      </c>
      <c r="C218" s="50">
        <v>1</v>
      </c>
      <c r="D218" s="60">
        <f>4.5/2.4</f>
        <v>1.875</v>
      </c>
      <c r="E218" s="63"/>
      <c r="F218" s="63">
        <v>0.5</v>
      </c>
      <c r="G218" s="63">
        <v>0.5</v>
      </c>
      <c r="H218" s="63"/>
      <c r="I218" s="53">
        <f>IFERROR(B218/A218,"")</f>
        <v>1.2291666666666667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20</v>
      </c>
      <c r="B219" s="60">
        <f>67/2.4</f>
        <v>27.916666666666668</v>
      </c>
      <c r="C219" s="50">
        <v>2</v>
      </c>
      <c r="D219" s="60">
        <f>9.6/2.4</f>
        <v>4</v>
      </c>
      <c r="E219" s="63"/>
      <c r="F219" s="63">
        <v>0.5</v>
      </c>
      <c r="G219" s="63">
        <v>0.5</v>
      </c>
      <c r="H219" s="63"/>
      <c r="I219" s="53">
        <f t="shared" ref="I219:I237" si="8">IF(A219&lt;&gt;0,(B219-(B218-D218))/(A219-A218),"")</f>
        <v>1.75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30</v>
      </c>
      <c r="B220" s="60">
        <f>99.7/2.4</f>
        <v>41.541666666666671</v>
      </c>
      <c r="C220" s="50">
        <v>3</v>
      </c>
      <c r="D220" s="60">
        <f>13.1/2.4</f>
        <v>5.458333333333333</v>
      </c>
      <c r="E220" s="63"/>
      <c r="F220" s="63">
        <v>0.5</v>
      </c>
      <c r="G220" s="63">
        <v>0.5</v>
      </c>
      <c r="H220" s="63"/>
      <c r="I220" s="53">
        <f t="shared" si="8"/>
        <v>1.7625000000000004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40</v>
      </c>
      <c r="B221" s="55">
        <f>126.3/2.4</f>
        <v>52.625</v>
      </c>
      <c r="C221" s="55">
        <v>4</v>
      </c>
      <c r="D221" s="55">
        <f>16.4/2.4</f>
        <v>6.833333333333333</v>
      </c>
      <c r="E221" s="63"/>
      <c r="F221" s="63"/>
      <c r="G221" s="63"/>
      <c r="H221" s="63"/>
      <c r="I221" s="53">
        <f t="shared" si="8"/>
        <v>1.6541666666666663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50</v>
      </c>
      <c r="B222" s="55">
        <f>147.6/2.4</f>
        <v>61.5</v>
      </c>
      <c r="C222" s="55">
        <v>5</v>
      </c>
      <c r="D222" s="55">
        <f>17.5/2.4</f>
        <v>7.291666666666667</v>
      </c>
      <c r="E222" s="63"/>
      <c r="F222" s="63"/>
      <c r="G222" s="63"/>
      <c r="H222" s="63"/>
      <c r="I222" s="53">
        <f t="shared" si="8"/>
        <v>1.5708333333333335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60</v>
      </c>
      <c r="B223" s="55">
        <f>164.7/2.4</f>
        <v>68.625</v>
      </c>
      <c r="C223" s="55">
        <v>6</v>
      </c>
      <c r="D223" s="55">
        <f>19.3/2.4</f>
        <v>8.0416666666666679</v>
      </c>
      <c r="E223" s="63"/>
      <c r="F223" s="63"/>
      <c r="G223" s="63"/>
      <c r="H223" s="63"/>
      <c r="I223" s="53">
        <f t="shared" si="8"/>
        <v>1.4416666666666664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70</v>
      </c>
      <c r="B224" s="55">
        <f>178.5/2.4</f>
        <v>74.375</v>
      </c>
      <c r="C224" s="55">
        <v>7</v>
      </c>
      <c r="D224" s="55">
        <f>19.3/2.4</f>
        <v>8.0416666666666679</v>
      </c>
      <c r="E224" s="63"/>
      <c r="F224" s="63"/>
      <c r="G224" s="63"/>
      <c r="H224" s="63"/>
      <c r="I224" s="53">
        <f t="shared" si="8"/>
        <v>1.3791666666666671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80</v>
      </c>
      <c r="B225" s="55">
        <f>189.8/2.4</f>
        <v>79.083333333333343</v>
      </c>
      <c r="C225" s="55">
        <v>8</v>
      </c>
      <c r="D225" s="55">
        <f>20.4/2.4</f>
        <v>8.5</v>
      </c>
      <c r="E225" s="63"/>
      <c r="F225" s="63"/>
      <c r="G225" s="63"/>
      <c r="H225" s="63"/>
      <c r="I225" s="53">
        <f t="shared" si="8"/>
        <v>1.2750000000000015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90</v>
      </c>
      <c r="B226" s="55">
        <f>199.1/2.4</f>
        <v>82.958333333333329</v>
      </c>
      <c r="C226" s="55">
        <v>9</v>
      </c>
      <c r="D226" s="55">
        <f>19.9/2.4</f>
        <v>8.2916666666666661</v>
      </c>
      <c r="E226" s="63"/>
      <c r="F226" s="63"/>
      <c r="G226" s="63"/>
      <c r="H226" s="63"/>
      <c r="I226" s="53">
        <f t="shared" si="8"/>
        <v>1.2374999999999985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100</v>
      </c>
      <c r="B227" s="55">
        <f>206.9/2.4</f>
        <v>86.208333333333343</v>
      </c>
      <c r="C227" s="55">
        <v>10</v>
      </c>
      <c r="D227" s="55">
        <f>20.6/2.4</f>
        <v>8.5833333333333339</v>
      </c>
      <c r="E227" s="63"/>
      <c r="F227" s="63"/>
      <c r="G227" s="63"/>
      <c r="H227" s="63"/>
      <c r="I227" s="53">
        <f t="shared" si="8"/>
        <v>1.1541666666666686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110</v>
      </c>
      <c r="B228" s="55">
        <f>213.4/2.4</f>
        <v>88.916666666666671</v>
      </c>
      <c r="C228" s="55">
        <v>11</v>
      </c>
      <c r="D228" s="55">
        <f>19.9/2.4</f>
        <v>8.2916666666666661</v>
      </c>
      <c r="E228" s="63"/>
      <c r="F228" s="63"/>
      <c r="G228" s="63"/>
      <c r="H228" s="63"/>
      <c r="I228" s="53">
        <f t="shared" si="8"/>
        <v>1.1291666666666658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120</v>
      </c>
      <c r="B229" s="55">
        <f>218.9/2.4</f>
        <v>91.208333333333343</v>
      </c>
      <c r="C229" s="55">
        <v>12</v>
      </c>
      <c r="D229" s="55">
        <f>19.2/2.4</f>
        <v>8</v>
      </c>
      <c r="E229" s="63"/>
      <c r="F229" s="63"/>
      <c r="G229" s="63"/>
      <c r="H229" s="63"/>
      <c r="I229" s="53">
        <f t="shared" si="8"/>
        <v>1.0583333333333342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130</v>
      </c>
      <c r="B230" s="55">
        <f>223.6/2.4</f>
        <v>93.166666666666671</v>
      </c>
      <c r="C230" s="55">
        <v>13</v>
      </c>
      <c r="D230" s="55">
        <f>18.5/2.4</f>
        <v>7.7083333333333339</v>
      </c>
      <c r="E230" s="64"/>
      <c r="F230" s="64"/>
      <c r="G230" s="64"/>
      <c r="H230" s="64"/>
      <c r="I230" s="53">
        <f t="shared" si="8"/>
        <v>0.9958333333333329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140</v>
      </c>
      <c r="B231" s="60">
        <f>227.6/2.4</f>
        <v>94.833333333333329</v>
      </c>
      <c r="C231" s="88">
        <v>14</v>
      </c>
      <c r="D231" s="60">
        <f>17.8/2.4</f>
        <v>7.416666666666667</v>
      </c>
      <c r="E231" s="54"/>
      <c r="F231" s="54"/>
      <c r="G231" s="54"/>
      <c r="H231" s="54"/>
      <c r="I231" s="53">
        <f t="shared" si="8"/>
        <v>0.93749999999999856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>
        <v>150</v>
      </c>
      <c r="B232" s="50">
        <f>231.1/2.4</f>
        <v>96.291666666666671</v>
      </c>
      <c r="C232" s="50">
        <v>15</v>
      </c>
      <c r="D232" s="50">
        <f>B232</f>
        <v>96.291666666666671</v>
      </c>
      <c r="E232" s="54"/>
      <c r="F232" s="54"/>
      <c r="G232" s="54"/>
      <c r="H232" s="54"/>
      <c r="I232" s="53">
        <f t="shared" si="8"/>
        <v>0.8875000000000014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Erable plane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Tilleul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Tilleul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Chêne pubescent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Pin pignon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221.7429870520005</v>
      </c>
      <c r="T3" s="59">
        <f>IF('Données projet'!E9&gt;30,$R$33-$H$33,LOOKUP('Données projet'!$E$9,$A$3:$A$203,R3:R203)-LOOKUP('Données projet'!$E$9,$A$3:$A$203,$H$3:$H$203))</f>
        <v>182.2029938397186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260.20517190557814</v>
      </c>
      <c r="AO3" s="59">
        <f>IF('Données projet'!E10&gt;30,$AM$33-$H$33,LOOKUP('Données projet'!$E$10,$A$3:$A$203,AM3:AM203)-LOOKUP('Données projet'!$E$10,$A$3:$A$203,$H$3:$H$203))</f>
        <v>307.22009971147133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316.58509520829671</v>
      </c>
      <c r="BJ3" s="59">
        <f>IF('Données projet'!E11&gt;30,$BH$33-$H$33,LOOKUP('Données projet'!$E$11,$A$3:$A$203,BH3:BH203)-LOOKUP('Données projet'!$E$11,$A$3:$A$203,$H$3:$H$203))</f>
        <v>240.71332110643596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270.30888762640245</v>
      </c>
      <c r="CE3" s="59">
        <f>IF('Données projet'!E12&gt;30,$CC$33-$H$33,LOOKUP('Données projet'!$E$12,$A$3:$A$203,CC3:CC203)-LOOKUP('Données projet'!$E$12,$A$3:$A$203,$H$3:$H$203))</f>
        <v>202.23783851977691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207.93042467236967</v>
      </c>
      <c r="CZ3" s="59">
        <f>IF('Données projet'!E13&gt;30,$CX$33-$H$33,LOOKUP('Données projet'!$E$13,$A$3:$A$203,CX3:CX203)-LOOKUP('Données projet'!$E$13,$A$3:$A$203,$H$3:$H$203))</f>
        <v>250.70954318710835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156.63226020379989</v>
      </c>
      <c r="DU3" s="59">
        <f>IF('Données projet'!E14&gt;30,$DS$33-$H$33,LOOKUP('Données projet'!$E$14,$A$3:$A$203,DS3:DS203)-LOOKUP('Données projet'!$E$14,$A$3:$A$203,$H$3:$H$203))</f>
        <v>196.0481096619543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190.21499310415584</v>
      </c>
      <c r="EP3" s="59">
        <f>IF('Données projet'!E15&gt;30,$EN$33-$H$33,LOOKUP('Données projet'!$E$15,$A$3:$A$203,EN3:EN203)-LOOKUP('Données projet'!$E$15,$A$3:$A$203,$H$3:$H$203))</f>
        <v>136.15730566500173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14.847345852478327</v>
      </c>
      <c r="FK3" s="59">
        <f>IF('Données projet'!E16&gt;30,$FI$33-$H$33,LOOKUP('Données projet'!$E$16,$A$3:$A$203,FI3:FI203)-LOOKUP('Données projet'!$E$16,$A$3:$A$203,$H$3:$H$203))</f>
        <v>46.764428272166299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296.02919120058613</v>
      </c>
      <c r="S4" s="59">
        <f ca="1">AVERAGE(OFFSET($R$3,0,0,'Données projet'!$E$9+1,1))-AVERAGE(OFFSET($H$3,0,0,'Données projet'!$E$9+1,1))</f>
        <v>221.7429870520005</v>
      </c>
      <c r="T4" s="59">
        <f>$T$3</f>
        <v>182.2029938397186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1.1000000000000001</v>
      </c>
      <c r="AI4" s="13">
        <f>IF('Données projet'!$A$62&gt;35,AI3+AH4-AQ3,IF(A4&lt;'Données projet'!$A$62,$AF$205^A4,IF(A4='Données projet'!$A$62,'Données projet'!$B$62,AI3+AH4-AQ3)))</f>
        <v>1.2709816152101407</v>
      </c>
      <c r="AJ4" s="13">
        <f>AI4*VLOOKUP('Données projet'!$B$10,Paramètres!$A$1:$I$89,3,0)*VLOOKUP('Données projet'!$B$10,Paramètres!$A$1:$I$89,5,0)</f>
        <v>1.0111929730611879</v>
      </c>
      <c r="AK4" s="13">
        <f>EXP(-1.0587+0.8836*LN(AJ4)+0.284)</f>
        <v>0.46539683474213156</v>
      </c>
      <c r="AL4" s="20">
        <f t="shared" ref="AL4:AL67" si="4">(AJ4+AK4)*0.475*44/12</f>
        <v>2.5717272485907814</v>
      </c>
      <c r="AM4" s="59">
        <f t="shared" ref="AM4:AM67" si="5">AL4+(AD4+AE4)*44/12</f>
        <v>295.90506058192409</v>
      </c>
      <c r="AN4" s="59">
        <f ca="1">AVERAGE(OFFSET($AM$3,0,0,'Données projet'!$E$10+1,1))-AVERAGE(OFFSET($H$3,0,0,'Données projet'!$E$10+1,1))</f>
        <v>260.20517190557814</v>
      </c>
      <c r="AO4" s="59">
        <f>$AO$3</f>
        <v>307.22009971147133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5.3</v>
      </c>
      <c r="BD4" s="12">
        <f>IF('Données projet'!$A$88&gt;35,BD3+BC4-BL3,IF(A4&lt;'Données projet'!$A$88,$BA$205^A4,IF(A4='Données projet'!$A$88,'Données projet'!$B$88,BD3+BC4-BL3)))</f>
        <v>1.2625985704272813</v>
      </c>
      <c r="BE4" s="13">
        <f>BD4*VLOOKUP('Données projet'!$B$11,Paramètres!$A$1:$I$89,3,0)*VLOOKUP('Données projet'!$B$11,Paramètres!$A$1:$I$89,5,0)</f>
        <v>0.75503394511551425</v>
      </c>
      <c r="BF4" s="13">
        <f>EXP(-1.0587+0.8836*LN(BE4)+0.284)</f>
        <v>0.35952015653689401</v>
      </c>
      <c r="BG4" s="20">
        <f t="shared" ref="BG4:BG67" si="7">(BE4+BF4)*0.475*44/12</f>
        <v>1.9411817270446112</v>
      </c>
      <c r="BH4" s="59">
        <f t="shared" ref="BH4:BH67" si="8">BG4+(AY4+AZ4)*44/12</f>
        <v>295.27451506037795</v>
      </c>
      <c r="BI4" s="59">
        <f ca="1">AVERAGE(OFFSET($BH$3,0,0,'Données projet'!$E$11+1,1))-AVERAGE(OFFSET($H$3,0,0,'Données projet'!$E$11+1,1))</f>
        <v>316.58509520829671</v>
      </c>
      <c r="BJ4" s="59">
        <f>$BJ$3</f>
        <v>240.71332110643596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4.3499999999999996</v>
      </c>
      <c r="BY4" s="12">
        <f>IF('Données projet'!$A$114&gt;35,BY3+BX4-CG3,IF(A4&lt;'Données projet'!$A$114,$BV$205^A4,IF(A4='Données projet'!$A$114,'Données projet'!$B$114,BY3+BX4-CG3)))</f>
        <v>1.2501898326862695</v>
      </c>
      <c r="BZ4" s="13">
        <f>BY4*VLOOKUP('Données projet'!$B$12,Paramètres!$A$1:$I$89,3,0)*VLOOKUP('Données projet'!$B$12,Paramètres!$A$1:$I$89,5,0)</f>
        <v>0.74761351994638925</v>
      </c>
      <c r="CA4" s="13">
        <f>EXP(-1.0587+0.8836*LN(BZ4)+0.284)</f>
        <v>0.35639630406199418</v>
      </c>
      <c r="CB4" s="20">
        <f t="shared" ref="CB4:CB67" si="10">(BZ4+CA4)*0.475*44/12</f>
        <v>1.9228171101479343</v>
      </c>
      <c r="CC4" s="59">
        <f t="shared" ref="CC4:CC67" si="11">CB4+(BT4+BU4)*44/12</f>
        <v>295.25615044348126</v>
      </c>
      <c r="CD4" s="59">
        <f ca="1">AVERAGE(OFFSET($CC$3,0,0,'Données projet'!$E$12+1,1))-AVERAGE(OFFSET($H$3,0,0,'Données projet'!$E$12+1,1))</f>
        <v>270.30888762640245</v>
      </c>
      <c r="CE4" s="59">
        <f>$CE$3</f>
        <v>202.23783851977691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0.85257446748296239</v>
      </c>
      <c r="CV4" s="13">
        <f>EXP(-1.0587+0.8836*LN(CU4)+0.284)</f>
        <v>0.40026456574842817</v>
      </c>
      <c r="CW4" s="20">
        <f t="shared" ref="CW4:CW67" si="13">(CU4+CV4)*0.475*44/12</f>
        <v>2.1820279828780054</v>
      </c>
      <c r="CX4" s="59">
        <f t="shared" ref="CX4:CX67" si="14">CW4+(CO4+CP4)*44/12</f>
        <v>295.51536131621134</v>
      </c>
      <c r="CY4" s="59">
        <f ca="1">AVERAGE(OFFSET($CX$3,0,0,'Données projet'!$E$13+1,1))-AVERAGE(OFFSET($H$3,0,0,'Données projet'!$E$13+1,1))</f>
        <v>207.93042467236967</v>
      </c>
      <c r="CZ4" s="59">
        <f>$CZ$3</f>
        <v>250.70954318710835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4.75</v>
      </c>
      <c r="DO4" s="12">
        <f>IF('Données projet'!$A$166&gt;35,DO3+DN4-DW3,IF(A4&lt;'Données projet'!$A$166,$DL$205^A4,IF(A4='Données projet'!$A$166,'Données projet'!$B$166,DO3+DN4-DW3)))</f>
        <v>1.2557008269631629</v>
      </c>
      <c r="DP4" s="17">
        <f>DO4*VLOOKUP('Données projet'!$B$14,Paramètres!$A$1:$I$89,3,0)*VLOOKUP('Données projet'!$B$14,Paramètres!$A$1:$I$89,5,0)</f>
        <v>0.84232411472688973</v>
      </c>
      <c r="DQ4" s="13">
        <f>EXP(-1.0587+0.8836*LN(DP4)+0.284)</f>
        <v>0.39600941950779012</v>
      </c>
      <c r="DR4" s="20">
        <f t="shared" ref="DR4:DR67" si="16">(DP4+DQ4)*0.475*44/12</f>
        <v>2.1567642387920674</v>
      </c>
      <c r="DS4" s="59">
        <f t="shared" ref="DS4:DS67" si="17">DR4+(DJ4+DK4)*44/12</f>
        <v>295.49009757212536</v>
      </c>
      <c r="DT4" s="59">
        <f ca="1">AVERAGE(OFFSET($DS$3,0,0,'Données projet'!$E$14+1,1))-AVERAGE(OFFSET($H$3,0,0,'Données projet'!$E$14+1,1))</f>
        <v>156.63226020379989</v>
      </c>
      <c r="DU4" s="59">
        <f>$DU$3</f>
        <v>196.0481096619543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2.9235042735042733</v>
      </c>
      <c r="EJ4" s="12">
        <f>IF('Données projet'!$A$192&gt;35,EJ3+EI4-ER3,IF(A4&lt;'Données projet'!$A$192,$EG$205^A4,IF(A4='Données projet'!$A$192,'Données projet'!$B$192,EJ3+EI4-ER3)))</f>
        <v>1.1608269964373037</v>
      </c>
      <c r="EK4" s="17">
        <f>EJ4*VLOOKUP('Données projet'!$B$15,Paramètres!$A$1:$I$89,3,0)*VLOOKUP('Données projet'!$B$15,Paramètres!$A$1:$I$89,5,0)</f>
        <v>1.1770785743874259</v>
      </c>
      <c r="EL4" s="13">
        <f>EXP(-1.0587+0.8836*LN(EK4)+0.284)</f>
        <v>0.53225011573313319</v>
      </c>
      <c r="EM4" s="20">
        <f t="shared" ref="EM4:EM67" si="19">(EK4+EL4)*0.475*44/12</f>
        <v>2.9770808019599735</v>
      </c>
      <c r="EN4" s="59">
        <f t="shared" ref="EN4:EN67" si="20">EM4+(EE4+EF4)*44/12</f>
        <v>296.31041413529329</v>
      </c>
      <c r="EO4" s="59">
        <f ca="1">AVERAGE(OFFSET($EN$3,0,0,'Données projet'!$E$15+1,1))-AVERAGE(OFFSET($H$3,0,0,'Données projet'!$E$15+1,1))</f>
        <v>190.21499310415584</v>
      </c>
      <c r="EP4" s="59">
        <f>$EP$3</f>
        <v>136.15730566500173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1.2291666666666667</v>
      </c>
      <c r="FE4" s="12">
        <f>IF('Données projet'!$A$218&gt;35,FE3+FD4-FM3,IF(A4&lt;'Données projet'!$A$218,$FB$205^A4,IF(A4='Données projet'!$A$218,'Données projet'!$B$218,FE3+FD4-FM3)))</f>
        <v>1.2851714744538538</v>
      </c>
      <c r="FF4" s="17">
        <f>FE4*VLOOKUP('Données projet'!$B$16,Paramètres!$A$1:$I$89,3,0)*VLOOKUP('Données projet'!$B$16,Paramètres!$A$1:$I$89,5,0)</f>
        <v>1.4805175385708396</v>
      </c>
      <c r="FG4" s="13">
        <f>EXP(-1.0587+0.8836*LN(FF4)+0.284)</f>
        <v>0.65182270378895091</v>
      </c>
      <c r="FH4" s="20">
        <f t="shared" ref="FH4:FH67" si="22">(FF4+FG4)*0.475*44/12</f>
        <v>3.7138259221099683</v>
      </c>
      <c r="FI4" s="59">
        <f t="shared" ref="FI4:FI67" si="23">FH4+(EZ4+FA4)*44/12</f>
        <v>297.04715925544326</v>
      </c>
      <c r="FJ4" s="59">
        <f ca="1">AVERAGE(OFFSET($FI$3,0,0,'Données projet'!$E$16+1,1))-AVERAGE(OFFSET($H$3,0,0,'Données projet'!$E$16+1,1))</f>
        <v>14.847345852478327</v>
      </c>
      <c r="FK4" s="59">
        <f>$FK$3</f>
        <v>46.764428272166299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296.47893577626274</v>
      </c>
      <c r="S5" s="59">
        <f ca="1">AVERAGE(OFFSET($R$3,0,0,'Données projet'!$E$9+1,1))-AVERAGE(OFFSET($H$3,0,0,'Données projet'!$E$9+1,1))</f>
        <v>221.7429870520005</v>
      </c>
      <c r="T5" s="59">
        <f t="shared" ref="T5:T68" si="34">$T$3</f>
        <v>182.2029938397186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1.1000000000000001</v>
      </c>
      <c r="AI5" s="13">
        <f>IF('Données projet'!$A$62&gt;35,AI4+AH5-AQ4,IF(A5&lt;'Données projet'!$A$62,$AF$205^A5,IF(A5='Données projet'!$A$62,'Données projet'!$B$62,AI4+AH5-AQ4)))</f>
        <v>1.6153942662021783</v>
      </c>
      <c r="AJ5" s="13">
        <f>AI5*VLOOKUP('Données projet'!$B$10,Paramètres!$A$1:$I$89,3,0)*VLOOKUP('Données projet'!$B$10,Paramètres!$A$1:$I$89,5,0)</f>
        <v>1.2852076781904531</v>
      </c>
      <c r="AK5" s="13">
        <f t="shared" ref="AK5:AK68" si="35">EXP(-1.0587+0.8836*LN(AJ5)+0.284)</f>
        <v>0.57522914588482876</v>
      </c>
      <c r="AL5" s="20">
        <f t="shared" si="4"/>
        <v>3.2402608019311159</v>
      </c>
      <c r="AM5" s="59">
        <f t="shared" si="5"/>
        <v>296.57359413526444</v>
      </c>
      <c r="AN5" s="59">
        <f ca="1">AVERAGE(OFFSET($AM$3,0,0,'Données projet'!$E$10+1,1))-AVERAGE(OFFSET($H$3,0,0,'Données projet'!$E$10+1,1))</f>
        <v>260.20517190557814</v>
      </c>
      <c r="AO5" s="59">
        <f t="shared" ref="AO5:AO68" si="36">$AO$3</f>
        <v>307.22009971147133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5.3</v>
      </c>
      <c r="BD5" s="12">
        <f>IF('Données projet'!$A$88&gt;35,BD4+BC5-BL4,IF(A5&lt;'Données projet'!$A$88,$BA$205^A5,IF(A5='Données projet'!$A$88,'Données projet'!$B$88,BD4+BC5-BL4)))</f>
        <v>1.5941551500450144</v>
      </c>
      <c r="BE5" s="13">
        <f>BD5*VLOOKUP('Données projet'!$B$11,Paramètres!$A$1:$I$89,3,0)*VLOOKUP('Données projet'!$B$11,Paramètres!$A$1:$I$89,5,0)</f>
        <v>0.95330477972691874</v>
      </c>
      <c r="BF5" s="13">
        <f t="shared" ref="BF5:BF68" si="37">EXP(-1.0587+0.8836*LN(BE5)+0.284)</f>
        <v>0.44177512384100159</v>
      </c>
      <c r="BG5" s="20">
        <f t="shared" si="7"/>
        <v>2.4297641653807944</v>
      </c>
      <c r="BH5" s="59">
        <f t="shared" si="8"/>
        <v>295.7630974987141</v>
      </c>
      <c r="BI5" s="59">
        <f ca="1">AVERAGE(OFFSET($BH$3,0,0,'Données projet'!$E$11+1,1))-AVERAGE(OFFSET($H$3,0,0,'Données projet'!$E$11+1,1))</f>
        <v>316.58509520829671</v>
      </c>
      <c r="BJ5" s="59">
        <f t="shared" ref="BJ5:BJ68" si="38">$BJ$3</f>
        <v>240.71332110643596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4.3499999999999996</v>
      </c>
      <c r="BY5" s="12">
        <f>IF('Données projet'!$A$114&gt;35,BY4+BX5-CG4,IF(A5&lt;'Données projet'!$A$114,$BV$205^A5,IF(A5='Données projet'!$A$114,'Données projet'!$B$114,BY4+BX5-CG4)))</f>
        <v>1.5629746177521224</v>
      </c>
      <c r="BZ5" s="13">
        <f>BY5*VLOOKUP('Données projet'!$B$12,Paramètres!$A$1:$I$89,3,0)*VLOOKUP('Données projet'!$B$12,Paramètres!$A$1:$I$89,5,0)</f>
        <v>0.93465882141576928</v>
      </c>
      <c r="CA5" s="13">
        <f t="shared" ref="CA5:CA68" si="39">EXP(-1.0587+0.8836*LN(BZ5)+0.284)</f>
        <v>0.43413135345040255</v>
      </c>
      <c r="CB5" s="20">
        <f t="shared" si="10"/>
        <v>2.3839762212252493</v>
      </c>
      <c r="CC5" s="59">
        <f t="shared" si="11"/>
        <v>295.71730955455854</v>
      </c>
      <c r="CD5" s="59">
        <f ca="1">AVERAGE(OFFSET($CC$3,0,0,'Données projet'!$E$12+1,1))-AVERAGE(OFFSET($H$3,0,0,'Données projet'!$E$12+1,1))</f>
        <v>270.30888762640245</v>
      </c>
      <c r="CE5" s="59">
        <f t="shared" ref="CE5:CE68" si="40">$CE$3</f>
        <v>202.23783851977691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1.0836064737684212</v>
      </c>
      <c r="CV5" s="13">
        <f t="shared" ref="CV5:CV68" si="41">EXP(-1.0587+0.8836*LN(CU5)+0.284)</f>
        <v>0.49472584920136886</v>
      </c>
      <c r="CW5" s="20">
        <f t="shared" si="13"/>
        <v>2.7489287958390509</v>
      </c>
      <c r="CX5" s="59">
        <f t="shared" si="14"/>
        <v>296.08226212917236</v>
      </c>
      <c r="CY5" s="59">
        <f ca="1">AVERAGE(OFFSET($CX$3,0,0,'Données projet'!$E$13+1,1))-AVERAGE(OFFSET($H$3,0,0,'Données projet'!$E$13+1,1))</f>
        <v>207.93042467236967</v>
      </c>
      <c r="CZ5" s="59">
        <f t="shared" ref="CZ5:CZ68" si="42">$CZ$3</f>
        <v>250.70954318710835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4.75</v>
      </c>
      <c r="DO5" s="12">
        <f>IF('Données projet'!$A$166&gt;35,DO4+DN5-DW4,IF(A5&lt;'Données projet'!$A$166,$DL$205^A5,IF(A5='Données projet'!$A$166,'Données projet'!$B$166,DO4+DN5-DW4)))</f>
        <v>1.576784566835971</v>
      </c>
      <c r="DP5" s="17">
        <f>DO5*VLOOKUP('Données projet'!$B$14,Paramètres!$A$1:$I$89,3,0)*VLOOKUP('Données projet'!$B$14,Paramètres!$A$1:$I$89,5,0)</f>
        <v>1.0577070874335694</v>
      </c>
      <c r="DQ5" s="13">
        <f t="shared" ref="DQ5:DQ68" si="43">EXP(-1.0587+0.8836*LN(DP5)+0.284)</f>
        <v>0.484263063493652</v>
      </c>
      <c r="DR5" s="20">
        <f t="shared" si="16"/>
        <v>2.6855980128649111</v>
      </c>
      <c r="DS5" s="59">
        <f t="shared" si="17"/>
        <v>296.0189313461982</v>
      </c>
      <c r="DT5" s="59">
        <f ca="1">AVERAGE(OFFSET($DS$3,0,0,'Données projet'!$E$14+1,1))-AVERAGE(OFFSET($H$3,0,0,'Données projet'!$E$14+1,1))</f>
        <v>156.63226020379989</v>
      </c>
      <c r="DU5" s="59">
        <f t="shared" ref="DU5:DU68" si="44">$DU$3</f>
        <v>196.0481096619543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2.9235042735042733</v>
      </c>
      <c r="EJ5" s="12">
        <f>IF('Données projet'!$A$192&gt;35,EJ4+EI5-ER4,IF(A5&lt;'Données projet'!$A$192,$EG$205^A5,IF(A5='Données projet'!$A$192,'Données projet'!$B$192,EJ4+EI5-ER4)))</f>
        <v>1.3475193156576519</v>
      </c>
      <c r="EK5" s="17">
        <f>EJ5*VLOOKUP('Données projet'!$B$15,Paramètres!$A$1:$I$89,3,0)*VLOOKUP('Données projet'!$B$15,Paramètres!$A$1:$I$89,5,0)</f>
        <v>1.3663845860768591</v>
      </c>
      <c r="EL5" s="13">
        <f t="shared" ref="EL5:EL68" si="45">EXP(-1.0587+0.8836*LN(EK5)+0.284)</f>
        <v>0.60721756676800354</v>
      </c>
      <c r="EM5" s="20">
        <f t="shared" si="19"/>
        <v>3.4373570828714688</v>
      </c>
      <c r="EN5" s="59">
        <f t="shared" si="20"/>
        <v>296.77069041620479</v>
      </c>
      <c r="EO5" s="59">
        <f ca="1">AVERAGE(OFFSET($EN$3,0,0,'Données projet'!$E$15+1,1))-AVERAGE(OFFSET($H$3,0,0,'Données projet'!$E$15+1,1))</f>
        <v>190.21499310415584</v>
      </c>
      <c r="EP5" s="59">
        <f t="shared" ref="EP5:EP68" si="46">$EP$3</f>
        <v>136.15730566500173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1.2291666666666667</v>
      </c>
      <c r="FE5" s="12">
        <f>IF('Données projet'!$A$218&gt;35,FE4+FD5-FM4,IF(A5&lt;'Données projet'!$A$218,$FB$205^A5,IF(A5='Données projet'!$A$218,'Données projet'!$B$218,FE4+FD5-FM4)))</f>
        <v>1.6516657187498927</v>
      </c>
      <c r="FF5" s="17">
        <f>FE5*VLOOKUP('Données projet'!$B$16,Paramètres!$A$1:$I$89,3,0)*VLOOKUP('Données projet'!$B$16,Paramètres!$A$1:$I$89,5,0)</f>
        <v>1.9027189079998761</v>
      </c>
      <c r="FG5" s="13">
        <f t="shared" ref="FG5:FG68" si="47">EXP(-1.0587+0.8836*LN(FF5)+0.284)</f>
        <v>0.81359353967236547</v>
      </c>
      <c r="FH5" s="20">
        <f t="shared" si="22"/>
        <v>4.7309108463624874</v>
      </c>
      <c r="FI5" s="59">
        <f t="shared" si="23"/>
        <v>298.06424417969578</v>
      </c>
      <c r="FJ5" s="59">
        <f ca="1">AVERAGE(OFFSET($FI$3,0,0,'Données projet'!$E$16+1,1))-AVERAGE(OFFSET($H$3,0,0,'Données projet'!$E$16+1,1))</f>
        <v>14.847345852478327</v>
      </c>
      <c r="FK5" s="59">
        <f t="shared" ref="FK5:FK68" si="48">$FK$3</f>
        <v>46.764428272166299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297.00398298764594</v>
      </c>
      <c r="S6" s="59">
        <f ca="1">AVERAGE(OFFSET($R$3,0,0,'Données projet'!$E$9+1,1))-AVERAGE(OFFSET($H$3,0,0,'Données projet'!$E$9+1,1))</f>
        <v>221.7429870520005</v>
      </c>
      <c r="T6" s="59">
        <f t="shared" si="34"/>
        <v>182.2029938397186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1.1000000000000001</v>
      </c>
      <c r="AI6" s="13">
        <f>IF('Données projet'!$A$62&gt;35,AI5+AH6-AQ5,IF(A6&lt;'Données projet'!$A$62,$AF$205^A6,IF(A6='Données projet'!$A$62,'Données projet'!$B$62,AI5+AH6-AQ5)))</f>
        <v>2.0531364136588448</v>
      </c>
      <c r="AJ6" s="13">
        <f>AI6*VLOOKUP('Données projet'!$B$10,Paramètres!$A$1:$I$89,3,0)*VLOOKUP('Données projet'!$B$10,Paramètres!$A$1:$I$89,5,0)</f>
        <v>1.6334753307069771</v>
      </c>
      <c r="AK6" s="13">
        <f t="shared" si="35"/>
        <v>0.71098156578295024</v>
      </c>
      <c r="AL6" s="20">
        <f t="shared" si="4"/>
        <v>4.0832624280532892</v>
      </c>
      <c r="AM6" s="59">
        <f t="shared" si="5"/>
        <v>297.41659576138659</v>
      </c>
      <c r="AN6" s="59">
        <f ca="1">AVERAGE(OFFSET($AM$3,0,0,'Données projet'!$E$10+1,1))-AVERAGE(OFFSET($H$3,0,0,'Données projet'!$E$10+1,1))</f>
        <v>260.20517190557814</v>
      </c>
      <c r="AO6" s="59">
        <f t="shared" si="36"/>
        <v>307.22009971147133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5.3</v>
      </c>
      <c r="BD6" s="12">
        <f>IF('Données projet'!$A$88&gt;35,BD5+BC6-BL5,IF(A6&lt;'Données projet'!$A$88,$BA$205^A6,IF(A6='Données projet'!$A$88,'Données projet'!$B$88,BD5+BC6-BL5)))</f>
        <v>2.0127780134861233</v>
      </c>
      <c r="BE6" s="13">
        <f>BD6*VLOOKUP('Données projet'!$B$11,Paramètres!$A$1:$I$89,3,0)*VLOOKUP('Données projet'!$B$11,Paramètres!$A$1:$I$89,5,0)</f>
        <v>1.2036412520647017</v>
      </c>
      <c r="BF6" s="13">
        <f t="shared" si="37"/>
        <v>0.54284928534933019</v>
      </c>
      <c r="BG6" s="20">
        <f t="shared" si="7"/>
        <v>3.0418043526627723</v>
      </c>
      <c r="BH6" s="59">
        <f t="shared" si="8"/>
        <v>296.37513768599609</v>
      </c>
      <c r="BI6" s="59">
        <f ca="1">AVERAGE(OFFSET($BH$3,0,0,'Données projet'!$E$11+1,1))-AVERAGE(OFFSET($H$3,0,0,'Données projet'!$E$11+1,1))</f>
        <v>316.58509520829671</v>
      </c>
      <c r="BJ6" s="59">
        <f t="shared" si="38"/>
        <v>240.71332110643596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4.3499999999999996</v>
      </c>
      <c r="BY6" s="12">
        <f>IF('Données projet'!$A$114&gt;35,BY5+BX6-CG5,IF(A6&lt;'Données projet'!$A$114,$BV$205^A6,IF(A6='Données projet'!$A$114,'Données projet'!$B$114,BY5+BX6-CG5)))</f>
        <v>1.954014975860412</v>
      </c>
      <c r="BZ6" s="13">
        <f>BY6*VLOOKUP('Données projet'!$B$12,Paramètres!$A$1:$I$89,3,0)*VLOOKUP('Données projet'!$B$12,Paramètres!$A$1:$I$89,5,0)</f>
        <v>1.1685009555645265</v>
      </c>
      <c r="CA6" s="13">
        <f t="shared" si="39"/>
        <v>0.52882151105555386</v>
      </c>
      <c r="CB6" s="20">
        <f t="shared" si="10"/>
        <v>2.9561699626966398</v>
      </c>
      <c r="CC6" s="59">
        <f t="shared" si="11"/>
        <v>296.28950329602998</v>
      </c>
      <c r="CD6" s="59">
        <f ca="1">AVERAGE(OFFSET($CC$3,0,0,'Données projet'!$E$12+1,1))-AVERAGE(OFFSET($H$3,0,0,'Données projet'!$E$12+1,1))</f>
        <v>270.30888762640245</v>
      </c>
      <c r="CE6" s="59">
        <f t="shared" si="40"/>
        <v>202.23783851977691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1.3772439062823532</v>
      </c>
      <c r="CV6" s="13">
        <f t="shared" si="41"/>
        <v>0.61147972319350075</v>
      </c>
      <c r="CW6" s="20">
        <f t="shared" si="13"/>
        <v>3.4636936546704455</v>
      </c>
      <c r="CX6" s="59">
        <f t="shared" si="14"/>
        <v>296.79702698800378</v>
      </c>
      <c r="CY6" s="59">
        <f ca="1">AVERAGE(OFFSET($CX$3,0,0,'Données projet'!$E$13+1,1))-AVERAGE(OFFSET($H$3,0,0,'Données projet'!$E$13+1,1))</f>
        <v>207.93042467236967</v>
      </c>
      <c r="CZ6" s="59">
        <f t="shared" si="42"/>
        <v>250.70954318710835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4.75</v>
      </c>
      <c r="DO6" s="12">
        <f>IF('Données projet'!$A$166&gt;35,DO5+DN6-DW5,IF(A6&lt;'Données projet'!$A$166,$DL$205^A6,IF(A6='Données projet'!$A$166,'Données projet'!$B$166,DO5+DN6-DW5)))</f>
        <v>1.9799696845186814</v>
      </c>
      <c r="DP6" s="17">
        <f>DO6*VLOOKUP('Données projet'!$B$14,Paramètres!$A$1:$I$89,3,0)*VLOOKUP('Données projet'!$B$14,Paramètres!$A$1:$I$89,5,0)</f>
        <v>1.3281636643751316</v>
      </c>
      <c r="DQ6" s="13">
        <f t="shared" si="43"/>
        <v>0.5921846883231614</v>
      </c>
      <c r="DR6" s="20">
        <f t="shared" si="16"/>
        <v>3.3446067142828606</v>
      </c>
      <c r="DS6" s="59">
        <f t="shared" si="17"/>
        <v>296.67794004761618</v>
      </c>
      <c r="DT6" s="59">
        <f ca="1">AVERAGE(OFFSET($DS$3,0,0,'Données projet'!$E$14+1,1))-AVERAGE(OFFSET($H$3,0,0,'Données projet'!$E$14+1,1))</f>
        <v>156.63226020379989</v>
      </c>
      <c r="DU6" s="59">
        <f t="shared" si="44"/>
        <v>196.0481096619543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2.9235042735042733</v>
      </c>
      <c r="EJ6" s="12">
        <f>IF('Données projet'!$A$192&gt;35,EJ5+EI6-ER5,IF(A6&lt;'Données projet'!$A$192,$EG$205^A6,IF(A6='Données projet'!$A$192,'Données projet'!$B$192,EJ5+EI6-ER5)))</f>
        <v>1.5642367998361231</v>
      </c>
      <c r="EK6" s="17">
        <f>EJ6*VLOOKUP('Données projet'!$B$15,Paramètres!$A$1:$I$89,3,0)*VLOOKUP('Données projet'!$B$15,Paramètres!$A$1:$I$89,5,0)</f>
        <v>1.5861361150338289</v>
      </c>
      <c r="EL6" s="13">
        <f t="shared" si="45"/>
        <v>0.69274418641277524</v>
      </c>
      <c r="EM6" s="20">
        <f t="shared" si="19"/>
        <v>3.969049858352836</v>
      </c>
      <c r="EN6" s="59">
        <f t="shared" si="20"/>
        <v>297.30238319168615</v>
      </c>
      <c r="EO6" s="59">
        <f ca="1">AVERAGE(OFFSET($EN$3,0,0,'Données projet'!$E$15+1,1))-AVERAGE(OFFSET($H$3,0,0,'Données projet'!$E$15+1,1))</f>
        <v>190.21499310415584</v>
      </c>
      <c r="EP6" s="59">
        <f t="shared" si="46"/>
        <v>136.15730566500173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1.2291666666666667</v>
      </c>
      <c r="FE6" s="12">
        <f>IF('Données projet'!$A$218&gt;35,FE5+FD6-FM5,IF(A6&lt;'Données projet'!$A$218,$FB$205^A6,IF(A6='Données projet'!$A$218,'Données projet'!$B$218,FE5+FD6-FM5)))</f>
        <v>2.1226736670706838</v>
      </c>
      <c r="FF6" s="17">
        <f>FE6*VLOOKUP('Données projet'!$B$16,Paramètres!$A$1:$I$89,3,0)*VLOOKUP('Données projet'!$B$16,Paramètres!$A$1:$I$89,5,0)</f>
        <v>2.4453200644654278</v>
      </c>
      <c r="FG6" s="13">
        <f t="shared" si="47"/>
        <v>1.0155130282343343</v>
      </c>
      <c r="FH6" s="20">
        <f t="shared" si="22"/>
        <v>6.027617636452085</v>
      </c>
      <c r="FI6" s="59">
        <f t="shared" si="23"/>
        <v>299.36095096978539</v>
      </c>
      <c r="FJ6" s="59">
        <f ca="1">AVERAGE(OFFSET($FI$3,0,0,'Données projet'!$E$16+1,1))-AVERAGE(OFFSET($H$3,0,0,'Données projet'!$E$16+1,1))</f>
        <v>14.847345852478327</v>
      </c>
      <c r="FK6" s="59">
        <f t="shared" si="48"/>
        <v>46.764428272166299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297.61698419506143</v>
      </c>
      <c r="S7" s="59">
        <f ca="1">AVERAGE(OFFSET($R$3,0,0,'Données projet'!$E$9+1,1))-AVERAGE(OFFSET($H$3,0,0,'Données projet'!$E$9+1,1))</f>
        <v>221.7429870520005</v>
      </c>
      <c r="T7" s="59">
        <f t="shared" si="34"/>
        <v>182.2029938397186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1.1000000000000001</v>
      </c>
      <c r="AI7" s="13">
        <f>IF('Données projet'!$A$62&gt;35,AI6+AH7-AQ6,IF(A7&lt;'Données projet'!$A$62,$AF$205^A7,IF(A7='Données projet'!$A$62,'Données projet'!$B$62,AI6+AH7-AQ6)))</f>
        <v>2.6094986352788743</v>
      </c>
      <c r="AJ7" s="13">
        <f>AI7*VLOOKUP('Données projet'!$B$10,Paramètres!$A$1:$I$89,3,0)*VLOOKUP('Données projet'!$B$10,Paramètres!$A$1:$I$89,5,0)</f>
        <v>2.0761171142278725</v>
      </c>
      <c r="AK7" s="13">
        <f t="shared" si="35"/>
        <v>0.87877116536856548</v>
      </c>
      <c r="AL7" s="20">
        <f t="shared" si="4"/>
        <v>5.14643042029713</v>
      </c>
      <c r="AM7" s="59">
        <f t="shared" si="5"/>
        <v>298.47976375363044</v>
      </c>
      <c r="AN7" s="59">
        <f ca="1">AVERAGE(OFFSET($AM$3,0,0,'Données projet'!$E$10+1,1))-AVERAGE(OFFSET($H$3,0,0,'Données projet'!$E$10+1,1))</f>
        <v>260.20517190557814</v>
      </c>
      <c r="AO7" s="59">
        <f t="shared" si="36"/>
        <v>307.22009971147133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5.3</v>
      </c>
      <c r="BD7" s="12">
        <f>IF('Données projet'!$A$88&gt;35,BD6+BC7-BL6,IF(A7&lt;'Données projet'!$A$88,$BA$205^A7,IF(A7='Données projet'!$A$88,'Données projet'!$B$88,BD6+BC7-BL6)))</f>
        <v>2.5413306424150424</v>
      </c>
      <c r="BE7" s="13">
        <f>BD7*VLOOKUP('Données projet'!$B$11,Paramètres!$A$1:$I$89,3,0)*VLOOKUP('Données projet'!$B$11,Paramètres!$A$1:$I$89,5,0)</f>
        <v>1.5197157241641954</v>
      </c>
      <c r="BF7" s="13">
        <f t="shared" si="37"/>
        <v>0.66704830286084227</v>
      </c>
      <c r="BG7" s="20">
        <f t="shared" si="7"/>
        <v>3.8086140137352733</v>
      </c>
      <c r="BH7" s="59">
        <f t="shared" si="8"/>
        <v>297.14194734706859</v>
      </c>
      <c r="BI7" s="59">
        <f ca="1">AVERAGE(OFFSET($BH$3,0,0,'Données projet'!$E$11+1,1))-AVERAGE(OFFSET($H$3,0,0,'Données projet'!$E$11+1,1))</f>
        <v>316.58509520829671</v>
      </c>
      <c r="BJ7" s="59">
        <f t="shared" si="38"/>
        <v>240.71332110643596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4.3499999999999996</v>
      </c>
      <c r="BY7" s="12">
        <f>IF('Données projet'!$A$114&gt;35,BY6+BX7-CG6,IF(A7&lt;'Données projet'!$A$114,$BV$205^A7,IF(A7='Données projet'!$A$114,'Données projet'!$B$114,BY6+BX7-CG6)))</f>
        <v>2.4428896557373934</v>
      </c>
      <c r="BZ7" s="13">
        <f>BY7*VLOOKUP('Données projet'!$B$12,Paramètres!$A$1:$I$89,3,0)*VLOOKUP('Données projet'!$B$12,Paramètres!$A$1:$I$89,5,0)</f>
        <v>1.4608480141309614</v>
      </c>
      <c r="CA7" s="13">
        <f t="shared" si="39"/>
        <v>0.64416492458434726</v>
      </c>
      <c r="CB7" s="20">
        <f t="shared" si="10"/>
        <v>3.6662308682624953</v>
      </c>
      <c r="CC7" s="59">
        <f t="shared" si="11"/>
        <v>296.99956420159583</v>
      </c>
      <c r="CD7" s="59">
        <f ca="1">AVERAGE(OFFSET($CC$3,0,0,'Données projet'!$E$12+1,1))-AVERAGE(OFFSET($H$3,0,0,'Données projet'!$E$12+1,1))</f>
        <v>270.30888762640245</v>
      </c>
      <c r="CE7" s="59">
        <f t="shared" si="40"/>
        <v>202.23783851977691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1.7504516845450688</v>
      </c>
      <c r="CV7" s="13">
        <f t="shared" si="41"/>
        <v>0.75578717481691204</v>
      </c>
      <c r="CW7" s="20">
        <f t="shared" si="13"/>
        <v>4.3650326800554504</v>
      </c>
      <c r="CX7" s="59">
        <f t="shared" si="14"/>
        <v>297.69836601338875</v>
      </c>
      <c r="CY7" s="59">
        <f ca="1">AVERAGE(OFFSET($CX$3,0,0,'Données projet'!$E$13+1,1))-AVERAGE(OFFSET($H$3,0,0,'Données projet'!$E$13+1,1))</f>
        <v>207.93042467236967</v>
      </c>
      <c r="CZ7" s="59">
        <f t="shared" si="42"/>
        <v>250.70954318710835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4.75</v>
      </c>
      <c r="DO7" s="12">
        <f>IF('Données projet'!$A$166&gt;35,DO6+DN7-DW6,IF(A7&lt;'Données projet'!$A$166,$DL$205^A7,IF(A7='Données projet'!$A$166,'Données projet'!$B$166,DO6+DN7-DW6)))</f>
        <v>2.4862495702121006</v>
      </c>
      <c r="DP7" s="17">
        <f>DO7*VLOOKUP('Données projet'!$B$14,Paramètres!$A$1:$I$89,3,0)*VLOOKUP('Données projet'!$B$14,Paramètres!$A$1:$I$89,5,0)</f>
        <v>1.6677762116982771</v>
      </c>
      <c r="DQ7" s="13">
        <f t="shared" si="43"/>
        <v>0.72415744978451535</v>
      </c>
      <c r="DR7" s="20">
        <f t="shared" si="16"/>
        <v>4.16595112708253</v>
      </c>
      <c r="DS7" s="59">
        <f t="shared" si="17"/>
        <v>297.49928446041582</v>
      </c>
      <c r="DT7" s="59">
        <f ca="1">AVERAGE(OFFSET($DS$3,0,0,'Données projet'!$E$14+1,1))-AVERAGE(OFFSET($H$3,0,0,'Données projet'!$E$14+1,1))</f>
        <v>156.63226020379989</v>
      </c>
      <c r="DU7" s="59">
        <f t="shared" si="44"/>
        <v>196.0481096619543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2.9235042735042733</v>
      </c>
      <c r="EJ7" s="12">
        <f>IF('Données projet'!$A$192&gt;35,EJ6+EI7-ER6,IF(A7&lt;'Données projet'!$A$192,$EG$205^A7,IF(A7='Données projet'!$A$192,'Données projet'!$B$192,EJ6+EI7-ER6)))</f>
        <v>1.8158083060704666</v>
      </c>
      <c r="EK7" s="17">
        <f>EJ7*VLOOKUP('Données projet'!$B$15,Paramètres!$A$1:$I$89,3,0)*VLOOKUP('Données projet'!$B$15,Paramètres!$A$1:$I$89,5,0)</f>
        <v>1.8412296223554532</v>
      </c>
      <c r="EL7" s="13">
        <f t="shared" si="45"/>
        <v>0.7903172340072443</v>
      </c>
      <c r="EM7" s="20">
        <f t="shared" si="19"/>
        <v>4.5832774414983648</v>
      </c>
      <c r="EN7" s="59">
        <f t="shared" si="20"/>
        <v>297.91661077483167</v>
      </c>
      <c r="EO7" s="59">
        <f ca="1">AVERAGE(OFFSET($EN$3,0,0,'Données projet'!$E$15+1,1))-AVERAGE(OFFSET($H$3,0,0,'Données projet'!$E$15+1,1))</f>
        <v>190.21499310415584</v>
      </c>
      <c r="EP7" s="59">
        <f t="shared" si="46"/>
        <v>136.15730566500173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1.2291666666666667</v>
      </c>
      <c r="FE7" s="12">
        <f>IF('Données projet'!$A$218&gt;35,FE6+FD7-FM6,IF(A7&lt;'Données projet'!$A$218,$FB$205^A7,IF(A7='Données projet'!$A$218,'Données projet'!$B$218,FE6+FD7-FM6)))</f>
        <v>2.7279996464935996</v>
      </c>
      <c r="FF7" s="17">
        <f>FE7*VLOOKUP('Données projet'!$B$16,Paramètres!$A$1:$I$89,3,0)*VLOOKUP('Données projet'!$B$16,Paramètres!$A$1:$I$89,5,0)</f>
        <v>3.1426555927606263</v>
      </c>
      <c r="FG7" s="13">
        <f t="shared" si="47"/>
        <v>1.2675453530874388</v>
      </c>
      <c r="FH7" s="20">
        <f t="shared" si="22"/>
        <v>7.6810999806853788</v>
      </c>
      <c r="FI7" s="59">
        <f t="shared" si="23"/>
        <v>301.01443331401867</v>
      </c>
      <c r="FJ7" s="59">
        <f ca="1">AVERAGE(OFFSET($FI$3,0,0,'Données projet'!$E$16+1,1))-AVERAGE(OFFSET($H$3,0,0,'Données projet'!$E$16+1,1))</f>
        <v>14.847345852478327</v>
      </c>
      <c r="FK7" s="59">
        <f t="shared" si="48"/>
        <v>46.764428272166299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298.33272306970076</v>
      </c>
      <c r="S8" s="59">
        <f ca="1">AVERAGE(OFFSET($R$3,0,0,'Données projet'!$E$9+1,1))-AVERAGE(OFFSET($H$3,0,0,'Données projet'!$E$9+1,1))</f>
        <v>221.7429870520005</v>
      </c>
      <c r="T8" s="59">
        <f t="shared" si="34"/>
        <v>182.2029938397186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1.1000000000000001</v>
      </c>
      <c r="AI8" s="13">
        <f>IF('Données projet'!$A$62&gt;35,AI7+AH8-AQ7,IF(A8&lt;'Données projet'!$A$62,$AF$205^A8,IF(A8='Données projet'!$A$62,'Données projet'!$B$62,AI7+AH8-AQ7)))</f>
        <v>3.3166247903554016</v>
      </c>
      <c r="AJ8" s="13">
        <f>AI8*VLOOKUP('Données projet'!$B$10,Paramètres!$A$1:$I$89,3,0)*VLOOKUP('Données projet'!$B$10,Paramètres!$A$1:$I$89,5,0)</f>
        <v>2.6387066832067574</v>
      </c>
      <c r="AK8" s="13">
        <f t="shared" si="35"/>
        <v>1.0861586266766543</v>
      </c>
      <c r="AL8" s="20">
        <f t="shared" si="4"/>
        <v>6.4874737480469413</v>
      </c>
      <c r="AM8" s="59">
        <f t="shared" si="5"/>
        <v>299.82080708138028</v>
      </c>
      <c r="AN8" s="59">
        <f ca="1">AVERAGE(OFFSET($AM$3,0,0,'Données projet'!$E$10+1,1))-AVERAGE(OFFSET($H$3,0,0,'Données projet'!$E$10+1,1))</f>
        <v>260.20517190557814</v>
      </c>
      <c r="AO8" s="59">
        <f t="shared" si="36"/>
        <v>307.22009971147133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5.3</v>
      </c>
      <c r="BD8" s="12">
        <f>IF('Données projet'!$A$88&gt;35,BD7+BC8-BL7,IF(A8&lt;'Données projet'!$A$88,$BA$205^A8,IF(A8='Données projet'!$A$88,'Données projet'!$B$88,BD7+BC8-BL7)))</f>
        <v>3.2086804360962771</v>
      </c>
      <c r="BE8" s="13">
        <f>BD8*VLOOKUP('Données projet'!$B$11,Paramètres!$A$1:$I$89,3,0)*VLOOKUP('Données projet'!$B$11,Paramètres!$A$1:$I$89,5,0)</f>
        <v>1.9187909007855739</v>
      </c>
      <c r="BF8" s="13">
        <f t="shared" si="37"/>
        <v>0.81966293473739582</v>
      </c>
      <c r="BG8" s="20">
        <f t="shared" si="7"/>
        <v>4.7694737635358386</v>
      </c>
      <c r="BH8" s="59">
        <f t="shared" si="8"/>
        <v>298.10280709686913</v>
      </c>
      <c r="BI8" s="59">
        <f ca="1">AVERAGE(OFFSET($BH$3,0,0,'Données projet'!$E$11+1,1))-AVERAGE(OFFSET($H$3,0,0,'Données projet'!$E$11+1,1))</f>
        <v>316.58509520829671</v>
      </c>
      <c r="BJ8" s="59">
        <f t="shared" si="38"/>
        <v>240.71332110643596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4.3499999999999996</v>
      </c>
      <c r="BY8" s="12">
        <f>IF('Données projet'!$A$114&gt;35,BY7+BX8-CG7,IF(A8&lt;'Données projet'!$A$114,$BV$205^A8,IF(A8='Données projet'!$A$114,'Données projet'!$B$114,BY7+BX8-CG7)))</f>
        <v>3.0540758099773502</v>
      </c>
      <c r="BZ8" s="13">
        <f>BY8*VLOOKUP('Données projet'!$B$12,Paramètres!$A$1:$I$89,3,0)*VLOOKUP('Données projet'!$B$12,Paramètres!$A$1:$I$89,5,0)</f>
        <v>1.8263373343664557</v>
      </c>
      <c r="CA8" s="13">
        <f t="shared" si="39"/>
        <v>0.78466635980162813</v>
      </c>
      <c r="CB8" s="20">
        <f t="shared" si="10"/>
        <v>4.5474981006760791</v>
      </c>
      <c r="CC8" s="59">
        <f t="shared" si="11"/>
        <v>297.88083143400939</v>
      </c>
      <c r="CD8" s="59">
        <f ca="1">AVERAGE(OFFSET($CC$3,0,0,'Données projet'!$E$12+1,1))-AVERAGE(OFFSET($H$3,0,0,'Données projet'!$E$12+1,1))</f>
        <v>270.30888762640245</v>
      </c>
      <c r="CE8" s="59">
        <f t="shared" si="40"/>
        <v>202.23783851977691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2.2247919093704032</v>
      </c>
      <c r="CV8" s="13">
        <f t="shared" si="41"/>
        <v>0.93415076894867155</v>
      </c>
      <c r="CW8" s="20">
        <f t="shared" si="13"/>
        <v>5.5018251647390555</v>
      </c>
      <c r="CX8" s="59">
        <f t="shared" si="14"/>
        <v>298.83515849807236</v>
      </c>
      <c r="CY8" s="59">
        <f ca="1">AVERAGE(OFFSET($CX$3,0,0,'Données projet'!$E$13+1,1))-AVERAGE(OFFSET($H$3,0,0,'Données projet'!$E$13+1,1))</f>
        <v>207.93042467236967</v>
      </c>
      <c r="CZ8" s="59">
        <f t="shared" si="42"/>
        <v>250.70954318710835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4.75</v>
      </c>
      <c r="DO8" s="12">
        <f>IF('Données projet'!$A$166&gt;35,DO7+DN8-DW7,IF(A8&lt;'Données projet'!$A$166,$DL$205^A8,IF(A8='Données projet'!$A$166,'Données projet'!$B$166,DO7+DN8-DW7)))</f>
        <v>3.121985641352143</v>
      </c>
      <c r="DP8" s="17">
        <f>DO8*VLOOKUP('Données projet'!$B$14,Paramètres!$A$1:$I$89,3,0)*VLOOKUP('Données projet'!$B$14,Paramètres!$A$1:$I$89,5,0)</f>
        <v>2.0942279682190175</v>
      </c>
      <c r="DQ8" s="13">
        <f t="shared" si="43"/>
        <v>0.88554132252781281</v>
      </c>
      <c r="DR8" s="20">
        <f t="shared" si="16"/>
        <v>5.1897648480507295</v>
      </c>
      <c r="DS8" s="59">
        <f t="shared" si="17"/>
        <v>298.52309818138406</v>
      </c>
      <c r="DT8" s="59">
        <f ca="1">AVERAGE(OFFSET($DS$3,0,0,'Données projet'!$E$14+1,1))-AVERAGE(OFFSET($H$3,0,0,'Données projet'!$E$14+1,1))</f>
        <v>156.63226020379989</v>
      </c>
      <c r="DU8" s="59">
        <f t="shared" si="44"/>
        <v>196.0481096619543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2.9235042735042733</v>
      </c>
      <c r="EJ8" s="12">
        <f>IF('Données projet'!$A$192&gt;35,EJ7+EI8-ER7,IF(A8&lt;'Données projet'!$A$192,$EG$205^A8,IF(A8='Données projet'!$A$192,'Données projet'!$B$192,EJ7+EI8-ER7)))</f>
        <v>2.1078393020416879</v>
      </c>
      <c r="EK8" s="17">
        <f>EJ8*VLOOKUP('Données projet'!$B$15,Paramètres!$A$1:$I$89,3,0)*VLOOKUP('Données projet'!$B$15,Paramètres!$A$1:$I$89,5,0)</f>
        <v>2.1373490522702716</v>
      </c>
      <c r="EL8" s="13">
        <f t="shared" si="45"/>
        <v>0.90163344943134527</v>
      </c>
      <c r="EM8" s="20">
        <f t="shared" si="19"/>
        <v>5.2928945237969822</v>
      </c>
      <c r="EN8" s="59">
        <f t="shared" si="20"/>
        <v>298.62622785713029</v>
      </c>
      <c r="EO8" s="59">
        <f ca="1">AVERAGE(OFFSET($EN$3,0,0,'Données projet'!$E$15+1,1))-AVERAGE(OFFSET($H$3,0,0,'Données projet'!$E$15+1,1))</f>
        <v>190.21499310415584</v>
      </c>
      <c r="EP8" s="59">
        <f t="shared" si="46"/>
        <v>136.15730566500173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1.2291666666666667</v>
      </c>
      <c r="FE8" s="12">
        <f>IF('Données projet'!$A$218&gt;35,FE7+FD8-FM7,IF(A8&lt;'Données projet'!$A$218,$FB$205^A8,IF(A8='Données projet'!$A$218,'Données projet'!$B$218,FE7+FD8-FM7)))</f>
        <v>3.5059473279937716</v>
      </c>
      <c r="FF8" s="17">
        <f>FE8*VLOOKUP('Données projet'!$B$16,Paramètres!$A$1:$I$89,3,0)*VLOOKUP('Données projet'!$B$16,Paramètres!$A$1:$I$89,5,0)</f>
        <v>4.0388513218488242</v>
      </c>
      <c r="FG8" s="13">
        <f t="shared" si="47"/>
        <v>1.582127631515539</v>
      </c>
      <c r="FH8" s="20">
        <f t="shared" si="22"/>
        <v>9.7898716771095984</v>
      </c>
      <c r="FI8" s="59">
        <f t="shared" si="23"/>
        <v>303.12320501044292</v>
      </c>
      <c r="FJ8" s="59">
        <f ca="1">AVERAGE(OFFSET($FI$3,0,0,'Données projet'!$E$16+1,1))-AVERAGE(OFFSET($H$3,0,0,'Données projet'!$E$16+1,1))</f>
        <v>14.847345852478327</v>
      </c>
      <c r="FK8" s="59">
        <f t="shared" si="48"/>
        <v>46.764428272166299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299.16847604903143</v>
      </c>
      <c r="S9" s="59">
        <f ca="1">AVERAGE(OFFSET($R$3,0,0,'Données projet'!$E$9+1,1))-AVERAGE(OFFSET($H$3,0,0,'Données projet'!$E$9+1,1))</f>
        <v>221.7429870520005</v>
      </c>
      <c r="T9" s="59">
        <f t="shared" si="34"/>
        <v>182.2029938397186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1.1000000000000001</v>
      </c>
      <c r="AI9" s="13">
        <f>IF('Données projet'!$A$62&gt;35,AI8+AH9-AQ8,IF(A9&lt;'Données projet'!$A$62,$AF$205^A9,IF(A9='Données projet'!$A$62,'Données projet'!$B$62,AI8+AH9-AQ8)))</f>
        <v>4.2153691330919028</v>
      </c>
      <c r="AJ9" s="13">
        <f>AI9*VLOOKUP('Données projet'!$B$10,Paramètres!$A$1:$I$89,3,0)*VLOOKUP('Données projet'!$B$10,Paramètres!$A$1:$I$89,5,0)</f>
        <v>3.353747682287918</v>
      </c>
      <c r="AK9" s="13">
        <f t="shared" si="35"/>
        <v>1.3424889309030987</v>
      </c>
      <c r="AL9" s="20">
        <f t="shared" si="4"/>
        <v>8.1792787679743544</v>
      </c>
      <c r="AM9" s="59">
        <f t="shared" si="5"/>
        <v>301.5126121013077</v>
      </c>
      <c r="AN9" s="59">
        <f ca="1">AVERAGE(OFFSET($AM$3,0,0,'Données projet'!$E$10+1,1))-AVERAGE(OFFSET($H$3,0,0,'Données projet'!$E$10+1,1))</f>
        <v>260.20517190557814</v>
      </c>
      <c r="AO9" s="59">
        <f t="shared" si="36"/>
        <v>307.22009971147133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5.3</v>
      </c>
      <c r="BD9" s="12">
        <f>IF('Données projet'!$A$88&gt;35,BD8+BC9-BL8,IF(A9&lt;'Données projet'!$A$88,$BA$205^A9,IF(A9='Données projet'!$A$88,'Données projet'!$B$88,BD8+BC9-BL8)))</f>
        <v>4.0512753315731445</v>
      </c>
      <c r="BE9" s="13">
        <f>BD9*VLOOKUP('Données projet'!$B$11,Paramètres!$A$1:$I$89,3,0)*VLOOKUP('Données projet'!$B$11,Paramètres!$A$1:$I$89,5,0)</f>
        <v>2.4226626482807405</v>
      </c>
      <c r="BF9" s="13">
        <f t="shared" si="37"/>
        <v>1.0071944171072709</v>
      </c>
      <c r="BG9" s="20">
        <f t="shared" si="7"/>
        <v>5.9736677222174537</v>
      </c>
      <c r="BH9" s="59">
        <f t="shared" si="8"/>
        <v>299.30700105555076</v>
      </c>
      <c r="BI9" s="59">
        <f ca="1">AVERAGE(OFFSET($BH$3,0,0,'Données projet'!$E$11+1,1))-AVERAGE(OFFSET($H$3,0,0,'Données projet'!$E$11+1,1))</f>
        <v>316.58509520829671</v>
      </c>
      <c r="BJ9" s="59">
        <f t="shared" si="38"/>
        <v>240.71332110643596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4.3499999999999996</v>
      </c>
      <c r="BY9" s="12">
        <f>IF('Données projet'!$A$114&gt;35,BY8+BX9-CG8,IF(A9&lt;'Données projet'!$A$114,$BV$205^A9,IF(A9='Données projet'!$A$114,'Données projet'!$B$114,BY8+BX9-CG8)))</f>
        <v>3.8181745258867665</v>
      </c>
      <c r="BZ9" s="13">
        <f>BY9*VLOOKUP('Données projet'!$B$12,Paramètres!$A$1:$I$89,3,0)*VLOOKUP('Données projet'!$B$12,Paramètres!$A$1:$I$89,5,0)</f>
        <v>2.2832683664802866</v>
      </c>
      <c r="CA9" s="13">
        <f t="shared" si="39"/>
        <v>0.95581313527995093</v>
      </c>
      <c r="CB9" s="20">
        <f t="shared" si="10"/>
        <v>5.6414002822324134</v>
      </c>
      <c r="CC9" s="59">
        <f t="shared" si="11"/>
        <v>298.97473361556575</v>
      </c>
      <c r="CD9" s="59">
        <f ca="1">AVERAGE(OFFSET($CC$3,0,0,'Données projet'!$E$12+1,1))-AVERAGE(OFFSET($H$3,0,0,'Données projet'!$E$12+1,1))</f>
        <v>270.30888762640245</v>
      </c>
      <c r="CE9" s="59">
        <f t="shared" si="40"/>
        <v>202.23783851977691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2.8276696144780482</v>
      </c>
      <c r="CV9" s="13">
        <f t="shared" si="41"/>
        <v>1.1546076570283019</v>
      </c>
      <c r="CW9" s="20">
        <f t="shared" si="13"/>
        <v>6.9357995812068935</v>
      </c>
      <c r="CX9" s="59">
        <f t="shared" si="14"/>
        <v>300.26913291454019</v>
      </c>
      <c r="CY9" s="59">
        <f ca="1">AVERAGE(OFFSET($CX$3,0,0,'Données projet'!$E$13+1,1))-AVERAGE(OFFSET($H$3,0,0,'Données projet'!$E$13+1,1))</f>
        <v>207.93042467236967</v>
      </c>
      <c r="CZ9" s="59">
        <f t="shared" si="42"/>
        <v>250.70954318710835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4.75</v>
      </c>
      <c r="DO9" s="12">
        <f>IF('Données projet'!$A$166&gt;35,DO8+DN9-DW8,IF(A9&lt;'Données projet'!$A$166,$DL$205^A9,IF(A9='Données projet'!$A$166,'Données projet'!$B$166,DO8+DN9-DW8)))</f>
        <v>3.920279951613006</v>
      </c>
      <c r="DP9" s="17">
        <f>DO9*VLOOKUP('Données projet'!$B$14,Paramètres!$A$1:$I$89,3,0)*VLOOKUP('Données projet'!$B$14,Paramètres!$A$1:$I$89,5,0)</f>
        <v>2.6297237915420046</v>
      </c>
      <c r="DQ9" s="13">
        <f t="shared" si="43"/>
        <v>1.0828907914123567</v>
      </c>
      <c r="DR9" s="20">
        <f t="shared" si="16"/>
        <v>6.4661370653121786</v>
      </c>
      <c r="DS9" s="59">
        <f t="shared" si="17"/>
        <v>299.7994703986455</v>
      </c>
      <c r="DT9" s="59">
        <f ca="1">AVERAGE(OFFSET($DS$3,0,0,'Données projet'!$E$14+1,1))-AVERAGE(OFFSET($H$3,0,0,'Données projet'!$E$14+1,1))</f>
        <v>156.63226020379989</v>
      </c>
      <c r="DU9" s="59">
        <f t="shared" si="44"/>
        <v>196.0481096619543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2.9235042735042733</v>
      </c>
      <c r="EJ9" s="12">
        <f>IF('Données projet'!$A$192&gt;35,EJ8+EI9-ER8,IF(A9&lt;'Données projet'!$A$192,$EG$205^A9,IF(A9='Données projet'!$A$192,'Données projet'!$B$192,EJ8+EI9-ER8)))</f>
        <v>2.4468367659615553</v>
      </c>
      <c r="EK9" s="17">
        <f>EJ9*VLOOKUP('Données projet'!$B$15,Paramètres!$A$1:$I$89,3,0)*VLOOKUP('Données projet'!$B$15,Paramètres!$A$1:$I$89,5,0)</f>
        <v>2.4810924806850174</v>
      </c>
      <c r="EL9" s="13">
        <f t="shared" si="45"/>
        <v>1.0286285584479797</v>
      </c>
      <c r="EM9" s="20">
        <f t="shared" si="19"/>
        <v>6.1127641431566362</v>
      </c>
      <c r="EN9" s="59">
        <f t="shared" si="20"/>
        <v>299.44609747648997</v>
      </c>
      <c r="EO9" s="59">
        <f ca="1">AVERAGE(OFFSET($EN$3,0,0,'Données projet'!$E$15+1,1))-AVERAGE(OFFSET($H$3,0,0,'Données projet'!$E$15+1,1))</f>
        <v>190.21499310415584</v>
      </c>
      <c r="EP9" s="59">
        <f t="shared" si="46"/>
        <v>136.15730566500173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1.2291666666666667</v>
      </c>
      <c r="FE9" s="12">
        <f>IF('Données projet'!$A$218&gt;35,FE8+FD9-FM8,IF(A9&lt;'Données projet'!$A$218,$FB$205^A9,IF(A9='Données projet'!$A$218,'Données projet'!$B$218,FE8+FD9-FM8)))</f>
        <v>4.5057434968753043</v>
      </c>
      <c r="FF9" s="17">
        <f>FE9*VLOOKUP('Données projet'!$B$16,Paramètres!$A$1:$I$89,3,0)*VLOOKUP('Données projet'!$B$16,Paramètres!$A$1:$I$89,5,0)</f>
        <v>5.1906165084003497</v>
      </c>
      <c r="FG9" s="13">
        <f t="shared" si="47"/>
        <v>1.9747836527568388</v>
      </c>
      <c r="FH9" s="20">
        <f t="shared" si="22"/>
        <v>12.479738614015437</v>
      </c>
      <c r="FI9" s="59">
        <f t="shared" si="23"/>
        <v>305.81307194734876</v>
      </c>
      <c r="FJ9" s="59">
        <f ca="1">AVERAGE(OFFSET($FI$3,0,0,'Données projet'!$E$16+1,1))-AVERAGE(OFFSET($H$3,0,0,'Données projet'!$E$16+1,1))</f>
        <v>14.847345852478327</v>
      </c>
      <c r="FK9" s="59">
        <f t="shared" si="48"/>
        <v>46.764428272166299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300.14443389227944</v>
      </c>
      <c r="S10" s="59">
        <f ca="1">AVERAGE(OFFSET($R$3,0,0,'Données projet'!$E$9+1,1))-AVERAGE(OFFSET($H$3,0,0,'Données projet'!$E$9+1,1))</f>
        <v>221.7429870520005</v>
      </c>
      <c r="T10" s="59">
        <f t="shared" si="34"/>
        <v>182.2029938397186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1.1000000000000001</v>
      </c>
      <c r="AI10" s="13">
        <f>IF('Données projet'!$A$62&gt;35,AI9+AH10-AQ9,IF(A10&lt;'Données projet'!$A$62,$AF$205^A10,IF(A10='Données projet'!$A$62,'Données projet'!$B$62,AI9+AH10-AQ9)))</f>
        <v>5.3576566694841175</v>
      </c>
      <c r="AJ10" s="13">
        <f>AI10*VLOOKUP('Données projet'!$B$10,Paramètres!$A$1:$I$89,3,0)*VLOOKUP('Données projet'!$B$10,Paramètres!$A$1:$I$89,5,0)</f>
        <v>4.2625516462415645</v>
      </c>
      <c r="AK10" s="13">
        <f t="shared" si="35"/>
        <v>1.6593124478620722</v>
      </c>
      <c r="AL10" s="20">
        <f t="shared" si="4"/>
        <v>10.313913297230501</v>
      </c>
      <c r="AM10" s="59">
        <f t="shared" si="5"/>
        <v>303.64724663056381</v>
      </c>
      <c r="AN10" s="59">
        <f ca="1">AVERAGE(OFFSET($AM$3,0,0,'Données projet'!$E$10+1,1))-AVERAGE(OFFSET($H$3,0,0,'Données projet'!$E$10+1,1))</f>
        <v>260.20517190557814</v>
      </c>
      <c r="AO10" s="59">
        <f t="shared" si="36"/>
        <v>307.22009971147133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5.3</v>
      </c>
      <c r="BD10" s="12">
        <f>IF('Données projet'!$A$88&gt;35,BD9+BC10-BL9,IF(A10&lt;'Données projet'!$A$88,$BA$205^A10,IF(A10='Données projet'!$A$88,'Données projet'!$B$88,BD9+BC10-BL9)))</f>
        <v>5.1151344420515628</v>
      </c>
      <c r="BE10" s="13">
        <f>BD10*VLOOKUP('Données projet'!$B$11,Paramètres!$A$1:$I$89,3,0)*VLOOKUP('Données projet'!$B$11,Paramètres!$A$1:$I$89,5,0)</f>
        <v>3.0588503963468345</v>
      </c>
      <c r="BF10" s="13">
        <f t="shared" si="37"/>
        <v>1.2376314102540975</v>
      </c>
      <c r="BG10" s="20">
        <f t="shared" si="7"/>
        <v>7.4830391464966226</v>
      </c>
      <c r="BH10" s="59">
        <f t="shared" si="8"/>
        <v>300.81637247982997</v>
      </c>
      <c r="BI10" s="59">
        <f ca="1">AVERAGE(OFFSET($BH$3,0,0,'Données projet'!$E$11+1,1))-AVERAGE(OFFSET($H$3,0,0,'Données projet'!$E$11+1,1))</f>
        <v>316.58509520829671</v>
      </c>
      <c r="BJ10" s="59">
        <f t="shared" si="38"/>
        <v>240.71332110643596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4.3499999999999996</v>
      </c>
      <c r="BY10" s="12">
        <f>IF('Données projet'!$A$114&gt;35,BY9+BX10-CG9,IF(A10&lt;'Données projet'!$A$114,$BV$205^A10,IF(A10='Données projet'!$A$114,'Données projet'!$B$114,BY9+BX10-CG9)))</f>
        <v>4.7734429716853528</v>
      </c>
      <c r="BZ10" s="13">
        <f>BY10*VLOOKUP('Données projet'!$B$12,Paramètres!$A$1:$I$89,3,0)*VLOOKUP('Données projet'!$B$12,Paramètres!$A$1:$I$89,5,0)</f>
        <v>2.8545188970678415</v>
      </c>
      <c r="CA10" s="13">
        <f t="shared" si="39"/>
        <v>1.1642894309941516</v>
      </c>
      <c r="CB10" s="20">
        <f t="shared" si="10"/>
        <v>6.9994245047079717</v>
      </c>
      <c r="CC10" s="59">
        <f t="shared" si="11"/>
        <v>300.33275783804129</v>
      </c>
      <c r="CD10" s="59">
        <f ca="1">AVERAGE(OFFSET($CC$3,0,0,'Données projet'!$E$12+1,1))-AVERAGE(OFFSET($H$3,0,0,'Données projet'!$E$12+1,1))</f>
        <v>270.30888762640245</v>
      </c>
      <c r="CE10" s="59">
        <f t="shared" si="40"/>
        <v>202.23783851977691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3.5939160938899462</v>
      </c>
      <c r="CV10" s="13">
        <f t="shared" si="41"/>
        <v>1.4270917350619183</v>
      </c>
      <c r="CW10" s="20">
        <f t="shared" si="13"/>
        <v>8.7449219687578292</v>
      </c>
      <c r="CX10" s="59">
        <f t="shared" si="14"/>
        <v>302.07825530209112</v>
      </c>
      <c r="CY10" s="59">
        <f ca="1">AVERAGE(OFFSET($CX$3,0,0,'Données projet'!$E$13+1,1))-AVERAGE(OFFSET($H$3,0,0,'Données projet'!$E$13+1,1))</f>
        <v>207.93042467236967</v>
      </c>
      <c r="CZ10" s="59">
        <f t="shared" si="42"/>
        <v>250.70954318710835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4.75</v>
      </c>
      <c r="DO10" s="12">
        <f>IF('Données projet'!$A$166&gt;35,DO9+DN10-DW9,IF(A10&lt;'Données projet'!$A$166,$DL$205^A10,IF(A10='Données projet'!$A$166,'Données projet'!$B$166,DO9+DN10-DW9)))</f>
        <v>4.9226987771675601</v>
      </c>
      <c r="DP10" s="17">
        <f>DO10*VLOOKUP('Données projet'!$B$14,Paramètres!$A$1:$I$89,3,0)*VLOOKUP('Données projet'!$B$14,Paramètres!$A$1:$I$89,5,0)</f>
        <v>3.3021463397239992</v>
      </c>
      <c r="DQ10" s="13">
        <f t="shared" si="43"/>
        <v>1.3242210569895227</v>
      </c>
      <c r="DR10" s="20">
        <f t="shared" si="16"/>
        <v>8.057589882609383</v>
      </c>
      <c r="DS10" s="59">
        <f t="shared" si="17"/>
        <v>301.39092321594268</v>
      </c>
      <c r="DT10" s="59">
        <f ca="1">AVERAGE(OFFSET($DS$3,0,0,'Données projet'!$E$14+1,1))-AVERAGE(OFFSET($H$3,0,0,'Données projet'!$E$14+1,1))</f>
        <v>156.63226020379989</v>
      </c>
      <c r="DU10" s="59">
        <f t="shared" si="44"/>
        <v>196.0481096619543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2.9235042735042733</v>
      </c>
      <c r="EJ10" s="12">
        <f>IF('Données projet'!$A$192&gt;35,EJ9+EI10-ER9,IF(A10&lt;'Données projet'!$A$192,$EG$205^A10,IF(A10='Données projet'!$A$192,'Données projet'!$B$192,EJ9+EI10-ER9)))</f>
        <v>2.8403541738035183</v>
      </c>
      <c r="EK10" s="17">
        <f>EJ10*VLOOKUP('Données projet'!$B$15,Paramètres!$A$1:$I$89,3,0)*VLOOKUP('Données projet'!$B$15,Paramètres!$A$1:$I$89,5,0)</f>
        <v>2.8801191322367679</v>
      </c>
      <c r="EL10" s="13">
        <f t="shared" si="45"/>
        <v>1.1735109338746152</v>
      </c>
      <c r="EM10" s="20">
        <f t="shared" si="19"/>
        <v>7.0600723651439914</v>
      </c>
      <c r="EN10" s="59">
        <f t="shared" si="20"/>
        <v>300.3934056984773</v>
      </c>
      <c r="EO10" s="59">
        <f ca="1">AVERAGE(OFFSET($EN$3,0,0,'Données projet'!$E$15+1,1))-AVERAGE(OFFSET($H$3,0,0,'Données projet'!$E$15+1,1))</f>
        <v>190.21499310415584</v>
      </c>
      <c r="EP10" s="59">
        <f t="shared" si="46"/>
        <v>136.15730566500173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1.2291666666666667</v>
      </c>
      <c r="FE10" s="12">
        <f>IF('Données projet'!$A$218&gt;35,FE9+FD10-FM9,IF(A10&lt;'Données projet'!$A$218,$FB$205^A10,IF(A10='Données projet'!$A$218,'Données projet'!$B$218,FE9+FD10-FM9)))</f>
        <v>5.7906530133900986</v>
      </c>
      <c r="FF10" s="17">
        <f>FE10*VLOOKUP('Données projet'!$B$16,Paramètres!$A$1:$I$89,3,0)*VLOOKUP('Données projet'!$B$16,Paramètres!$A$1:$I$89,5,0)</f>
        <v>6.6708322714253931</v>
      </c>
      <c r="FG10" s="13">
        <f t="shared" si="47"/>
        <v>2.464889935244988</v>
      </c>
      <c r="FH10" s="20">
        <f t="shared" si="22"/>
        <v>15.911382843284249</v>
      </c>
      <c r="FI10" s="59">
        <f t="shared" si="23"/>
        <v>309.24471617661754</v>
      </c>
      <c r="FJ10" s="59">
        <f ca="1">AVERAGE(OFFSET($FI$3,0,0,'Données projet'!$E$16+1,1))-AVERAGE(OFFSET($H$3,0,0,'Données projet'!$E$16+1,1))</f>
        <v>14.847345852478327</v>
      </c>
      <c r="FK10" s="59">
        <f t="shared" si="48"/>
        <v>46.764428272166299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301.28419471901185</v>
      </c>
      <c r="S11" s="59">
        <f ca="1">AVERAGE(OFFSET($R$3,0,0,'Données projet'!$E$9+1,1))-AVERAGE(OFFSET($H$3,0,0,'Données projet'!$E$9+1,1))</f>
        <v>221.7429870520005</v>
      </c>
      <c r="T11" s="59">
        <f t="shared" si="34"/>
        <v>182.2029938397186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1.1000000000000001</v>
      </c>
      <c r="AI11" s="13">
        <f>IF('Données projet'!$A$62&gt;35,AI10+AH11-AQ10,IF(A11&lt;'Données projet'!$A$62,$AF$205^A11,IF(A11='Données projet'!$A$62,'Données projet'!$B$62,AI10+AH11-AQ10)))</f>
        <v>6.8094831275223076</v>
      </c>
      <c r="AJ11" s="13">
        <f>AI11*VLOOKUP('Données projet'!$B$10,Paramètres!$A$1:$I$89,3,0)*VLOOKUP('Données projet'!$B$10,Paramètres!$A$1:$I$89,5,0)</f>
        <v>5.4176247762567487</v>
      </c>
      <c r="AK11" s="13">
        <f t="shared" si="35"/>
        <v>2.0509054013412618</v>
      </c>
      <c r="AL11" s="20">
        <f t="shared" si="4"/>
        <v>13.007690059316532</v>
      </c>
      <c r="AM11" s="59">
        <f t="shared" si="5"/>
        <v>306.34102339264984</v>
      </c>
      <c r="AN11" s="59">
        <f ca="1">AVERAGE(OFFSET($AM$3,0,0,'Données projet'!$E$10+1,1))-AVERAGE(OFFSET($H$3,0,0,'Données projet'!$E$10+1,1))</f>
        <v>260.20517190557814</v>
      </c>
      <c r="AO11" s="59">
        <f t="shared" si="36"/>
        <v>307.22009971147133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5.3</v>
      </c>
      <c r="BD11" s="12">
        <f>IF('Données projet'!$A$88&gt;35,BD10+BC11-BL10,IF(A11&lt;'Données projet'!$A$88,$BA$205^A11,IF(A11='Données projet'!$A$88,'Données projet'!$B$88,BD10+BC11-BL10)))</f>
        <v>6.4583614340776521</v>
      </c>
      <c r="BE11" s="13">
        <f>BD11*VLOOKUP('Données projet'!$B$11,Paramètres!$A$1:$I$89,3,0)*VLOOKUP('Données projet'!$B$11,Paramètres!$A$1:$I$89,5,0)</f>
        <v>3.8621001375784361</v>
      </c>
      <c r="BF11" s="13">
        <f t="shared" si="37"/>
        <v>1.520790307840248</v>
      </c>
      <c r="BG11" s="20">
        <f t="shared" si="7"/>
        <v>9.375200859104206</v>
      </c>
      <c r="BH11" s="59">
        <f t="shared" si="8"/>
        <v>302.70853419243753</v>
      </c>
      <c r="BI11" s="59">
        <f ca="1">AVERAGE(OFFSET($BH$3,0,0,'Données projet'!$E$11+1,1))-AVERAGE(OFFSET($H$3,0,0,'Données projet'!$E$11+1,1))</f>
        <v>316.58509520829671</v>
      </c>
      <c r="BJ11" s="59">
        <f t="shared" si="38"/>
        <v>240.71332110643596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4.3499999999999996</v>
      </c>
      <c r="BY11" s="12">
        <f>IF('Données projet'!$A$114&gt;35,BY10+BX11-CG10,IF(A11&lt;'Données projet'!$A$114,$BV$205^A11,IF(A11='Données projet'!$A$114,'Données projet'!$B$114,BY10+BX11-CG10)))</f>
        <v>5.9677098701087603</v>
      </c>
      <c r="BZ11" s="13">
        <f>BY11*VLOOKUP('Données projet'!$B$12,Paramètres!$A$1:$I$89,3,0)*VLOOKUP('Données projet'!$B$12,Paramètres!$A$1:$I$89,5,0)</f>
        <v>3.5686905023250386</v>
      </c>
      <c r="CA11" s="13">
        <f t="shared" si="39"/>
        <v>1.4182373406363031</v>
      </c>
      <c r="CB11" s="20">
        <f t="shared" si="10"/>
        <v>8.6855659931576685</v>
      </c>
      <c r="CC11" s="59">
        <f t="shared" si="11"/>
        <v>302.01889932649101</v>
      </c>
      <c r="CD11" s="59">
        <f ca="1">AVERAGE(OFFSET($CC$3,0,0,'Données projet'!$E$12+1,1))-AVERAGE(OFFSET($H$3,0,0,'Données projet'!$E$12+1,1))</f>
        <v>270.30888762640245</v>
      </c>
      <c r="CE11" s="59">
        <f t="shared" si="40"/>
        <v>202.23783851977691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4.5678012819419642</v>
      </c>
      <c r="CV11" s="13">
        <f t="shared" si="41"/>
        <v>1.7638812698711521</v>
      </c>
      <c r="CW11" s="20">
        <f t="shared" si="13"/>
        <v>11.027680444407844</v>
      </c>
      <c r="CX11" s="59">
        <f t="shared" si="14"/>
        <v>304.36101377774116</v>
      </c>
      <c r="CY11" s="59">
        <f ca="1">AVERAGE(OFFSET($CX$3,0,0,'Données projet'!$E$13+1,1))-AVERAGE(OFFSET($H$3,0,0,'Données projet'!$E$13+1,1))</f>
        <v>207.93042467236967</v>
      </c>
      <c r="CZ11" s="59">
        <f t="shared" si="42"/>
        <v>250.70954318710835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4.75</v>
      </c>
      <c r="DO11" s="12">
        <f>IF('Données projet'!$A$166&gt;35,DO10+DN11-DW10,IF(A11&lt;'Données projet'!$A$166,$DL$205^A11,IF(A11='Données projet'!$A$166,'Données projet'!$B$166,DO10+DN11-DW10)))</f>
        <v>6.1814369253798551</v>
      </c>
      <c r="DP11" s="17">
        <f>DO11*VLOOKUP('Données projet'!$B$14,Paramètres!$A$1:$I$89,3,0)*VLOOKUP('Données projet'!$B$14,Paramètres!$A$1:$I$89,5,0)</f>
        <v>4.1465078895448073</v>
      </c>
      <c r="DQ11" s="13">
        <f t="shared" si="43"/>
        <v>1.6193335668570716</v>
      </c>
      <c r="DR11" s="20">
        <f t="shared" si="16"/>
        <v>10.042173869899939</v>
      </c>
      <c r="DS11" s="59">
        <f t="shared" si="17"/>
        <v>303.37550720323327</v>
      </c>
      <c r="DT11" s="59">
        <f ca="1">AVERAGE(OFFSET($DS$3,0,0,'Données projet'!$E$14+1,1))-AVERAGE(OFFSET($H$3,0,0,'Données projet'!$E$14+1,1))</f>
        <v>156.63226020379989</v>
      </c>
      <c r="DU11" s="59">
        <f t="shared" si="44"/>
        <v>196.0481096619543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2.9235042735042733</v>
      </c>
      <c r="EJ11" s="12">
        <f>IF('Données projet'!$A$192&gt;35,EJ10+EI11-ER10,IF(A11&lt;'Données projet'!$A$192,$EG$205^A11,IF(A11='Données projet'!$A$192,'Données projet'!$B$192,EJ10+EI11-ER10)))</f>
        <v>3.2971598043944974</v>
      </c>
      <c r="EK11" s="17">
        <f>EJ11*VLOOKUP('Données projet'!$B$15,Paramètres!$A$1:$I$89,3,0)*VLOOKUP('Données projet'!$B$15,Paramètres!$A$1:$I$89,5,0)</f>
        <v>3.3433200416560207</v>
      </c>
      <c r="EL11" s="13">
        <f t="shared" si="45"/>
        <v>1.3387999979323115</v>
      </c>
      <c r="EM11" s="20">
        <f t="shared" si="19"/>
        <v>8.1546924022830094</v>
      </c>
      <c r="EN11" s="59">
        <f t="shared" si="20"/>
        <v>301.4880257356163</v>
      </c>
      <c r="EO11" s="59">
        <f ca="1">AVERAGE(OFFSET($EN$3,0,0,'Données projet'!$E$15+1,1))-AVERAGE(OFFSET($H$3,0,0,'Données projet'!$E$15+1,1))</f>
        <v>190.21499310415584</v>
      </c>
      <c r="EP11" s="59">
        <f t="shared" si="46"/>
        <v>136.15730566500173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1.2291666666666667</v>
      </c>
      <c r="FE11" s="12">
        <f>IF('Données projet'!$A$218&gt;35,FE10+FD11-FM10,IF(A11&lt;'Données projet'!$A$218,$FB$205^A11,IF(A11='Données projet'!$A$218,'Données projet'!$B$218,FE10+FD11-FM10)))</f>
        <v>7.4419820712692042</v>
      </c>
      <c r="FF11" s="17">
        <f>FE11*VLOOKUP('Données projet'!$B$16,Paramètres!$A$1:$I$89,3,0)*VLOOKUP('Données projet'!$B$16,Paramètres!$A$1:$I$89,5,0)</f>
        <v>8.5731633461021222</v>
      </c>
      <c r="FG11" s="13">
        <f t="shared" si="47"/>
        <v>3.0766319056724329</v>
      </c>
      <c r="FH11" s="20">
        <f t="shared" si="22"/>
        <v>20.290060063507351</v>
      </c>
      <c r="FI11" s="59">
        <f t="shared" si="23"/>
        <v>313.62339339684064</v>
      </c>
      <c r="FJ11" s="59">
        <f ca="1">AVERAGE(OFFSET($FI$3,0,0,'Données projet'!$E$16+1,1))-AVERAGE(OFFSET($H$3,0,0,'Données projet'!$E$16+1,1))</f>
        <v>14.847345852478327</v>
      </c>
      <c r="FK11" s="59">
        <f t="shared" si="48"/>
        <v>46.764428272166299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302.61534068234357</v>
      </c>
      <c r="S12" s="59">
        <f ca="1">AVERAGE(OFFSET($R$3,0,0,'Données projet'!$E$9+1,1))-AVERAGE(OFFSET($H$3,0,0,'Données projet'!$E$9+1,1))</f>
        <v>221.7429870520005</v>
      </c>
      <c r="T12" s="59">
        <f t="shared" si="34"/>
        <v>182.2029938397186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1.1000000000000001</v>
      </c>
      <c r="AI12" s="13">
        <f>IF('Données projet'!$A$62&gt;35,AI11+AH12-AQ11,IF(A12&lt;'Données projet'!$A$62,$AF$205^A12,IF(A12='Données projet'!$A$62,'Données projet'!$B$62,AI11+AH12-AQ11)))</f>
        <v>8.6547278641645029</v>
      </c>
      <c r="AJ12" s="13">
        <f>AI12*VLOOKUP('Données projet'!$B$10,Paramètres!$A$1:$I$89,3,0)*VLOOKUP('Données projet'!$B$10,Paramètres!$A$1:$I$89,5,0)</f>
        <v>6.8857014887292793</v>
      </c>
      <c r="AK12" s="13">
        <f t="shared" si="35"/>
        <v>2.5349131627802968</v>
      </c>
      <c r="AL12" s="20">
        <f t="shared" si="4"/>
        <v>16.407570518045844</v>
      </c>
      <c r="AM12" s="59">
        <f t="shared" si="5"/>
        <v>309.74090385137913</v>
      </c>
      <c r="AN12" s="59">
        <f ca="1">AVERAGE(OFFSET($AM$3,0,0,'Données projet'!$E$10+1,1))-AVERAGE(OFFSET($H$3,0,0,'Données projet'!$E$10+1,1))</f>
        <v>260.20517190557814</v>
      </c>
      <c r="AO12" s="59">
        <f t="shared" si="36"/>
        <v>307.22009971147133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5.3</v>
      </c>
      <c r="BD12" s="12">
        <f>IF('Données projet'!$A$88&gt;35,BD11+BC12-BL11,IF(A12&lt;'Données projet'!$A$88,$BA$205^A12,IF(A12='Données projet'!$A$88,'Données projet'!$B$88,BD11+BC12-BL11)))</f>
        <v>8.1543179139691304</v>
      </c>
      <c r="BE12" s="13">
        <f>BD12*VLOOKUP('Données projet'!$B$11,Paramètres!$A$1:$I$89,3,0)*VLOOKUP('Données projet'!$B$11,Paramètres!$A$1:$I$89,5,0)</f>
        <v>4.8762821125535405</v>
      </c>
      <c r="BF12" s="13">
        <f t="shared" si="37"/>
        <v>1.8687334058094056</v>
      </c>
      <c r="BG12" s="20">
        <f t="shared" si="7"/>
        <v>11.747568694482132</v>
      </c>
      <c r="BH12" s="59">
        <f t="shared" si="8"/>
        <v>305.08090202781545</v>
      </c>
      <c r="BI12" s="59">
        <f ca="1">AVERAGE(OFFSET($BH$3,0,0,'Données projet'!$E$11+1,1))-AVERAGE(OFFSET($H$3,0,0,'Données projet'!$E$11+1,1))</f>
        <v>316.58509520829671</v>
      </c>
      <c r="BJ12" s="59">
        <f t="shared" si="38"/>
        <v>240.71332110643596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4.3499999999999996</v>
      </c>
      <c r="BY12" s="12">
        <f>IF('Données projet'!$A$114&gt;35,BY11+BX12-CG11,IF(A12&lt;'Données projet'!$A$114,$BV$205^A12,IF(A12='Données projet'!$A$114,'Données projet'!$B$114,BY11+BX12-CG11)))</f>
        <v>7.4607702040314701</v>
      </c>
      <c r="BZ12" s="13">
        <f>BY12*VLOOKUP('Données projet'!$B$12,Paramètres!$A$1:$I$89,3,0)*VLOOKUP('Données projet'!$B$12,Paramètres!$A$1:$I$89,5,0)</f>
        <v>4.4615405820108194</v>
      </c>
      <c r="CA12" s="13">
        <f t="shared" si="39"/>
        <v>1.7275748631142889</v>
      </c>
      <c r="CB12" s="20">
        <f t="shared" si="10"/>
        <v>10.779376066926231</v>
      </c>
      <c r="CC12" s="59">
        <f t="shared" si="11"/>
        <v>304.11270940025952</v>
      </c>
      <c r="CD12" s="59">
        <f ca="1">AVERAGE(OFFSET($CC$3,0,0,'Données projet'!$E$12+1,1))-AVERAGE(OFFSET($H$3,0,0,'Données projet'!$E$12+1,1))</f>
        <v>270.30888762640245</v>
      </c>
      <c r="CE12" s="59">
        <f t="shared" si="40"/>
        <v>202.23783851977691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5.8055914512815487</v>
      </c>
      <c r="CV12" s="13">
        <f t="shared" si="41"/>
        <v>2.1801521638461985</v>
      </c>
      <c r="CW12" s="20">
        <f t="shared" si="13"/>
        <v>13.908503463014158</v>
      </c>
      <c r="CX12" s="59">
        <f t="shared" si="14"/>
        <v>307.24183679634746</v>
      </c>
      <c r="CY12" s="59">
        <f ca="1">AVERAGE(OFFSET($CX$3,0,0,'Données projet'!$E$13+1,1))-AVERAGE(OFFSET($H$3,0,0,'Données projet'!$E$13+1,1))</f>
        <v>207.93042467236967</v>
      </c>
      <c r="CZ12" s="59">
        <f t="shared" si="42"/>
        <v>250.70954318710835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4.75</v>
      </c>
      <c r="DO12" s="12">
        <f>IF('Données projet'!$A$166&gt;35,DO11+DN12-DW11,IF(A12&lt;'Données projet'!$A$166,$DL$205^A12,IF(A12='Données projet'!$A$166,'Données projet'!$B$166,DO11+DN12-DW11)))</f>
        <v>7.7620354590201153</v>
      </c>
      <c r="DP12" s="17">
        <f>DO12*VLOOKUP('Données projet'!$B$14,Paramètres!$A$1:$I$89,3,0)*VLOOKUP('Données projet'!$B$14,Paramètres!$A$1:$I$89,5,0)</f>
        <v>5.2067733859106937</v>
      </c>
      <c r="DQ12" s="13">
        <f t="shared" si="43"/>
        <v>1.980214094096522</v>
      </c>
      <c r="DR12" s="20">
        <f t="shared" si="16"/>
        <v>12.517336527679234</v>
      </c>
      <c r="DS12" s="59">
        <f t="shared" si="17"/>
        <v>305.85066986101253</v>
      </c>
      <c r="DT12" s="59">
        <f ca="1">AVERAGE(OFFSET($DS$3,0,0,'Données projet'!$E$14+1,1))-AVERAGE(OFFSET($H$3,0,0,'Données projet'!$E$14+1,1))</f>
        <v>156.63226020379989</v>
      </c>
      <c r="DU12" s="59">
        <f t="shared" si="44"/>
        <v>196.0481096619543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2.9235042735042733</v>
      </c>
      <c r="EJ12" s="12">
        <f>IF('Données projet'!$A$192&gt;35,EJ11+EI12-ER11,IF(A12&lt;'Données projet'!$A$192,$EG$205^A12,IF(A12='Données projet'!$A$192,'Données projet'!$B$192,EJ11+EI12-ER11)))</f>
        <v>3.8274321125090722</v>
      </c>
      <c r="EK12" s="17">
        <f>EJ12*VLOOKUP('Données projet'!$B$15,Paramètres!$A$1:$I$89,3,0)*VLOOKUP('Données projet'!$B$15,Paramètres!$A$1:$I$89,5,0)</f>
        <v>3.8810161620841996</v>
      </c>
      <c r="EL12" s="13">
        <f t="shared" si="45"/>
        <v>1.5273700335672085</v>
      </c>
      <c r="EM12" s="20">
        <f t="shared" si="19"/>
        <v>9.4196059574262012</v>
      </c>
      <c r="EN12" s="59">
        <f t="shared" si="20"/>
        <v>302.75293929075951</v>
      </c>
      <c r="EO12" s="59">
        <f ca="1">AVERAGE(OFFSET($EN$3,0,0,'Données projet'!$E$15+1,1))-AVERAGE(OFFSET($H$3,0,0,'Données projet'!$E$15+1,1))</f>
        <v>190.21499310415584</v>
      </c>
      <c r="EP12" s="59">
        <f t="shared" si="46"/>
        <v>136.15730566500173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1.2291666666666667</v>
      </c>
      <c r="FE12" s="12">
        <f>IF('Données projet'!$A$218&gt;35,FE11+FD12-FM11,IF(A12&lt;'Données projet'!$A$218,$FB$205^A12,IF(A12='Données projet'!$A$218,'Données projet'!$B$218,FE11+FD12-FM11)))</f>
        <v>9.5642230713921883</v>
      </c>
      <c r="FF12" s="17">
        <f>FE12*VLOOKUP('Données projet'!$B$16,Paramètres!$A$1:$I$89,3,0)*VLOOKUP('Données projet'!$B$16,Paramètres!$A$1:$I$89,5,0)</f>
        <v>11.017984978243801</v>
      </c>
      <c r="FG12" s="13">
        <f t="shared" si="47"/>
        <v>3.8401973847407436</v>
      </c>
      <c r="FH12" s="20">
        <f t="shared" si="22"/>
        <v>25.878000948864749</v>
      </c>
      <c r="FI12" s="59">
        <f t="shared" si="23"/>
        <v>319.21133428219804</v>
      </c>
      <c r="FJ12" s="59">
        <f ca="1">AVERAGE(OFFSET($FI$3,0,0,'Données projet'!$E$16+1,1))-AVERAGE(OFFSET($H$3,0,0,'Données projet'!$E$16+1,1))</f>
        <v>14.847345852478327</v>
      </c>
      <c r="FK12" s="59">
        <f t="shared" si="48"/>
        <v>46.764428272166299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304.17011249864055</v>
      </c>
      <c r="S13" s="59">
        <f ca="1">AVERAGE(OFFSET($R$3,0,0,'Données projet'!$E$9+1,1))-AVERAGE(OFFSET($H$3,0,0,'Données projet'!$E$9+1,1))</f>
        <v>221.7429870520005</v>
      </c>
      <c r="T13" s="59">
        <f t="shared" si="34"/>
        <v>182.2029938397186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11</v>
      </c>
      <c r="AG13" s="12">
        <f>VLOOKUP(A13,'Données projet'!$A$61:$I$81,9,0)</f>
        <v>1.1000000000000001</v>
      </c>
      <c r="AH13" s="12">
        <f t="array" ref="AH13">INDEX(AG:AG,MIN(IF(ISNUMBER(AG13:AG209),ROW(AG13:AG209),"")))</f>
        <v>1.1000000000000001</v>
      </c>
      <c r="AI13" s="13">
        <f>IF('Données projet'!$A$62&gt;35,AI12+AH13-AQ12,IF(A13&lt;'Données projet'!$A$62,$AF$205^A13,IF(A13='Données projet'!$A$62,'Données projet'!$B$62,AI12+AH13-AQ12)))</f>
        <v>11</v>
      </c>
      <c r="AJ13" s="13">
        <f>AI13*VLOOKUP('Données projet'!$B$10,Paramètres!$A$1:$I$89,3,0)*VLOOKUP('Données projet'!$B$10,Paramètres!$A$1:$I$89,5,0)</f>
        <v>8.7516000000000016</v>
      </c>
      <c r="AK13" s="13">
        <f t="shared" si="35"/>
        <v>3.1331453604025001</v>
      </c>
      <c r="AL13" s="20">
        <f t="shared" si="4"/>
        <v>20.699264836034356</v>
      </c>
      <c r="AM13" s="59">
        <f t="shared" si="5"/>
        <v>314.03259816936765</v>
      </c>
      <c r="AN13" s="59">
        <f ca="1">AVERAGE(OFFSET($AM$3,0,0,'Données projet'!$E$10+1,1))-AVERAGE(OFFSET($H$3,0,0,'Données projet'!$E$10+1,1))</f>
        <v>260.20517190557814</v>
      </c>
      <c r="AO13" s="59">
        <f t="shared" si="36"/>
        <v>307.22009971147133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0.13250000000000001</v>
      </c>
      <c r="AT13" s="16">
        <f>IF(ISNA(VLOOKUP(A13,'Données projet'!$A$61:$I$81,7,0)),0%,VLOOKUP(A13,'Données projet'!$A$61:$I$81,7,0))</f>
        <v>0.25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5.3</v>
      </c>
      <c r="BD13" s="12">
        <f>IF('Données projet'!$A$88&gt;35,BD12+BC13-BL12,IF(A13&lt;'Données projet'!$A$88,$BA$205^A13,IF(A13='Données projet'!$A$88,'Données projet'!$B$88,BD12+BC13-BL12)))</f>
        <v>10.295630140986994</v>
      </c>
      <c r="BE13" s="13">
        <f>BD13*VLOOKUP('Données projet'!$B$11,Paramètres!$A$1:$I$89,3,0)*VLOOKUP('Données projet'!$B$11,Paramètres!$A$1:$I$89,5,0)</f>
        <v>6.1567868243102231</v>
      </c>
      <c r="BF13" s="13">
        <f t="shared" si="37"/>
        <v>2.2962827445602421</v>
      </c>
      <c r="BG13" s="20">
        <f t="shared" si="7"/>
        <v>14.722429499116059</v>
      </c>
      <c r="BH13" s="59">
        <f t="shared" si="8"/>
        <v>308.05576283244937</v>
      </c>
      <c r="BI13" s="59">
        <f ca="1">AVERAGE(OFFSET($BH$3,0,0,'Données projet'!$E$11+1,1))-AVERAGE(OFFSET($H$3,0,0,'Données projet'!$E$11+1,1))</f>
        <v>316.58509520829671</v>
      </c>
      <c r="BJ13" s="59">
        <f t="shared" si="38"/>
        <v>240.71332110643596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4.3499999999999996</v>
      </c>
      <c r="BY13" s="12">
        <f>IF('Données projet'!$A$114&gt;35,BY12+BX13-CG12,IF(A13&lt;'Données projet'!$A$114,$BV$205^A13,IF(A13='Données projet'!$A$114,'Données projet'!$B$114,BY12+BX13-CG12)))</f>
        <v>9.3273790530888085</v>
      </c>
      <c r="BZ13" s="13">
        <f>BY13*VLOOKUP('Données projet'!$B$12,Paramètres!$A$1:$I$89,3,0)*VLOOKUP('Données projet'!$B$12,Paramètres!$A$1:$I$89,5,0)</f>
        <v>5.5777726737471083</v>
      </c>
      <c r="CA13" s="13">
        <f t="shared" si="39"/>
        <v>2.1043832524712172</v>
      </c>
      <c r="CB13" s="20">
        <f t="shared" si="10"/>
        <v>13.379754904830248</v>
      </c>
      <c r="CC13" s="59">
        <f t="shared" si="11"/>
        <v>306.71308823816355</v>
      </c>
      <c r="CD13" s="59">
        <f ca="1">AVERAGE(OFFSET($CC$3,0,0,'Données projet'!$E$12+1,1))-AVERAGE(OFFSET($H$3,0,0,'Données projet'!$E$12+1,1))</f>
        <v>270.30888762640245</v>
      </c>
      <c r="CE13" s="59">
        <f t="shared" si="40"/>
        <v>202.23783851977691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7.3787999999999991</v>
      </c>
      <c r="CV13" s="13">
        <f t="shared" si="41"/>
        <v>2.6946617885853841</v>
      </c>
      <c r="CW13" s="20">
        <f t="shared" si="13"/>
        <v>17.544612615119544</v>
      </c>
      <c r="CX13" s="59">
        <f t="shared" si="14"/>
        <v>310.87794594845286</v>
      </c>
      <c r="CY13" s="59">
        <f ca="1">AVERAGE(OFFSET($CX$3,0,0,'Données projet'!$E$13+1,1))-AVERAGE(OFFSET($H$3,0,0,'Données projet'!$E$13+1,1))</f>
        <v>207.93042467236967</v>
      </c>
      <c r="CZ13" s="59">
        <f t="shared" si="42"/>
        <v>250.70954318710835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0.13250000000000001</v>
      </c>
      <c r="DE13" s="16">
        <f>IF(ISNA(VLOOKUP(A13,'Données projet'!$A$139:$I$159,7,0)),0%,VLOOKUP(A13,'Données projet'!$A$139:$I$159,7,0))</f>
        <v>0.25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4.75</v>
      </c>
      <c r="DO13" s="12">
        <f>IF('Données projet'!$A$166&gt;35,DO12+DN13-DW12,IF(A13&lt;'Données projet'!$A$166,$DL$205^A13,IF(A13='Données projet'!$A$166,'Données projet'!$B$166,DO12+DN13-DW12)))</f>
        <v>9.7467943448089507</v>
      </c>
      <c r="DP13" s="17">
        <f>DO13*VLOOKUP('Données projet'!$B$14,Paramètres!$A$1:$I$89,3,0)*VLOOKUP('Données projet'!$B$14,Paramètres!$A$1:$I$89,5,0)</f>
        <v>6.5381496464978444</v>
      </c>
      <c r="DQ13" s="13">
        <f t="shared" si="43"/>
        <v>2.4215195304505239</v>
      </c>
      <c r="DR13" s="20">
        <f t="shared" si="16"/>
        <v>15.604757149851741</v>
      </c>
      <c r="DS13" s="59">
        <f t="shared" si="17"/>
        <v>308.93809048318508</v>
      </c>
      <c r="DT13" s="59">
        <f ca="1">AVERAGE(OFFSET($DS$3,0,0,'Données projet'!$E$14+1,1))-AVERAGE(OFFSET($H$3,0,0,'Données projet'!$E$14+1,1))</f>
        <v>156.63226020379989</v>
      </c>
      <c r="DU13" s="59">
        <f t="shared" si="44"/>
        <v>196.0481096619543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2.9235042735042733</v>
      </c>
      <c r="EJ13" s="12">
        <f>IF('Données projet'!$A$192&gt;35,EJ12+EI13-ER12,IF(A13&lt;'Données projet'!$A$192,$EG$205^A13,IF(A13='Données projet'!$A$192,'Données projet'!$B$192,EJ12+EI13-ER12)))</f>
        <v>4.4429865232315908</v>
      </c>
      <c r="EK13" s="17">
        <f>EJ13*VLOOKUP('Données projet'!$B$15,Paramètres!$A$1:$I$89,3,0)*VLOOKUP('Données projet'!$B$15,Paramètres!$A$1:$I$89,5,0)</f>
        <v>4.5051883345568333</v>
      </c>
      <c r="EL13" s="13">
        <f t="shared" si="45"/>
        <v>1.7425001665984783</v>
      </c>
      <c r="EM13" s="20">
        <f t="shared" si="19"/>
        <v>10.881390806178834</v>
      </c>
      <c r="EN13" s="59">
        <f t="shared" si="20"/>
        <v>304.21472413951216</v>
      </c>
      <c r="EO13" s="59">
        <f ca="1">AVERAGE(OFFSET($EN$3,0,0,'Données projet'!$E$15+1,1))-AVERAGE(OFFSET($H$3,0,0,'Données projet'!$E$15+1,1))</f>
        <v>190.21499310415584</v>
      </c>
      <c r="EP13" s="59">
        <f t="shared" si="46"/>
        <v>136.15730566500173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>
        <f>VLOOKUP(A13,'Données projet'!$A$217:$I$237,2,0)</f>
        <v>12.291666666666668</v>
      </c>
      <c r="FC13" s="12">
        <f>VLOOKUP(A13,'Données projet'!$A$217:$I$237,9,0)</f>
        <v>1.2291666666666667</v>
      </c>
      <c r="FD13" s="12">
        <f t="array" ref="FD13">INDEX(FC:FC,MIN(IF(ISNUMBER(FC13:FC209),ROW(FC13:FC209),"")))</f>
        <v>1.2291666666666667</v>
      </c>
      <c r="FE13" s="12">
        <f>IF('Données projet'!$A$218&gt;35,FE12+FD13-FM12,IF(A13&lt;'Données projet'!$A$218,$FB$205^A13,IF(A13='Données projet'!$A$218,'Données projet'!$B$218,FE12+FD13-FM12)))</f>
        <v>12.291666666666668</v>
      </c>
      <c r="FF13" s="17">
        <f>FE13*VLOOKUP('Données projet'!$B$16,Paramètres!$A$1:$I$89,3,0)*VLOOKUP('Données projet'!$B$16,Paramètres!$A$1:$I$89,5,0)</f>
        <v>14.16</v>
      </c>
      <c r="FG13" s="13">
        <f t="shared" si="47"/>
        <v>4.7932662749093149</v>
      </c>
      <c r="FH13" s="20">
        <f t="shared" si="22"/>
        <v>33.010272095467052</v>
      </c>
      <c r="FI13" s="59">
        <f t="shared" si="23"/>
        <v>326.34360542880034</v>
      </c>
      <c r="FJ13" s="59">
        <f ca="1">AVERAGE(OFFSET($FI$3,0,0,'Données projet'!$E$16+1,1))-AVERAGE(OFFSET($H$3,0,0,'Données projet'!$E$16+1,1))</f>
        <v>14.847345852478327</v>
      </c>
      <c r="FK13" s="59">
        <f t="shared" si="48"/>
        <v>46.764428272166299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1.875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0.22500000000000001</v>
      </c>
      <c r="FP13" s="16">
        <f>IF(ISNA(VLOOKUP(A13,'Données projet'!$A$217:$I$237,7,0)),0%,VLOOKUP(A13,'Données projet'!$A$217:$I$237,7,0))</f>
        <v>0.5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0.34784308820020815</v>
      </c>
      <c r="FS13" s="21">
        <f>EXP(-LN(2)/2)*FS12+(1-EXP(-LN(2)/2))/(LN(2)/2)*FM13*FP13*VLOOKUP('Données projet'!$B$16,Paramètres!$A$1:$I$89,3,0)*0.475*44/12</f>
        <v>0.66235589405298245</v>
      </c>
      <c r="FT13" s="22">
        <f t="shared" si="24"/>
        <v>1.0101989822531907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305.98619847940739</v>
      </c>
      <c r="S14" s="59">
        <f ca="1">AVERAGE(OFFSET($R$3,0,0,'Données projet'!$E$9+1,1))-AVERAGE(OFFSET($H$3,0,0,'Données projet'!$E$9+1,1))</f>
        <v>221.7429870520005</v>
      </c>
      <c r="T14" s="59">
        <f t="shared" si="34"/>
        <v>182.2029938397186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12.3</v>
      </c>
      <c r="AI14" s="13">
        <f>IF('Données projet'!$A$62&gt;35,AI13+AH14-AQ13,IF(A14&lt;'Données projet'!$A$62,$AF$205^A14,IF(A14='Données projet'!$A$62,'Données projet'!$B$62,AI13+AH14-AQ13)))</f>
        <v>23.3</v>
      </c>
      <c r="AJ14" s="13">
        <f>AI14*VLOOKUP('Données projet'!$B$10,Paramètres!$A$1:$I$89,3,0)*VLOOKUP('Données projet'!$B$10,Paramètres!$A$1:$I$89,5,0)</f>
        <v>18.537480000000002</v>
      </c>
      <c r="AK14" s="13">
        <f t="shared" si="35"/>
        <v>6.0813732490407499</v>
      </c>
      <c r="AL14" s="20">
        <f t="shared" si="4"/>
        <v>42.877836075412638</v>
      </c>
      <c r="AM14" s="59">
        <f t="shared" si="5"/>
        <v>336.21116940874595</v>
      </c>
      <c r="AN14" s="59">
        <f ca="1">AVERAGE(OFFSET($AM$3,0,0,'Données projet'!$E$10+1,1))-AVERAGE(OFFSET($H$3,0,0,'Données projet'!$E$10+1,1))</f>
        <v>260.20517190557814</v>
      </c>
      <c r="AO14" s="59">
        <f t="shared" si="36"/>
        <v>307.22009971147133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5.3</v>
      </c>
      <c r="BD14" s="12">
        <f>IF('Données projet'!$A$88&gt;35,BD13+BC14-BL13,IF(A14&lt;'Données projet'!$A$88,$BA$205^A14,IF(A14='Données projet'!$A$88,'Données projet'!$B$88,BD13+BC14-BL13)))</f>
        <v>12.999247897658208</v>
      </c>
      <c r="BE14" s="13">
        <f>BD14*VLOOKUP('Données projet'!$B$11,Paramètres!$A$1:$I$89,3,0)*VLOOKUP('Données projet'!$B$11,Paramètres!$A$1:$I$89,5,0)</f>
        <v>7.7735502427996082</v>
      </c>
      <c r="BF14" s="13">
        <f t="shared" si="37"/>
        <v>2.8216515135722404</v>
      </c>
      <c r="BG14" s="20">
        <f t="shared" si="7"/>
        <v>18.453309725680967</v>
      </c>
      <c r="BH14" s="59">
        <f t="shared" si="8"/>
        <v>311.7866430590143</v>
      </c>
      <c r="BI14" s="59">
        <f ca="1">AVERAGE(OFFSET($BH$3,0,0,'Données projet'!$E$11+1,1))-AVERAGE(OFFSET($H$3,0,0,'Données projet'!$E$11+1,1))</f>
        <v>316.58509520829671</v>
      </c>
      <c r="BJ14" s="59">
        <f t="shared" si="38"/>
        <v>240.71332110643596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4.3499999999999996</v>
      </c>
      <c r="BY14" s="12">
        <f>IF('Données projet'!$A$114&gt;35,BY13+BX14-CG13,IF(A14&lt;'Données projet'!$A$114,$BV$205^A14,IF(A14='Données projet'!$A$114,'Données projet'!$B$114,BY13+BX14-CG13)))</f>
        <v>11.660994457782511</v>
      </c>
      <c r="BZ14" s="13">
        <f>BY14*VLOOKUP('Données projet'!$B$12,Paramètres!$A$1:$I$89,3,0)*VLOOKUP('Données projet'!$B$12,Paramètres!$A$1:$I$89,5,0)</f>
        <v>6.9732746857539425</v>
      </c>
      <c r="CA14" s="13">
        <f t="shared" si="39"/>
        <v>2.563378854273346</v>
      </c>
      <c r="CB14" s="20">
        <f t="shared" si="10"/>
        <v>16.609671582214194</v>
      </c>
      <c r="CC14" s="59">
        <f t="shared" si="11"/>
        <v>309.94300491554753</v>
      </c>
      <c r="CD14" s="59">
        <f ca="1">AVERAGE(OFFSET($CC$3,0,0,'Données projet'!$E$12+1,1))-AVERAGE(OFFSET($H$3,0,0,'Données projet'!$E$12+1,1))</f>
        <v>270.30888762640245</v>
      </c>
      <c r="CE14" s="59">
        <f t="shared" si="40"/>
        <v>202.23783851977691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12.3</v>
      </c>
      <c r="CT14" s="12">
        <f>IF('Données projet'!$A$140&gt;35,CT13+CS14-DB13,IF(A14&lt;'Données projet'!$A$140,$CQ$205^A14,IF(A14='Données projet'!$A$140,'Données projet'!$B$140,CT13+CS14-DB13)))</f>
        <v>23.3</v>
      </c>
      <c r="CU14" s="17">
        <f>CT14*VLOOKUP('Données projet'!$B$13,Paramètres!$A$1:$I$89,3,0)*VLOOKUP('Données projet'!$B$13,Paramètres!$A$1:$I$89,5,0)</f>
        <v>15.62964</v>
      </c>
      <c r="CV14" s="13">
        <f t="shared" si="41"/>
        <v>5.2302852984166268</v>
      </c>
      <c r="CW14" s="20">
        <f t="shared" si="13"/>
        <v>36.331036561408958</v>
      </c>
      <c r="CX14" s="59">
        <f t="shared" si="14"/>
        <v>329.66436989474226</v>
      </c>
      <c r="CY14" s="59">
        <f ca="1">AVERAGE(OFFSET($CX$3,0,0,'Données projet'!$E$13+1,1))-AVERAGE(OFFSET($H$3,0,0,'Données projet'!$E$13+1,1))</f>
        <v>207.93042467236967</v>
      </c>
      <c r="CZ14" s="59">
        <f t="shared" si="42"/>
        <v>250.70954318710835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4.75</v>
      </c>
      <c r="DO14" s="12">
        <f>IF('Données projet'!$A$166&gt;35,DO13+DN14-DW13,IF(A14&lt;'Données projet'!$A$166,$DL$205^A14,IF(A14='Données projet'!$A$166,'Données projet'!$B$166,DO13+DN14-DW13)))</f>
        <v>12.239057719016479</v>
      </c>
      <c r="DP14" s="17">
        <f>DO14*VLOOKUP('Données projet'!$B$14,Paramètres!$A$1:$I$89,3,0)*VLOOKUP('Données projet'!$B$14,Paramètres!$A$1:$I$89,5,0)</f>
        <v>8.2099599179162546</v>
      </c>
      <c r="DQ14" s="13">
        <f t="shared" si="43"/>
        <v>2.9611731649797601</v>
      </c>
      <c r="DR14" s="20">
        <f t="shared" si="16"/>
        <v>19.456390119377222</v>
      </c>
      <c r="DS14" s="59">
        <f t="shared" si="17"/>
        <v>312.78972345271052</v>
      </c>
      <c r="DT14" s="59">
        <f ca="1">AVERAGE(OFFSET($DS$3,0,0,'Données projet'!$E$14+1,1))-AVERAGE(OFFSET($H$3,0,0,'Données projet'!$E$14+1,1))</f>
        <v>156.63226020379989</v>
      </c>
      <c r="DU14" s="59">
        <f t="shared" si="44"/>
        <v>196.0481096619543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2.9235042735042733</v>
      </c>
      <c r="EJ14" s="12">
        <f>IF('Données projet'!$A$192&gt;35,EJ13+EI14-ER13,IF(A14&lt;'Données projet'!$A$192,$EG$205^A14,IF(A14='Données projet'!$A$192,'Données projet'!$B$192,EJ13+EI14-ER13)))</f>
        <v>5.1575387009743459</v>
      </c>
      <c r="EK14" s="17">
        <f>EJ14*VLOOKUP('Données projet'!$B$15,Paramètres!$A$1:$I$89,3,0)*VLOOKUP('Données projet'!$B$15,Paramètres!$A$1:$I$89,5,0)</f>
        <v>5.2297442427879863</v>
      </c>
      <c r="EL14" s="13">
        <f t="shared" si="45"/>
        <v>1.9879313878539038</v>
      </c>
      <c r="EM14" s="20">
        <f t="shared" si="19"/>
        <v>12.570785056701292</v>
      </c>
      <c r="EN14" s="59">
        <f t="shared" si="20"/>
        <v>305.90411839003463</v>
      </c>
      <c r="EO14" s="59">
        <f ca="1">AVERAGE(OFFSET($EN$3,0,0,'Données projet'!$E$15+1,1))-AVERAGE(OFFSET($H$3,0,0,'Données projet'!$E$15+1,1))</f>
        <v>190.21499310415584</v>
      </c>
      <c r="EP14" s="59">
        <f t="shared" si="46"/>
        <v>136.15730566500173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1.75</v>
      </c>
      <c r="FE14" s="12">
        <f>IF('Données projet'!$A$218&gt;35,FE13+FD14-FM13,IF(A14&lt;'Données projet'!$A$218,$FB$205^A14,IF(A14='Données projet'!$A$218,'Données projet'!$B$218,FE13+FD14-FM13)))</f>
        <v>12.166666666666668</v>
      </c>
      <c r="FF14" s="17">
        <f>FE14*VLOOKUP('Données projet'!$B$16,Paramètres!$A$1:$I$89,3,0)*VLOOKUP('Données projet'!$B$16,Paramètres!$A$1:$I$89,5,0)</f>
        <v>14.016000000000002</v>
      </c>
      <c r="FG14" s="13">
        <f t="shared" si="47"/>
        <v>4.7501695322699922</v>
      </c>
      <c r="FH14" s="20">
        <f t="shared" si="22"/>
        <v>32.684411935370242</v>
      </c>
      <c r="FI14" s="59">
        <f t="shared" si="23"/>
        <v>326.01774526870355</v>
      </c>
      <c r="FJ14" s="59">
        <f ca="1">AVERAGE(OFFSET($FI$3,0,0,'Données projet'!$E$16+1,1))-AVERAGE(OFFSET($H$3,0,0,'Données projet'!$E$16+1,1))</f>
        <v>14.847345852478327</v>
      </c>
      <c r="FK14" s="59">
        <f t="shared" si="48"/>
        <v>46.764428272166299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0.33833130066110045</v>
      </c>
      <c r="FS14" s="21">
        <f>EXP(-LN(2)/2)*FS13+(1-EXP(-LN(2)/2))/(LN(2)/2)*FM14*FP14*VLOOKUP('Données projet'!$B$16,Paramètres!$A$1:$I$89,3,0)*0.475*44/12</f>
        <v>0.46835634424374234</v>
      </c>
      <c r="FT14" s="22">
        <f t="shared" si="24"/>
        <v>0.80668764490484279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308.10765754879242</v>
      </c>
      <c r="S15" s="59">
        <f ca="1">AVERAGE(OFFSET($R$3,0,0,'Données projet'!$E$9+1,1))-AVERAGE(OFFSET($H$3,0,0,'Données projet'!$E$9+1,1))</f>
        <v>221.7429870520005</v>
      </c>
      <c r="T15" s="59">
        <f t="shared" si="34"/>
        <v>182.2029938397186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12.3</v>
      </c>
      <c r="AI15" s="13">
        <f>IF('Données projet'!$A$62&gt;35,AI14+AH15-AQ14,IF(A15&lt;'Données projet'!$A$62,$AF$205^A15,IF(A15='Données projet'!$A$62,'Données projet'!$B$62,AI14+AH15-AQ14)))</f>
        <v>35.6</v>
      </c>
      <c r="AJ15" s="13">
        <f>AI15*VLOOKUP('Données projet'!$B$10,Paramètres!$A$1:$I$89,3,0)*VLOOKUP('Données projet'!$B$10,Paramètres!$A$1:$I$89,5,0)</f>
        <v>28.323360000000005</v>
      </c>
      <c r="AK15" s="13">
        <f t="shared" si="35"/>
        <v>8.8443757631773217</v>
      </c>
      <c r="AL15" s="20">
        <f t="shared" si="4"/>
        <v>64.733806454200504</v>
      </c>
      <c r="AM15" s="59">
        <f t="shared" si="5"/>
        <v>358.06713978753385</v>
      </c>
      <c r="AN15" s="59">
        <f ca="1">AVERAGE(OFFSET($AM$3,0,0,'Données projet'!$E$10+1,1))-AVERAGE(OFFSET($H$3,0,0,'Données projet'!$E$10+1,1))</f>
        <v>260.20517190557814</v>
      </c>
      <c r="AO15" s="59">
        <f t="shared" si="36"/>
        <v>307.22009971147133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5.3</v>
      </c>
      <c r="BD15" s="12">
        <f>IF('Données projet'!$A$88&gt;35,BD14+BC15-BL14,IF(A15&lt;'Données projet'!$A$88,$BA$205^A15,IF(A15='Données projet'!$A$88,'Données projet'!$B$88,BD14+BC15-BL14)))</f>
        <v>16.412831812213092</v>
      </c>
      <c r="BE15" s="13">
        <f>BD15*VLOOKUP('Données projet'!$B$11,Paramètres!$A$1:$I$89,3,0)*VLOOKUP('Données projet'!$B$11,Paramètres!$A$1:$I$89,5,0)</f>
        <v>9.8148734237034301</v>
      </c>
      <c r="BF15" s="13">
        <f t="shared" si="37"/>
        <v>3.4672199157117518</v>
      </c>
      <c r="BG15" s="20">
        <f t="shared" si="7"/>
        <v>23.132979232814776</v>
      </c>
      <c r="BH15" s="59">
        <f t="shared" si="8"/>
        <v>316.46631256614808</v>
      </c>
      <c r="BI15" s="59">
        <f ca="1">AVERAGE(OFFSET($BH$3,0,0,'Données projet'!$E$11+1,1))-AVERAGE(OFFSET($H$3,0,0,'Données projet'!$E$11+1,1))</f>
        <v>316.58509520829671</v>
      </c>
      <c r="BJ15" s="59">
        <f t="shared" si="38"/>
        <v>240.71332110643596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4.3499999999999996</v>
      </c>
      <c r="BY15" s="12">
        <f>IF('Données projet'!$A$114&gt;35,BY14+BX15-CG14,IF(A15&lt;'Données projet'!$A$114,$BV$205^A15,IF(A15='Données projet'!$A$114,'Données projet'!$B$114,BY14+BX15-CG14)))</f>
        <v>14.578456710130634</v>
      </c>
      <c r="BZ15" s="13">
        <f>BY15*VLOOKUP('Données projet'!$B$12,Paramètres!$A$1:$I$89,3,0)*VLOOKUP('Données projet'!$B$12,Paramètres!$A$1:$I$89,5,0)</f>
        <v>8.7179171126581192</v>
      </c>
      <c r="CA15" s="13">
        <f t="shared" si="39"/>
        <v>3.1224878561542369</v>
      </c>
      <c r="CB15" s="20">
        <f t="shared" si="10"/>
        <v>20.622038654014851</v>
      </c>
      <c r="CC15" s="59">
        <f t="shared" si="11"/>
        <v>313.95537198734814</v>
      </c>
      <c r="CD15" s="59">
        <f ca="1">AVERAGE(OFFSET($CC$3,0,0,'Données projet'!$E$12+1,1))-AVERAGE(OFFSET($H$3,0,0,'Données projet'!$E$12+1,1))</f>
        <v>270.30888762640245</v>
      </c>
      <c r="CE15" s="59">
        <f t="shared" si="40"/>
        <v>202.23783851977691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12.3</v>
      </c>
      <c r="CT15" s="12">
        <f>IF('Données projet'!$A$140&gt;35,CT14+CS15-DB14,IF(A15&lt;'Données projet'!$A$140,$CQ$205^A15,IF(A15='Données projet'!$A$140,'Données projet'!$B$140,CT14+CS15-DB14)))</f>
        <v>35.6</v>
      </c>
      <c r="CU15" s="17">
        <f>CT15*VLOOKUP('Données projet'!$B$13,Paramètres!$A$1:$I$89,3,0)*VLOOKUP('Données projet'!$B$13,Paramètres!$A$1:$I$89,5,0)</f>
        <v>23.880480000000002</v>
      </c>
      <c r="CV15" s="13">
        <f t="shared" si="41"/>
        <v>7.6066057177324726</v>
      </c>
      <c r="CW15" s="20">
        <f t="shared" si="13"/>
        <v>54.840007625050731</v>
      </c>
      <c r="CX15" s="59">
        <f t="shared" si="14"/>
        <v>348.17334095838407</v>
      </c>
      <c r="CY15" s="59">
        <f ca="1">AVERAGE(OFFSET($CX$3,0,0,'Données projet'!$E$13+1,1))-AVERAGE(OFFSET($H$3,0,0,'Données projet'!$E$13+1,1))</f>
        <v>207.93042467236967</v>
      </c>
      <c r="CZ15" s="59">
        <f t="shared" si="42"/>
        <v>250.70954318710835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4.75</v>
      </c>
      <c r="DO15" s="12">
        <f>IF('Données projet'!$A$166&gt;35,DO14+DN15-DW14,IF(A15&lt;'Données projet'!$A$166,$DL$205^A15,IF(A15='Données projet'!$A$166,'Données projet'!$B$166,DO14+DN15-DW14)))</f>
        <v>15.368594899018873</v>
      </c>
      <c r="DP15" s="17">
        <f>DO15*VLOOKUP('Données projet'!$B$14,Paramètres!$A$1:$I$89,3,0)*VLOOKUP('Données projet'!$B$14,Paramètres!$A$1:$I$89,5,0)</f>
        <v>10.30925345826186</v>
      </c>
      <c r="DQ15" s="13">
        <f t="shared" si="43"/>
        <v>3.6210926249952076</v>
      </c>
      <c r="DR15" s="20">
        <f t="shared" si="16"/>
        <v>24.262019428339389</v>
      </c>
      <c r="DS15" s="59">
        <f t="shared" si="17"/>
        <v>317.5953527616727</v>
      </c>
      <c r="DT15" s="59">
        <f ca="1">AVERAGE(OFFSET($DS$3,0,0,'Données projet'!$E$14+1,1))-AVERAGE(OFFSET($H$3,0,0,'Données projet'!$E$14+1,1))</f>
        <v>156.63226020379989</v>
      </c>
      <c r="DU15" s="59">
        <f t="shared" si="44"/>
        <v>196.0481096619543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2.9235042735042733</v>
      </c>
      <c r="EJ15" s="12">
        <f>IF('Données projet'!$A$192&gt;35,EJ14+EI15-ER14,IF(A15&lt;'Données projet'!$A$192,$EG$205^A15,IF(A15='Données projet'!$A$192,'Données projet'!$B$192,EJ14+EI15-ER14)))</f>
        <v>5.9870101592612031</v>
      </c>
      <c r="EK15" s="17">
        <f>EJ15*VLOOKUP('Données projet'!$B$15,Paramètres!$A$1:$I$89,3,0)*VLOOKUP('Données projet'!$B$15,Paramètres!$A$1:$I$89,5,0)</f>
        <v>6.0708283014908604</v>
      </c>
      <c r="EL15" s="13">
        <f t="shared" si="45"/>
        <v>2.2679316068756354</v>
      </c>
      <c r="EM15" s="20">
        <f t="shared" si="19"/>
        <v>14.523340173738314</v>
      </c>
      <c r="EN15" s="59">
        <f t="shared" si="20"/>
        <v>307.8566735070716</v>
      </c>
      <c r="EO15" s="59">
        <f ca="1">AVERAGE(OFFSET($EN$3,0,0,'Données projet'!$E$15+1,1))-AVERAGE(OFFSET($H$3,0,0,'Données projet'!$E$15+1,1))</f>
        <v>190.21499310415584</v>
      </c>
      <c r="EP15" s="59">
        <f t="shared" si="46"/>
        <v>136.15730566500173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1.75</v>
      </c>
      <c r="FE15" s="12">
        <f>IF('Données projet'!$A$218&gt;35,FE14+FD15-FM14,IF(A15&lt;'Données projet'!$A$218,$FB$205^A15,IF(A15='Données projet'!$A$218,'Données projet'!$B$218,FE14+FD15-FM14)))</f>
        <v>13.916666666666668</v>
      </c>
      <c r="FF15" s="17">
        <f>FE15*VLOOKUP('Données projet'!$B$16,Paramètres!$A$1:$I$89,3,0)*VLOOKUP('Données projet'!$B$16,Paramètres!$A$1:$I$89,5,0)</f>
        <v>16.032</v>
      </c>
      <c r="FG15" s="13">
        <f t="shared" si="47"/>
        <v>5.3490813191901756</v>
      </c>
      <c r="FH15" s="20">
        <f t="shared" si="22"/>
        <v>37.238716630922887</v>
      </c>
      <c r="FI15" s="59">
        <f t="shared" si="23"/>
        <v>330.57204996425622</v>
      </c>
      <c r="FJ15" s="59">
        <f ca="1">AVERAGE(OFFSET($FI$3,0,0,'Données projet'!$E$16+1,1))-AVERAGE(OFFSET($H$3,0,0,'Données projet'!$E$16+1,1))</f>
        <v>14.847345852478327</v>
      </c>
      <c r="FK15" s="59">
        <f t="shared" si="48"/>
        <v>46.764428272166299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0.32907961345245285</v>
      </c>
      <c r="FS15" s="21">
        <f>EXP(-LN(2)/2)*FS14+(1-EXP(-LN(2)/2))/(LN(2)/2)*FM15*FP15*VLOOKUP('Données projet'!$B$16,Paramètres!$A$1:$I$89,3,0)*0.475*44/12</f>
        <v>0.33117794702649128</v>
      </c>
      <c r="FT15" s="22">
        <f t="shared" si="24"/>
        <v>0.66025756047894413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310.58599905263867</v>
      </c>
      <c r="S16" s="59">
        <f ca="1">AVERAGE(OFFSET($R$3,0,0,'Données projet'!$E$9+1,1))-AVERAGE(OFFSET($H$3,0,0,'Données projet'!$E$9+1,1))</f>
        <v>221.7429870520005</v>
      </c>
      <c r="T16" s="59">
        <f t="shared" si="34"/>
        <v>182.2029938397186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12.3</v>
      </c>
      <c r="AI16" s="13">
        <f>IF('Données projet'!$A$62&gt;35,AI15+AH16-AQ15,IF(A16&lt;'Données projet'!$A$62,$AF$205^A16,IF(A16='Données projet'!$A$62,'Données projet'!$B$62,AI15+AH16-AQ15)))</f>
        <v>47.900000000000006</v>
      </c>
      <c r="AJ16" s="13">
        <f>AI16*VLOOKUP('Données projet'!$B$10,Paramètres!$A$1:$I$89,3,0)*VLOOKUP('Données projet'!$B$10,Paramètres!$A$1:$I$89,5,0)</f>
        <v>38.109240000000007</v>
      </c>
      <c r="AK16" s="13">
        <f t="shared" si="35"/>
        <v>11.496097202870512</v>
      </c>
      <c r="AL16" s="20">
        <f t="shared" si="4"/>
        <v>86.395962294999478</v>
      </c>
      <c r="AM16" s="59">
        <f t="shared" si="5"/>
        <v>379.72929562833281</v>
      </c>
      <c r="AN16" s="59">
        <f ca="1">AVERAGE(OFFSET($AM$3,0,0,'Données projet'!$E$10+1,1))-AVERAGE(OFFSET($H$3,0,0,'Données projet'!$E$10+1,1))</f>
        <v>260.20517190557814</v>
      </c>
      <c r="AO16" s="59">
        <f t="shared" si="36"/>
        <v>307.22009971147133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5.3</v>
      </c>
      <c r="BD16" s="12">
        <f>IF('Données projet'!$A$88&gt;35,BD15+BC16-BL15,IF(A16&lt;'Données projet'!$A$88,$BA$205^A16,IF(A16='Données projet'!$A$88,'Données projet'!$B$88,BD15+BC16-BL15)))</f>
        <v>20.722817982763658</v>
      </c>
      <c r="BE16" s="13">
        <f>BD16*VLOOKUP('Données projet'!$B$11,Paramètres!$A$1:$I$89,3,0)*VLOOKUP('Données projet'!$B$11,Paramètres!$A$1:$I$89,5,0)</f>
        <v>12.392245153692668</v>
      </c>
      <c r="BF16" s="13">
        <f t="shared" si="37"/>
        <v>4.2604885422894494</v>
      </c>
      <c r="BG16" s="20">
        <f t="shared" si="7"/>
        <v>29.003511187168854</v>
      </c>
      <c r="BH16" s="59">
        <f t="shared" si="8"/>
        <v>322.33684452050215</v>
      </c>
      <c r="BI16" s="59">
        <f ca="1">AVERAGE(OFFSET($BH$3,0,0,'Données projet'!$E$11+1,1))-AVERAGE(OFFSET($H$3,0,0,'Données projet'!$E$11+1,1))</f>
        <v>316.58509520829671</v>
      </c>
      <c r="BJ16" s="59">
        <f t="shared" si="38"/>
        <v>240.71332110643596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4.3499999999999996</v>
      </c>
      <c r="BY16" s="12">
        <f>IF('Données projet'!$A$114&gt;35,BY15+BX16-CG15,IF(A16&lt;'Données projet'!$A$114,$BV$205^A16,IF(A16='Données projet'!$A$114,'Données projet'!$B$114,BY15+BX16-CG15)))</f>
        <v>18.22583835526224</v>
      </c>
      <c r="BZ16" s="13">
        <f>BY16*VLOOKUP('Données projet'!$B$12,Paramètres!$A$1:$I$89,3,0)*VLOOKUP('Données projet'!$B$12,Paramètres!$A$1:$I$89,5,0)</f>
        <v>10.899051336446822</v>
      </c>
      <c r="CA16" s="13">
        <f t="shared" si="39"/>
        <v>3.8035463995409109</v>
      </c>
      <c r="CB16" s="20">
        <f t="shared" si="10"/>
        <v>25.607024390178637</v>
      </c>
      <c r="CC16" s="59">
        <f t="shared" si="11"/>
        <v>318.94035772351197</v>
      </c>
      <c r="CD16" s="59">
        <f ca="1">AVERAGE(OFFSET($CC$3,0,0,'Données projet'!$E$12+1,1))-AVERAGE(OFFSET($H$3,0,0,'Données projet'!$E$12+1,1))</f>
        <v>270.30888762640245</v>
      </c>
      <c r="CE16" s="59">
        <f t="shared" si="40"/>
        <v>202.23783851977691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12.3</v>
      </c>
      <c r="CT16" s="12">
        <f>IF('Données projet'!$A$140&gt;35,CT15+CS16-DB15,IF(A16&lt;'Données projet'!$A$140,$CQ$205^A16,IF(A16='Données projet'!$A$140,'Données projet'!$B$140,CT15+CS16-DB15)))</f>
        <v>47.900000000000006</v>
      </c>
      <c r="CU16" s="17">
        <f>CT16*VLOOKUP('Données projet'!$B$13,Paramètres!$A$1:$I$89,3,0)*VLOOKUP('Données projet'!$B$13,Paramètres!$A$1:$I$89,5,0)</f>
        <v>32.131320000000002</v>
      </c>
      <c r="CV16" s="13">
        <f t="shared" si="41"/>
        <v>9.8872188446624989</v>
      </c>
      <c r="CW16" s="20">
        <f t="shared" si="13"/>
        <v>73.182288487787176</v>
      </c>
      <c r="CX16" s="59">
        <f t="shared" si="14"/>
        <v>366.51562182112048</v>
      </c>
      <c r="CY16" s="59">
        <f ca="1">AVERAGE(OFFSET($CX$3,0,0,'Données projet'!$E$13+1,1))-AVERAGE(OFFSET($H$3,0,0,'Données projet'!$E$13+1,1))</f>
        <v>207.93042467236967</v>
      </c>
      <c r="CZ16" s="59">
        <f t="shared" si="42"/>
        <v>250.70954318710835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4.75</v>
      </c>
      <c r="DO16" s="12">
        <f>IF('Données projet'!$A$166&gt;35,DO15+DN16-DW15,IF(A16&lt;'Données projet'!$A$166,$DL$205^A16,IF(A16='Données projet'!$A$166,'Données projet'!$B$166,DO15+DN16-DW15)))</f>
        <v>19.298357323959845</v>
      </c>
      <c r="DP16" s="17">
        <f>DO16*VLOOKUP('Données projet'!$B$14,Paramètres!$A$1:$I$89,3,0)*VLOOKUP('Données projet'!$B$14,Paramètres!$A$1:$I$89,5,0)</f>
        <v>12.945338092912264</v>
      </c>
      <c r="DQ16" s="13">
        <f t="shared" si="43"/>
        <v>4.4280800440403496</v>
      </c>
      <c r="DR16" s="20">
        <f t="shared" si="16"/>
        <v>30.258703255192469</v>
      </c>
      <c r="DS16" s="59">
        <f t="shared" si="17"/>
        <v>323.59203658852579</v>
      </c>
      <c r="DT16" s="59">
        <f ca="1">AVERAGE(OFFSET($DS$3,0,0,'Données projet'!$E$14+1,1))-AVERAGE(OFFSET($H$3,0,0,'Données projet'!$E$14+1,1))</f>
        <v>156.63226020379989</v>
      </c>
      <c r="DU16" s="59">
        <f t="shared" si="44"/>
        <v>196.0481096619543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2.9235042735042733</v>
      </c>
      <c r="EJ16" s="12">
        <f>IF('Données projet'!$A$192&gt;35,EJ15+EI16-ER15,IF(A16&lt;'Données projet'!$A$192,$EG$205^A16,IF(A16='Données projet'!$A$192,'Données projet'!$B$192,EJ15+EI16-ER15)))</f>
        <v>6.9498830208148057</v>
      </c>
      <c r="EK16" s="17">
        <f>EJ16*VLOOKUP('Données projet'!$B$15,Paramètres!$A$1:$I$89,3,0)*VLOOKUP('Données projet'!$B$15,Paramètres!$A$1:$I$89,5,0)</f>
        <v>7.0471813831062136</v>
      </c>
      <c r="EL16" s="13">
        <f t="shared" si="45"/>
        <v>2.5873698684431186</v>
      </c>
      <c r="EM16" s="20">
        <f t="shared" si="19"/>
        <v>16.780176763115087</v>
      </c>
      <c r="EN16" s="59">
        <f t="shared" si="20"/>
        <v>310.11351009644841</v>
      </c>
      <c r="EO16" s="59">
        <f ca="1">AVERAGE(OFFSET($EN$3,0,0,'Données projet'!$E$15+1,1))-AVERAGE(OFFSET($H$3,0,0,'Données projet'!$E$15+1,1))</f>
        <v>190.21499310415584</v>
      </c>
      <c r="EP16" s="59">
        <f t="shared" si="46"/>
        <v>136.15730566500173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1.75</v>
      </c>
      <c r="FE16" s="12">
        <f>IF('Données projet'!$A$218&gt;35,FE15+FD16-FM15,IF(A16&lt;'Données projet'!$A$218,$FB$205^A16,IF(A16='Données projet'!$A$218,'Données projet'!$B$218,FE15+FD16-FM15)))</f>
        <v>15.666666666666668</v>
      </c>
      <c r="FF16" s="17">
        <f>FE16*VLOOKUP('Données projet'!$B$16,Paramètres!$A$1:$I$89,3,0)*VLOOKUP('Données projet'!$B$16,Paramètres!$A$1:$I$89,5,0)</f>
        <v>18.048000000000002</v>
      </c>
      <c r="FG16" s="13">
        <f t="shared" si="47"/>
        <v>5.9392663510890511</v>
      </c>
      <c r="FH16" s="20">
        <f t="shared" si="22"/>
        <v>41.777822228146768</v>
      </c>
      <c r="FI16" s="59">
        <f t="shared" si="23"/>
        <v>335.11115556148007</v>
      </c>
      <c r="FJ16" s="59">
        <f ca="1">AVERAGE(OFFSET($FI$3,0,0,'Données projet'!$E$16+1,1))-AVERAGE(OFFSET($H$3,0,0,'Données projet'!$E$16+1,1))</f>
        <v>14.847345852478327</v>
      </c>
      <c r="FK16" s="59">
        <f t="shared" si="48"/>
        <v>46.764428272166299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0.32008091411705075</v>
      </c>
      <c r="FS16" s="21">
        <f>EXP(-LN(2)/2)*FS15+(1-EXP(-LN(2)/2))/(LN(2)/2)*FM16*FP16*VLOOKUP('Données projet'!$B$16,Paramètres!$A$1:$I$89,3,0)*0.475*44/12</f>
        <v>0.23417817212187123</v>
      </c>
      <c r="FT16" s="22">
        <f t="shared" si="24"/>
        <v>0.55425908623892195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313.48144605520514</v>
      </c>
      <c r="S17" s="59">
        <f ca="1">AVERAGE(OFFSET($R$3,0,0,'Données projet'!$E$9+1,1))-AVERAGE(OFFSET($H$3,0,0,'Données projet'!$E$9+1,1))</f>
        <v>221.7429870520005</v>
      </c>
      <c r="T17" s="59">
        <f t="shared" si="34"/>
        <v>182.2029938397186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12.3</v>
      </c>
      <c r="AI17" s="13">
        <f>IF('Données projet'!$A$62&gt;35,AI16+AH17-AQ16,IF(A17&lt;'Données projet'!$A$62,$AF$205^A17,IF(A17='Données projet'!$A$62,'Données projet'!$B$62,AI16+AH17-AQ16)))</f>
        <v>60.2</v>
      </c>
      <c r="AJ17" s="13">
        <f>AI17*VLOOKUP('Données projet'!$B$10,Paramètres!$A$1:$I$89,3,0)*VLOOKUP('Données projet'!$B$10,Paramètres!$A$1:$I$89,5,0)</f>
        <v>47.895120000000006</v>
      </c>
      <c r="AK17" s="13">
        <f t="shared" si="35"/>
        <v>14.068812032564205</v>
      </c>
      <c r="AL17" s="20">
        <f t="shared" si="4"/>
        <v>107.92051495671599</v>
      </c>
      <c r="AM17" s="59">
        <f t="shared" si="5"/>
        <v>401.25384829004929</v>
      </c>
      <c r="AN17" s="59">
        <f ca="1">AVERAGE(OFFSET($AM$3,0,0,'Données projet'!$E$10+1,1))-AVERAGE(OFFSET($H$3,0,0,'Données projet'!$E$10+1,1))</f>
        <v>260.20517190557814</v>
      </c>
      <c r="AO17" s="59">
        <f t="shared" si="36"/>
        <v>307.22009971147133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5.3</v>
      </c>
      <c r="BD17" s="12">
        <f>IF('Données projet'!$A$88&gt;35,BD16+BC17-BL16,IF(A17&lt;'Données projet'!$A$88,$BA$205^A17,IF(A17='Données projet'!$A$88,'Données projet'!$B$88,BD16+BC17-BL16)))</f>
        <v>26.164600360262149</v>
      </c>
      <c r="BE17" s="13">
        <f>BD17*VLOOKUP('Données projet'!$B$11,Paramètres!$A$1:$I$89,3,0)*VLOOKUP('Données projet'!$B$11,Paramètres!$A$1:$I$89,5,0)</f>
        <v>15.646431015436765</v>
      </c>
      <c r="BF17" s="13">
        <f t="shared" si="37"/>
        <v>5.235249871727123</v>
      </c>
      <c r="BG17" s="20">
        <f t="shared" si="7"/>
        <v>36.368927545143769</v>
      </c>
      <c r="BH17" s="59">
        <f t="shared" si="8"/>
        <v>329.70226087847709</v>
      </c>
      <c r="BI17" s="59">
        <f ca="1">AVERAGE(OFFSET($BH$3,0,0,'Données projet'!$E$11+1,1))-AVERAGE(OFFSET($H$3,0,0,'Données projet'!$E$11+1,1))</f>
        <v>316.58509520829671</v>
      </c>
      <c r="BJ17" s="59">
        <f t="shared" si="38"/>
        <v>240.71332110643596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4.3499999999999996</v>
      </c>
      <c r="BY17" s="12">
        <f>IF('Données projet'!$A$114&gt;35,BY16+BX17-CG16,IF(A17&lt;'Données projet'!$A$114,$BV$205^A17,IF(A17='Données projet'!$A$114,'Données projet'!$B$114,BY16+BX17-CG16)))</f>
        <v>22.785757803932292</v>
      </c>
      <c r="BZ17" s="13">
        <f>BY17*VLOOKUP('Données projet'!$B$12,Paramètres!$A$1:$I$89,3,0)*VLOOKUP('Données projet'!$B$12,Paramètres!$A$1:$I$89,5,0)</f>
        <v>13.625883166751512</v>
      </c>
      <c r="CA17" s="13">
        <f t="shared" si="39"/>
        <v>4.6331533955999511</v>
      </c>
      <c r="CB17" s="20">
        <f t="shared" si="10"/>
        <v>31.801155346095459</v>
      </c>
      <c r="CC17" s="59">
        <f t="shared" si="11"/>
        <v>325.13448867942878</v>
      </c>
      <c r="CD17" s="59">
        <f ca="1">AVERAGE(OFFSET($CC$3,0,0,'Données projet'!$E$12+1,1))-AVERAGE(OFFSET($H$3,0,0,'Données projet'!$E$12+1,1))</f>
        <v>270.30888762640245</v>
      </c>
      <c r="CE17" s="59">
        <f t="shared" si="40"/>
        <v>202.23783851977691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12.3</v>
      </c>
      <c r="CT17" s="12">
        <f>IF('Données projet'!$A$140&gt;35,CT16+CS17-DB16,IF(A17&lt;'Données projet'!$A$140,$CQ$205^A17,IF(A17='Données projet'!$A$140,'Données projet'!$B$140,CT16+CS17-DB16)))</f>
        <v>60.2</v>
      </c>
      <c r="CU17" s="17">
        <f>CT17*VLOOKUP('Données projet'!$B$13,Paramètres!$A$1:$I$89,3,0)*VLOOKUP('Données projet'!$B$13,Paramètres!$A$1:$I$89,5,0)</f>
        <v>40.382159999999999</v>
      </c>
      <c r="CV17" s="13">
        <f t="shared" si="41"/>
        <v>12.099882333601922</v>
      </c>
      <c r="CW17" s="20">
        <f t="shared" si="13"/>
        <v>91.40622373102336</v>
      </c>
      <c r="CX17" s="59">
        <f t="shared" si="14"/>
        <v>384.73955706435669</v>
      </c>
      <c r="CY17" s="59">
        <f ca="1">AVERAGE(OFFSET($CX$3,0,0,'Données projet'!$E$13+1,1))-AVERAGE(OFFSET($H$3,0,0,'Données projet'!$E$13+1,1))</f>
        <v>207.93042467236967</v>
      </c>
      <c r="CZ17" s="59">
        <f t="shared" si="42"/>
        <v>250.70954318710835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4.75</v>
      </c>
      <c r="DO17" s="12">
        <f>IF('Données projet'!$A$166&gt;35,DO16+DN17-DW16,IF(A17&lt;'Données projet'!$A$166,$DL$205^A17,IF(A17='Données projet'!$A$166,'Données projet'!$B$166,DO16+DN17-DW16)))</f>
        <v>24.232963250726986</v>
      </c>
      <c r="DP17" s="17">
        <f>DO17*VLOOKUP('Données projet'!$B$14,Paramètres!$A$1:$I$89,3,0)*VLOOKUP('Données projet'!$B$14,Paramètres!$A$1:$I$89,5,0)</f>
        <v>16.255471748587663</v>
      </c>
      <c r="DQ17" s="13">
        <f t="shared" si="43"/>
        <v>5.4149106104277989</v>
      </c>
      <c r="DR17" s="20">
        <f t="shared" si="16"/>
        <v>37.742582608618598</v>
      </c>
      <c r="DS17" s="59">
        <f t="shared" si="17"/>
        <v>331.07591594195191</v>
      </c>
      <c r="DT17" s="59">
        <f ca="1">AVERAGE(OFFSET($DS$3,0,0,'Données projet'!$E$14+1,1))-AVERAGE(OFFSET($H$3,0,0,'Données projet'!$E$14+1,1))</f>
        <v>156.63226020379989</v>
      </c>
      <c r="DU17" s="59">
        <f t="shared" si="44"/>
        <v>196.0481096619543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2.9235042735042733</v>
      </c>
      <c r="EJ17" s="12">
        <f>IF('Données projet'!$A$192&gt;35,EJ16+EI17-ER16,IF(A17&lt;'Données projet'!$A$192,$EG$205^A17,IF(A17='Données projet'!$A$192,'Données projet'!$B$192,EJ16+EI17-ER16)))</f>
        <v>8.0676118326430668</v>
      </c>
      <c r="EK17" s="17">
        <f>EJ17*VLOOKUP('Données projet'!$B$15,Paramètres!$A$1:$I$89,3,0)*VLOOKUP('Données projet'!$B$15,Paramètres!$A$1:$I$89,5,0)</f>
        <v>8.1805583983000698</v>
      </c>
      <c r="EL17" s="13">
        <f t="shared" si="45"/>
        <v>2.9518010224963804</v>
      </c>
      <c r="EM17" s="20">
        <f t="shared" si="19"/>
        <v>19.388859324553817</v>
      </c>
      <c r="EN17" s="59">
        <f t="shared" si="20"/>
        <v>312.72219265788715</v>
      </c>
      <c r="EO17" s="59">
        <f ca="1">AVERAGE(OFFSET($EN$3,0,0,'Données projet'!$E$15+1,1))-AVERAGE(OFFSET($H$3,0,0,'Données projet'!$E$15+1,1))</f>
        <v>190.21499310415584</v>
      </c>
      <c r="EP17" s="59">
        <f t="shared" si="46"/>
        <v>136.15730566500173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1.75</v>
      </c>
      <c r="FE17" s="12">
        <f>IF('Données projet'!$A$218&gt;35,FE16+FD17-FM16,IF(A17&lt;'Données projet'!$A$218,$FB$205^A17,IF(A17='Données projet'!$A$218,'Données projet'!$B$218,FE16+FD17-FM16)))</f>
        <v>17.416666666666668</v>
      </c>
      <c r="FF17" s="17">
        <f>FE17*VLOOKUP('Données projet'!$B$16,Paramètres!$A$1:$I$89,3,0)*VLOOKUP('Données projet'!$B$16,Paramètres!$A$1:$I$89,5,0)</f>
        <v>20.063999999999997</v>
      </c>
      <c r="FG17" s="13">
        <f t="shared" si="47"/>
        <v>6.5218106374009155</v>
      </c>
      <c r="FH17" s="20">
        <f t="shared" si="22"/>
        <v>46.30362019347325</v>
      </c>
      <c r="FI17" s="59">
        <f t="shared" si="23"/>
        <v>339.63695352680656</v>
      </c>
      <c r="FJ17" s="59">
        <f ca="1">AVERAGE(OFFSET($FI$3,0,0,'Données projet'!$E$16+1,1))-AVERAGE(OFFSET($H$3,0,0,'Données projet'!$E$16+1,1))</f>
        <v>14.847345852478327</v>
      </c>
      <c r="FK17" s="59">
        <f t="shared" si="48"/>
        <v>46.764428272166299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0.31132828468819629</v>
      </c>
      <c r="FS17" s="21">
        <f>EXP(-LN(2)/2)*FS16+(1-EXP(-LN(2)/2))/(LN(2)/2)*FM17*FP17*VLOOKUP('Données projet'!$B$16,Paramètres!$A$1:$I$89,3,0)*0.475*44/12</f>
        <v>0.16558897351324567</v>
      </c>
      <c r="FT17" s="22">
        <f t="shared" si="24"/>
        <v>0.47691725820144193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316.86441337476259</v>
      </c>
      <c r="S18" s="59">
        <f ca="1">AVERAGE(OFFSET($R$3,0,0,'Données projet'!$E$9+1,1))-AVERAGE(OFFSET($H$3,0,0,'Données projet'!$E$9+1,1))</f>
        <v>221.7429870520005</v>
      </c>
      <c r="T18" s="59">
        <f t="shared" si="34"/>
        <v>182.2029938397186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12.3</v>
      </c>
      <c r="AI18" s="13">
        <f>IF('Données projet'!$A$62&gt;35,AI17+AH18-AQ17,IF(A18&lt;'Données projet'!$A$62,$AF$205^A18,IF(A18='Données projet'!$A$62,'Données projet'!$B$62,AI17+AH18-AQ17)))</f>
        <v>72.5</v>
      </c>
      <c r="AJ18" s="13">
        <f>AI18*VLOOKUP('Données projet'!$B$10,Paramètres!$A$1:$I$89,3,0)*VLOOKUP('Données projet'!$B$10,Paramètres!$A$1:$I$89,5,0)</f>
        <v>57.681000000000004</v>
      </c>
      <c r="AK18" s="13">
        <f t="shared" si="35"/>
        <v>16.580614810327479</v>
      </c>
      <c r="AL18" s="20">
        <f t="shared" si="4"/>
        <v>129.33897912798705</v>
      </c>
      <c r="AM18" s="59">
        <f t="shared" si="5"/>
        <v>422.67231246132036</v>
      </c>
      <c r="AN18" s="59">
        <f ca="1">AVERAGE(OFFSET($AM$3,0,0,'Données projet'!$E$10+1,1))-AVERAGE(OFFSET($H$3,0,0,'Données projet'!$E$10+1,1))</f>
        <v>260.20517190557814</v>
      </c>
      <c r="AO18" s="59">
        <f t="shared" si="36"/>
        <v>307.22009971147133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5.3</v>
      </c>
      <c r="BD18" s="12">
        <f>IF('Données projet'!$A$88&gt;35,BD17+BC18-BL17,IF(A18&lt;'Données projet'!$A$88,$BA$205^A18,IF(A18='Données projet'!$A$88,'Données projet'!$B$88,BD17+BC18-BL17)))</f>
        <v>33.035387010668124</v>
      </c>
      <c r="BE18" s="13">
        <f>BD18*VLOOKUP('Données projet'!$B$11,Paramètres!$A$1:$I$89,3,0)*VLOOKUP('Données projet'!$B$11,Paramètres!$A$1:$I$89,5,0)</f>
        <v>19.755161432379541</v>
      </c>
      <c r="BF18" s="13">
        <f t="shared" si="37"/>
        <v>6.4330277965471954</v>
      </c>
      <c r="BG18" s="20">
        <f t="shared" si="7"/>
        <v>45.611096240380732</v>
      </c>
      <c r="BH18" s="59">
        <f t="shared" si="8"/>
        <v>338.94442957371405</v>
      </c>
      <c r="BI18" s="59">
        <f ca="1">AVERAGE(OFFSET($BH$3,0,0,'Données projet'!$E$11+1,1))-AVERAGE(OFFSET($H$3,0,0,'Données projet'!$E$11+1,1))</f>
        <v>316.58509520829671</v>
      </c>
      <c r="BJ18" s="59">
        <f t="shared" si="38"/>
        <v>240.71332110643596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4.3499999999999996</v>
      </c>
      <c r="BY18" s="12">
        <f>IF('Données projet'!$A$114&gt;35,BY17+BX18-CG17,IF(A18&lt;'Données projet'!$A$114,$BV$205^A18,IF(A18='Données projet'!$A$114,'Données projet'!$B$114,BY17+BX18-CG17)))</f>
        <v>28.48652273652797</v>
      </c>
      <c r="BZ18" s="13">
        <f>BY18*VLOOKUP('Données projet'!$B$12,Paramètres!$A$1:$I$89,3,0)*VLOOKUP('Données projet'!$B$12,Paramètres!$A$1:$I$89,5,0)</f>
        <v>17.034940596443729</v>
      </c>
      <c r="CA18" s="13">
        <f t="shared" si="39"/>
        <v>5.6437093523429409</v>
      </c>
      <c r="CB18" s="20">
        <f t="shared" si="10"/>
        <v>39.498648660803447</v>
      </c>
      <c r="CC18" s="59">
        <f t="shared" si="11"/>
        <v>332.83198199413675</v>
      </c>
      <c r="CD18" s="59">
        <f ca="1">AVERAGE(OFFSET($CC$3,0,0,'Données projet'!$E$12+1,1))-AVERAGE(OFFSET($H$3,0,0,'Données projet'!$E$12+1,1))</f>
        <v>270.30888762640245</v>
      </c>
      <c r="CE18" s="59">
        <f t="shared" si="40"/>
        <v>202.23783851977691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12.3</v>
      </c>
      <c r="CT18" s="12">
        <f>IF('Données projet'!$A$140&gt;35,CT17+CS18-DB17,IF(A18&lt;'Données projet'!$A$140,$CQ$205^A18,IF(A18='Données projet'!$A$140,'Données projet'!$B$140,CT17+CS18-DB17)))</f>
        <v>72.5</v>
      </c>
      <c r="CU18" s="17">
        <f>CT18*VLOOKUP('Données projet'!$B$13,Paramètres!$A$1:$I$89,3,0)*VLOOKUP('Données projet'!$B$13,Paramètres!$A$1:$I$89,5,0)</f>
        <v>48.633000000000003</v>
      </c>
      <c r="CV18" s="13">
        <f t="shared" si="41"/>
        <v>14.260158409918985</v>
      </c>
      <c r="CW18" s="20">
        <f t="shared" si="13"/>
        <v>109.53891756394223</v>
      </c>
      <c r="CX18" s="59">
        <f t="shared" si="14"/>
        <v>402.87225089727553</v>
      </c>
      <c r="CY18" s="59">
        <f ca="1">AVERAGE(OFFSET($CX$3,0,0,'Données projet'!$E$13+1,1))-AVERAGE(OFFSET($H$3,0,0,'Données projet'!$E$13+1,1))</f>
        <v>207.93042467236967</v>
      </c>
      <c r="CZ18" s="59">
        <f t="shared" si="42"/>
        <v>250.70954318710835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4.75</v>
      </c>
      <c r="DO18" s="12">
        <f>IF('Données projet'!$A$166&gt;35,DO17+DN18-DW17,IF(A18&lt;'Données projet'!$A$166,$DL$205^A18,IF(A18='Données projet'!$A$166,'Données projet'!$B$166,DO17+DN18-DW17)))</f>
        <v>30.429351993705815</v>
      </c>
      <c r="DP18" s="17">
        <f>DO18*VLOOKUP('Données projet'!$B$14,Paramètres!$A$1:$I$89,3,0)*VLOOKUP('Données projet'!$B$14,Paramètres!$A$1:$I$89,5,0)</f>
        <v>20.412009317377862</v>
      </c>
      <c r="DQ18" s="13">
        <f t="shared" si="43"/>
        <v>6.6216637069120585</v>
      </c>
      <c r="DR18" s="20">
        <f t="shared" si="16"/>
        <v>47.083647183971607</v>
      </c>
      <c r="DS18" s="59">
        <f t="shared" si="17"/>
        <v>340.41698051730492</v>
      </c>
      <c r="DT18" s="59">
        <f ca="1">AVERAGE(OFFSET($DS$3,0,0,'Données projet'!$E$14+1,1))-AVERAGE(OFFSET($H$3,0,0,'Données projet'!$E$14+1,1))</f>
        <v>156.63226020379989</v>
      </c>
      <c r="DU18" s="59">
        <f t="shared" si="44"/>
        <v>196.0481096619543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2.9235042735042733</v>
      </c>
      <c r="EJ18" s="12">
        <f>IF('Données projet'!$A$192&gt;35,EJ17+EI18-ER17,IF(A18&lt;'Données projet'!$A$192,$EG$205^A18,IF(A18='Données projet'!$A$192,'Données projet'!$B$192,EJ17+EI18-ER17)))</f>
        <v>9.3651016121091022</v>
      </c>
      <c r="EK18" s="17">
        <f>EJ18*VLOOKUP('Données projet'!$B$15,Paramètres!$A$1:$I$89,3,0)*VLOOKUP('Données projet'!$B$15,Paramètres!$A$1:$I$89,5,0)</f>
        <v>9.4962130346786306</v>
      </c>
      <c r="EL18" s="13">
        <f t="shared" si="45"/>
        <v>3.3675623198215465</v>
      </c>
      <c r="EM18" s="20">
        <f t="shared" si="19"/>
        <v>22.40440874242114</v>
      </c>
      <c r="EN18" s="59">
        <f t="shared" si="20"/>
        <v>315.73774207575445</v>
      </c>
      <c r="EO18" s="59">
        <f ca="1">AVERAGE(OFFSET($EN$3,0,0,'Données projet'!$E$15+1,1))-AVERAGE(OFFSET($H$3,0,0,'Données projet'!$E$15+1,1))</f>
        <v>190.21499310415584</v>
      </c>
      <c r="EP18" s="59">
        <f t="shared" si="46"/>
        <v>136.15730566500173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1.75</v>
      </c>
      <c r="FE18" s="12">
        <f>IF('Données projet'!$A$218&gt;35,FE17+FD18-FM17,IF(A18&lt;'Données projet'!$A$218,$FB$205^A18,IF(A18='Données projet'!$A$218,'Données projet'!$B$218,FE17+FD18-FM17)))</f>
        <v>19.166666666666668</v>
      </c>
      <c r="FF18" s="17">
        <f>FE18*VLOOKUP('Données projet'!$B$16,Paramètres!$A$1:$I$89,3,0)*VLOOKUP('Données projet'!$B$16,Paramètres!$A$1:$I$89,5,0)</f>
        <v>22.080000000000002</v>
      </c>
      <c r="FG18" s="13">
        <f t="shared" si="47"/>
        <v>7.0975693107753122</v>
      </c>
      <c r="FH18" s="20">
        <f t="shared" si="22"/>
        <v>50.817599882933671</v>
      </c>
      <c r="FI18" s="59">
        <f t="shared" si="23"/>
        <v>344.15093321626699</v>
      </c>
      <c r="FJ18" s="59">
        <f ca="1">AVERAGE(OFFSET($FI$3,0,0,'Données projet'!$E$16+1,1))-AVERAGE(OFFSET($H$3,0,0,'Données projet'!$E$16+1,1))</f>
        <v>14.847345852478327</v>
      </c>
      <c r="FK18" s="59">
        <f t="shared" si="48"/>
        <v>46.764428272166299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0.30281499637135462</v>
      </c>
      <c r="FS18" s="21">
        <f>EXP(-LN(2)/2)*FS17+(1-EXP(-LN(2)/2))/(LN(2)/2)*FM18*FP18*VLOOKUP('Données projet'!$B$16,Paramètres!$A$1:$I$89,3,0)*0.475*44/12</f>
        <v>0.11708908606093563</v>
      </c>
      <c r="FT18" s="22">
        <f t="shared" si="24"/>
        <v>0.41990408243229027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320.81723694306049</v>
      </c>
      <c r="S19" s="59">
        <f ca="1">AVERAGE(OFFSET($R$3,0,0,'Données projet'!$E$9+1,1))-AVERAGE(OFFSET($H$3,0,0,'Données projet'!$E$9+1,1))</f>
        <v>221.7429870520005</v>
      </c>
      <c r="T19" s="59">
        <f t="shared" si="34"/>
        <v>182.2029938397186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12.3</v>
      </c>
      <c r="AI19" s="13">
        <f>IF('Données projet'!$A$62&gt;35,AI18+AH19-AQ18,IF(A19&lt;'Données projet'!$A$62,$AF$205^A19,IF(A19='Données projet'!$A$62,'Données projet'!$B$62,AI18+AH19-AQ18)))</f>
        <v>84.8</v>
      </c>
      <c r="AJ19" s="13">
        <f>AI19*VLOOKUP('Données projet'!$B$10,Paramètres!$A$1:$I$89,3,0)*VLOOKUP('Données projet'!$B$10,Paramètres!$A$1:$I$89,5,0)</f>
        <v>67.466880000000003</v>
      </c>
      <c r="AK19" s="13">
        <f t="shared" si="35"/>
        <v>19.043051531232432</v>
      </c>
      <c r="AL19" s="20">
        <f t="shared" si="4"/>
        <v>150.67146408356317</v>
      </c>
      <c r="AM19" s="59">
        <f t="shared" si="5"/>
        <v>444.00479741689651</v>
      </c>
      <c r="AN19" s="59">
        <f ca="1">AVERAGE(OFFSET($AM$3,0,0,'Données projet'!$E$10+1,1))-AVERAGE(OFFSET($H$3,0,0,'Données projet'!$E$10+1,1))</f>
        <v>260.20517190557814</v>
      </c>
      <c r="AO19" s="59">
        <f t="shared" si="36"/>
        <v>307.22009971147133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5.3</v>
      </c>
      <c r="BD19" s="12">
        <f>IF('Données projet'!$A$88&gt;35,BD18+BC19-BL18,IF(A19&lt;'Données projet'!$A$88,$BA$205^A19,IF(A19='Données projet'!$A$88,'Données projet'!$B$88,BD18+BC19-BL18)))</f>
        <v>41.710432413181543</v>
      </c>
      <c r="BE19" s="13">
        <f>BD19*VLOOKUP('Données projet'!$B$11,Paramètres!$A$1:$I$89,3,0)*VLOOKUP('Données projet'!$B$11,Paramètres!$A$1:$I$89,5,0)</f>
        <v>24.942838583082565</v>
      </c>
      <c r="BF19" s="13">
        <f t="shared" si="37"/>
        <v>7.9048465011463138</v>
      </c>
      <c r="BG19" s="20">
        <f t="shared" si="7"/>
        <v>57.209718188365294</v>
      </c>
      <c r="BH19" s="59">
        <f t="shared" si="8"/>
        <v>350.5430515216986</v>
      </c>
      <c r="BI19" s="59">
        <f ca="1">AVERAGE(OFFSET($BH$3,0,0,'Données projet'!$E$11+1,1))-AVERAGE(OFFSET($H$3,0,0,'Données projet'!$E$11+1,1))</f>
        <v>316.58509520829671</v>
      </c>
      <c r="BJ19" s="59">
        <f t="shared" si="38"/>
        <v>240.71332110643596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4.3499999999999996</v>
      </c>
      <c r="BY19" s="12">
        <f>IF('Données projet'!$A$114&gt;35,BY18+BX19-CG18,IF(A19&lt;'Données projet'!$A$114,$BV$205^A19,IF(A19='Données projet'!$A$114,'Données projet'!$B$114,BY18+BX19-CG18)))</f>
        <v>35.613561093793514</v>
      </c>
      <c r="BZ19" s="13">
        <f>BY19*VLOOKUP('Données projet'!$B$12,Paramètres!$A$1:$I$89,3,0)*VLOOKUP('Données projet'!$B$12,Paramètres!$A$1:$I$89,5,0)</f>
        <v>21.296909534088524</v>
      </c>
      <c r="CA19" s="13">
        <f t="shared" si="39"/>
        <v>6.874681784542708</v>
      </c>
      <c r="CB19" s="20">
        <f t="shared" si="10"/>
        <v>49.065521546616061</v>
      </c>
      <c r="CC19" s="59">
        <f t="shared" si="11"/>
        <v>342.3988548799494</v>
      </c>
      <c r="CD19" s="59">
        <f ca="1">AVERAGE(OFFSET($CC$3,0,0,'Données projet'!$E$12+1,1))-AVERAGE(OFFSET($H$3,0,0,'Données projet'!$E$12+1,1))</f>
        <v>270.30888762640245</v>
      </c>
      <c r="CE19" s="59">
        <f t="shared" si="40"/>
        <v>202.23783851977691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12.3</v>
      </c>
      <c r="CT19" s="12">
        <f>IF('Données projet'!$A$140&gt;35,CT18+CS19-DB18,IF(A19&lt;'Données projet'!$A$140,$CQ$205^A19,IF(A19='Données projet'!$A$140,'Données projet'!$B$140,CT18+CS19-DB18)))</f>
        <v>84.8</v>
      </c>
      <c r="CU19" s="17">
        <f>CT19*VLOOKUP('Données projet'!$B$13,Paramètres!$A$1:$I$89,3,0)*VLOOKUP('Données projet'!$B$13,Paramètres!$A$1:$I$89,5,0)</f>
        <v>56.883839999999999</v>
      </c>
      <c r="CV19" s="13">
        <f t="shared" si="41"/>
        <v>16.377977207122715</v>
      </c>
      <c r="CW19" s="20">
        <f t="shared" si="13"/>
        <v>127.59766496907207</v>
      </c>
      <c r="CX19" s="59">
        <f t="shared" si="14"/>
        <v>420.93099830240538</v>
      </c>
      <c r="CY19" s="59">
        <f ca="1">AVERAGE(OFFSET($CX$3,0,0,'Données projet'!$E$13+1,1))-AVERAGE(OFFSET($H$3,0,0,'Données projet'!$E$13+1,1))</f>
        <v>207.93042467236967</v>
      </c>
      <c r="CZ19" s="59">
        <f t="shared" si="42"/>
        <v>250.70954318710835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4.75</v>
      </c>
      <c r="DO19" s="12">
        <f>IF('Données projet'!$A$166&gt;35,DO18+DN19-DW18,IF(A19&lt;'Données projet'!$A$166,$DL$205^A19,IF(A19='Données projet'!$A$166,'Données projet'!$B$166,DO18+DN19-DW18)))</f>
        <v>38.21016246244956</v>
      </c>
      <c r="DP19" s="17">
        <f>DO19*VLOOKUP('Données projet'!$B$14,Paramètres!$A$1:$I$89,3,0)*VLOOKUP('Données projet'!$B$14,Paramètres!$A$1:$I$89,5,0)</f>
        <v>25.631376979811165</v>
      </c>
      <c r="DQ19" s="13">
        <f t="shared" si="43"/>
        <v>8.0973507047371776</v>
      </c>
      <c r="DR19" s="20">
        <f t="shared" si="16"/>
        <v>58.744200717255033</v>
      </c>
      <c r="DS19" s="59">
        <f t="shared" si="17"/>
        <v>352.07753405058833</v>
      </c>
      <c r="DT19" s="59">
        <f ca="1">AVERAGE(OFFSET($DS$3,0,0,'Données projet'!$E$14+1,1))-AVERAGE(OFFSET($H$3,0,0,'Données projet'!$E$14+1,1))</f>
        <v>156.63226020379989</v>
      </c>
      <c r="DU19" s="59">
        <f t="shared" si="44"/>
        <v>196.0481096619543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2.9235042735042733</v>
      </c>
      <c r="EJ19" s="12">
        <f>IF('Données projet'!$A$192&gt;35,EJ18+EI19-ER18,IF(A19&lt;'Données projet'!$A$192,$EG$205^A19,IF(A19='Données projet'!$A$192,'Données projet'!$B$192,EJ18+EI19-ER18)))</f>
        <v>10.87126277571476</v>
      </c>
      <c r="EK19" s="17">
        <f>EJ19*VLOOKUP('Données projet'!$B$15,Paramètres!$A$1:$I$89,3,0)*VLOOKUP('Données projet'!$B$15,Paramètres!$A$1:$I$89,5,0)</f>
        <v>11.023460454574767</v>
      </c>
      <c r="EL19" s="13">
        <f t="shared" si="45"/>
        <v>3.8418836132426954</v>
      </c>
      <c r="EM19" s="20">
        <f t="shared" si="19"/>
        <v>25.890474251448747</v>
      </c>
      <c r="EN19" s="59">
        <f t="shared" si="20"/>
        <v>319.22380758478204</v>
      </c>
      <c r="EO19" s="59">
        <f ca="1">AVERAGE(OFFSET($EN$3,0,0,'Données projet'!$E$15+1,1))-AVERAGE(OFFSET($H$3,0,0,'Données projet'!$E$15+1,1))</f>
        <v>190.21499310415584</v>
      </c>
      <c r="EP19" s="59">
        <f t="shared" si="46"/>
        <v>136.15730566500173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1.75</v>
      </c>
      <c r="FE19" s="12">
        <f>IF('Données projet'!$A$218&gt;35,FE18+FD19-FM18,IF(A19&lt;'Données projet'!$A$218,$FB$205^A19,IF(A19='Données projet'!$A$218,'Données projet'!$B$218,FE18+FD19-FM18)))</f>
        <v>20.916666666666668</v>
      </c>
      <c r="FF19" s="17">
        <f>FE19*VLOOKUP('Données projet'!$B$16,Paramètres!$A$1:$I$89,3,0)*VLOOKUP('Données projet'!$B$16,Paramètres!$A$1:$I$89,5,0)</f>
        <v>24.096</v>
      </c>
      <c r="FG19" s="13">
        <f t="shared" si="47"/>
        <v>7.6672323896205965</v>
      </c>
      <c r="FH19" s="20">
        <f t="shared" si="22"/>
        <v>55.320963078589209</v>
      </c>
      <c r="FI19" s="59">
        <f t="shared" si="23"/>
        <v>348.65429641192253</v>
      </c>
      <c r="FJ19" s="59">
        <f ca="1">AVERAGE(OFFSET($FI$3,0,0,'Données projet'!$E$16+1,1))-AVERAGE(OFFSET($H$3,0,0,'Données projet'!$E$16+1,1))</f>
        <v>14.847345852478327</v>
      </c>
      <c r="FK19" s="59">
        <f t="shared" si="48"/>
        <v>46.764428272166299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0.29453450437123135</v>
      </c>
      <c r="FS19" s="21">
        <f>EXP(-LN(2)/2)*FS18+(1-EXP(-LN(2)/2))/(LN(2)/2)*FM19*FP19*VLOOKUP('Données projet'!$B$16,Paramètres!$A$1:$I$89,3,0)*0.475*44/12</f>
        <v>8.2794486756622848E-2</v>
      </c>
      <c r="FT19" s="22">
        <f t="shared" si="24"/>
        <v>0.37732899112785423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325.43619731952958</v>
      </c>
      <c r="S20" s="59">
        <f ca="1">AVERAGE(OFFSET($R$3,0,0,'Données projet'!$E$9+1,1))-AVERAGE(OFFSET($H$3,0,0,'Données projet'!$E$9+1,1))</f>
        <v>221.7429870520005</v>
      </c>
      <c r="T20" s="59">
        <f t="shared" si="34"/>
        <v>182.2029938397186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12.3</v>
      </c>
      <c r="AI20" s="13">
        <f>IF('Données projet'!$A$62&gt;35,AI19+AH20-AQ19,IF(A20&lt;'Données projet'!$A$62,$AF$205^A20,IF(A20='Données projet'!$A$62,'Données projet'!$B$62,AI19+AH20-AQ19)))</f>
        <v>97.1</v>
      </c>
      <c r="AJ20" s="13">
        <f>AI20*VLOOKUP('Données projet'!$B$10,Paramètres!$A$1:$I$89,3,0)*VLOOKUP('Données projet'!$B$10,Paramètres!$A$1:$I$89,5,0)</f>
        <v>77.252760000000009</v>
      </c>
      <c r="AK20" s="13">
        <f t="shared" si="35"/>
        <v>21.4641096918828</v>
      </c>
      <c r="AL20" s="20">
        <f t="shared" si="4"/>
        <v>171.93188138002924</v>
      </c>
      <c r="AM20" s="59">
        <f t="shared" si="5"/>
        <v>465.26521471336252</v>
      </c>
      <c r="AN20" s="59">
        <f ca="1">AVERAGE(OFFSET($AM$3,0,0,'Données projet'!$E$10+1,1))-AVERAGE(OFFSET($H$3,0,0,'Données projet'!$E$10+1,1))</f>
        <v>260.20517190557814</v>
      </c>
      <c r="AO20" s="59">
        <f t="shared" si="36"/>
        <v>307.22009971147133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5.3</v>
      </c>
      <c r="BD20" s="12">
        <f>IF('Données projet'!$A$88&gt;35,BD19+BC20-BL19,IF(A20&lt;'Données projet'!$A$88,$BA$205^A20,IF(A20='Données projet'!$A$88,'Données projet'!$B$88,BD19+BC20-BL19)))</f>
        <v>52.663532336786751</v>
      </c>
      <c r="BE20" s="13">
        <f>BD20*VLOOKUP('Données projet'!$B$11,Paramètres!$A$1:$I$89,3,0)*VLOOKUP('Données projet'!$B$11,Paramètres!$A$1:$I$89,5,0)</f>
        <v>31.49279233739848</v>
      </c>
      <c r="BF20" s="13">
        <f t="shared" si="37"/>
        <v>9.7134040428402315</v>
      </c>
      <c r="BG20" s="20">
        <f t="shared" si="7"/>
        <v>71.76745869558242</v>
      </c>
      <c r="BH20" s="59">
        <f t="shared" si="8"/>
        <v>365.10079202891575</v>
      </c>
      <c r="BI20" s="59">
        <f ca="1">AVERAGE(OFFSET($BH$3,0,0,'Données projet'!$E$11+1,1))-AVERAGE(OFFSET($H$3,0,0,'Données projet'!$E$11+1,1))</f>
        <v>316.58509520829671</v>
      </c>
      <c r="BJ20" s="59">
        <f t="shared" si="38"/>
        <v>240.71332110643596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4.3499999999999996</v>
      </c>
      <c r="BY20" s="12">
        <f>IF('Données projet'!$A$114&gt;35,BY19+BX20-CG19,IF(A20&lt;'Données projet'!$A$114,$BV$205^A20,IF(A20='Données projet'!$A$114,'Données projet'!$B$114,BY19+BX20-CG19)))</f>
        <v>44.523711985211953</v>
      </c>
      <c r="BZ20" s="13">
        <f>BY20*VLOOKUP('Données projet'!$B$12,Paramètres!$A$1:$I$89,3,0)*VLOOKUP('Données projet'!$B$12,Paramètres!$A$1:$I$89,5,0)</f>
        <v>26.625179767156752</v>
      </c>
      <c r="CA20" s="13">
        <f t="shared" si="39"/>
        <v>8.3741466273601048</v>
      </c>
      <c r="CB20" s="20">
        <f t="shared" si="10"/>
        <v>60.957160137116858</v>
      </c>
      <c r="CC20" s="59">
        <f t="shared" si="11"/>
        <v>354.2904934704502</v>
      </c>
      <c r="CD20" s="59">
        <f ca="1">AVERAGE(OFFSET($CC$3,0,0,'Données projet'!$E$12+1,1))-AVERAGE(OFFSET($H$3,0,0,'Données projet'!$E$12+1,1))</f>
        <v>270.30888762640245</v>
      </c>
      <c r="CE20" s="59">
        <f t="shared" si="40"/>
        <v>202.23783851977691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12.3</v>
      </c>
      <c r="CT20" s="12">
        <f>IF('Données projet'!$A$140&gt;35,CT19+CS20-DB19,IF(A20&lt;'Données projet'!$A$140,$CQ$205^A20,IF(A20='Données projet'!$A$140,'Données projet'!$B$140,CT19+CS20-DB19)))</f>
        <v>97.1</v>
      </c>
      <c r="CU20" s="17">
        <f>CT20*VLOOKUP('Données projet'!$B$13,Paramètres!$A$1:$I$89,3,0)*VLOOKUP('Données projet'!$B$13,Paramètres!$A$1:$I$89,5,0)</f>
        <v>65.134680000000003</v>
      </c>
      <c r="CV20" s="13">
        <f t="shared" si="41"/>
        <v>18.460208371976567</v>
      </c>
      <c r="CW20" s="20">
        <f t="shared" si="13"/>
        <v>145.59443058119251</v>
      </c>
      <c r="CX20" s="59">
        <f t="shared" si="14"/>
        <v>438.92776391452583</v>
      </c>
      <c r="CY20" s="59">
        <f ca="1">AVERAGE(OFFSET($CX$3,0,0,'Données projet'!$E$13+1,1))-AVERAGE(OFFSET($H$3,0,0,'Données projet'!$E$13+1,1))</f>
        <v>207.93042467236967</v>
      </c>
      <c r="CZ20" s="59">
        <f t="shared" si="42"/>
        <v>250.70954318710835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4.75</v>
      </c>
      <c r="DO20" s="12">
        <f>IF('Données projet'!$A$166&gt;35,DO19+DN20-DW19,IF(A20&lt;'Données projet'!$A$166,$DL$205^A20,IF(A20='Données projet'!$A$166,'Données projet'!$B$166,DO19+DN20-DW19)))</f>
        <v>47.980532602494719</v>
      </c>
      <c r="DP20" s="17">
        <f>DO20*VLOOKUP('Données projet'!$B$14,Paramètres!$A$1:$I$89,3,0)*VLOOKUP('Données projet'!$B$14,Paramètres!$A$1:$I$89,5,0)</f>
        <v>32.185341269753458</v>
      </c>
      <c r="DQ20" s="13">
        <f t="shared" si="43"/>
        <v>9.901905523692653</v>
      </c>
      <c r="DR20" s="20">
        <f t="shared" si="16"/>
        <v>73.30195483191865</v>
      </c>
      <c r="DS20" s="59">
        <f t="shared" si="17"/>
        <v>366.63528816525195</v>
      </c>
      <c r="DT20" s="59">
        <f ca="1">AVERAGE(OFFSET($DS$3,0,0,'Données projet'!$E$14+1,1))-AVERAGE(OFFSET($H$3,0,0,'Données projet'!$E$14+1,1))</f>
        <v>156.63226020379989</v>
      </c>
      <c r="DU20" s="59">
        <f t="shared" si="44"/>
        <v>196.0481096619543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2.9235042735042733</v>
      </c>
      <c r="EJ20" s="12">
        <f>IF('Données projet'!$A$192&gt;35,EJ19+EI20-ER19,IF(A20&lt;'Données projet'!$A$192,$EG$205^A20,IF(A20='Données projet'!$A$192,'Données projet'!$B$192,EJ19+EI20-ER19)))</f>
        <v>12.619655315413629</v>
      </c>
      <c r="EK20" s="17">
        <f>EJ20*VLOOKUP('Données projet'!$B$15,Paramètres!$A$1:$I$89,3,0)*VLOOKUP('Données projet'!$B$15,Paramètres!$A$1:$I$89,5,0)</f>
        <v>12.796330489829421</v>
      </c>
      <c r="EL20" s="13">
        <f t="shared" si="45"/>
        <v>4.383013080656192</v>
      </c>
      <c r="EM20" s="20">
        <f t="shared" si="19"/>
        <v>29.92069005192911</v>
      </c>
      <c r="EN20" s="59">
        <f t="shared" si="20"/>
        <v>323.25402338526243</v>
      </c>
      <c r="EO20" s="59">
        <f ca="1">AVERAGE(OFFSET($EN$3,0,0,'Données projet'!$E$15+1,1))-AVERAGE(OFFSET($H$3,0,0,'Données projet'!$E$15+1,1))</f>
        <v>190.21499310415584</v>
      </c>
      <c r="EP20" s="59">
        <f t="shared" si="46"/>
        <v>136.15730566500173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1.75</v>
      </c>
      <c r="FE20" s="12">
        <f>IF('Données projet'!$A$218&gt;35,FE19+FD20-FM19,IF(A20&lt;'Données projet'!$A$218,$FB$205^A20,IF(A20='Données projet'!$A$218,'Données projet'!$B$218,FE19+FD20-FM19)))</f>
        <v>22.666666666666668</v>
      </c>
      <c r="FF20" s="17">
        <f>FE20*VLOOKUP('Données projet'!$B$16,Paramètres!$A$1:$I$89,3,0)*VLOOKUP('Données projet'!$B$16,Paramètres!$A$1:$I$89,5,0)</f>
        <v>26.112000000000002</v>
      </c>
      <c r="FG20" s="13">
        <f t="shared" si="47"/>
        <v>8.2313678455266039</v>
      </c>
      <c r="FH20" s="20">
        <f t="shared" si="22"/>
        <v>59.814698997625499</v>
      </c>
      <c r="FI20" s="59">
        <f t="shared" si="23"/>
        <v>353.14803233095881</v>
      </c>
      <c r="FJ20" s="59">
        <f ca="1">AVERAGE(OFFSET($FI$3,0,0,'Données projet'!$E$16+1,1))-AVERAGE(OFFSET($H$3,0,0,'Données projet'!$E$16+1,1))</f>
        <v>14.847345852478327</v>
      </c>
      <c r="FK20" s="59">
        <f t="shared" si="48"/>
        <v>46.764428272166299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0.28648044286030361</v>
      </c>
      <c r="FS20" s="21">
        <f>EXP(-LN(2)/2)*FS19+(1-EXP(-LN(2)/2))/(LN(2)/2)*FM20*FP20*VLOOKUP('Données projet'!$B$16,Paramètres!$A$1:$I$89,3,0)*0.475*44/12</f>
        <v>5.854454303046782E-2</v>
      </c>
      <c r="FT20" s="22">
        <f t="shared" si="24"/>
        <v>0.34502498589077141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330.83388750525455</v>
      </c>
      <c r="S21" s="59">
        <f ca="1">AVERAGE(OFFSET($R$3,0,0,'Données projet'!$E$9+1,1))-AVERAGE(OFFSET($H$3,0,0,'Données projet'!$E$9+1,1))</f>
        <v>221.7429870520005</v>
      </c>
      <c r="T21" s="59">
        <f t="shared" si="34"/>
        <v>182.2029938397186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12.3</v>
      </c>
      <c r="AI21" s="13">
        <f>IF('Données projet'!$A$62&gt;35,AI20+AH21-AQ20,IF(A21&lt;'Données projet'!$A$62,$AF$205^A21,IF(A21='Données projet'!$A$62,'Données projet'!$B$62,AI20+AH21-AQ20)))</f>
        <v>109.39999999999999</v>
      </c>
      <c r="AJ21" s="13">
        <f>AI21*VLOOKUP('Données projet'!$B$10,Paramètres!$A$1:$I$89,3,0)*VLOOKUP('Données projet'!$B$10,Paramètres!$A$1:$I$89,5,0)</f>
        <v>87.038640000000001</v>
      </c>
      <c r="AK21" s="13">
        <f t="shared" si="35"/>
        <v>23.849631507508057</v>
      </c>
      <c r="AL21" s="20">
        <f t="shared" si="4"/>
        <v>193.13040620890987</v>
      </c>
      <c r="AM21" s="59">
        <f t="shared" si="5"/>
        <v>486.46373954224316</v>
      </c>
      <c r="AN21" s="59">
        <f ca="1">AVERAGE(OFFSET($AM$3,0,0,'Données projet'!$E$10+1,1))-AVERAGE(OFFSET($H$3,0,0,'Données projet'!$E$10+1,1))</f>
        <v>260.20517190557814</v>
      </c>
      <c r="AO21" s="59">
        <f t="shared" si="36"/>
        <v>307.22009971147133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5.3</v>
      </c>
      <c r="BD21" s="12">
        <f>IF('Données projet'!$A$88&gt;35,BD20+BC21-BL20,IF(A21&lt;'Données projet'!$A$88,$BA$205^A21,IF(A21='Données projet'!$A$88,'Données projet'!$B$88,BD20+BC21-BL20)))</f>
        <v>66.492900642077856</v>
      </c>
      <c r="BE21" s="13">
        <f>BD21*VLOOKUP('Données projet'!$B$11,Paramètres!$A$1:$I$89,3,0)*VLOOKUP('Données projet'!$B$11,Paramètres!$A$1:$I$89,5,0)</f>
        <v>39.762754583962561</v>
      </c>
      <c r="BF21" s="13">
        <f t="shared" si="37"/>
        <v>11.935743228636118</v>
      </c>
      <c r="BG21" s="20">
        <f t="shared" si="7"/>
        <v>90.041550356942707</v>
      </c>
      <c r="BH21" s="59">
        <f t="shared" si="8"/>
        <v>383.37488369027602</v>
      </c>
      <c r="BI21" s="59">
        <f ca="1">AVERAGE(OFFSET($BH$3,0,0,'Données projet'!$E$11+1,1))-AVERAGE(OFFSET($H$3,0,0,'Données projet'!$E$11+1,1))</f>
        <v>316.58509520829671</v>
      </c>
      <c r="BJ21" s="59">
        <f t="shared" si="38"/>
        <v>240.71332110643596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4.3499999999999996</v>
      </c>
      <c r="BY21" s="12">
        <f>IF('Données projet'!$A$114&gt;35,BY20+BX21-CG20,IF(A21&lt;'Données projet'!$A$114,$BV$205^A21,IF(A21='Données projet'!$A$114,'Données projet'!$B$114,BY20+BX21-CG20)))</f>
        <v>55.663092037363775</v>
      </c>
      <c r="BZ21" s="13">
        <f>BY21*VLOOKUP('Données projet'!$B$12,Paramètres!$A$1:$I$89,3,0)*VLOOKUP('Données projet'!$B$12,Paramètres!$A$1:$I$89,5,0)</f>
        <v>33.286529038343545</v>
      </c>
      <c r="CA21" s="13">
        <f t="shared" si="39"/>
        <v>10.200665853974691</v>
      </c>
      <c r="CB21" s="20">
        <f t="shared" si="10"/>
        <v>75.740197770787589</v>
      </c>
      <c r="CC21" s="59">
        <f t="shared" si="11"/>
        <v>369.07353110412089</v>
      </c>
      <c r="CD21" s="59">
        <f ca="1">AVERAGE(OFFSET($CC$3,0,0,'Données projet'!$E$12+1,1))-AVERAGE(OFFSET($H$3,0,0,'Données projet'!$E$12+1,1))</f>
        <v>270.30888762640245</v>
      </c>
      <c r="CE21" s="59">
        <f t="shared" si="40"/>
        <v>202.23783851977691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12.3</v>
      </c>
      <c r="CT21" s="12">
        <f>IF('Données projet'!$A$140&gt;35,CT20+CS21-DB20,IF(A21&lt;'Données projet'!$A$140,$CQ$205^A21,IF(A21='Données projet'!$A$140,'Données projet'!$B$140,CT20+CS21-DB20)))</f>
        <v>109.39999999999999</v>
      </c>
      <c r="CU21" s="17">
        <f>CT21*VLOOKUP('Données projet'!$B$13,Paramètres!$A$1:$I$89,3,0)*VLOOKUP('Données projet'!$B$13,Paramètres!$A$1:$I$89,5,0)</f>
        <v>73.38552</v>
      </c>
      <c r="CV21" s="13">
        <f t="shared" si="41"/>
        <v>20.511876501914987</v>
      </c>
      <c r="CW21" s="20">
        <f t="shared" si="13"/>
        <v>163.5379655741686</v>
      </c>
      <c r="CX21" s="59">
        <f t="shared" si="14"/>
        <v>456.87129890750191</v>
      </c>
      <c r="CY21" s="59">
        <f ca="1">AVERAGE(OFFSET($CX$3,0,0,'Données projet'!$E$13+1,1))-AVERAGE(OFFSET($H$3,0,0,'Données projet'!$E$13+1,1))</f>
        <v>207.93042467236967</v>
      </c>
      <c r="CZ21" s="59">
        <f t="shared" si="42"/>
        <v>250.70954318710835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4.75</v>
      </c>
      <c r="DO21" s="12">
        <f>IF('Données projet'!$A$166&gt;35,DO20+DN21-DW20,IF(A21&lt;'Données projet'!$A$166,$DL$205^A21,IF(A21='Données projet'!$A$166,'Données projet'!$B$166,DO20+DN21-DW20)))</f>
        <v>60.249194467085609</v>
      </c>
      <c r="DP21" s="17">
        <f>DO21*VLOOKUP('Données projet'!$B$14,Paramètres!$A$1:$I$89,3,0)*VLOOKUP('Données projet'!$B$14,Paramètres!$A$1:$I$89,5,0)</f>
        <v>40.415159648521026</v>
      </c>
      <c r="DQ21" s="13">
        <f t="shared" si="43"/>
        <v>12.108618803280235</v>
      </c>
      <c r="DR21" s="20">
        <f t="shared" si="16"/>
        <v>91.478914136887184</v>
      </c>
      <c r="DS21" s="59">
        <f t="shared" si="17"/>
        <v>384.81224747022048</v>
      </c>
      <c r="DT21" s="59">
        <f ca="1">AVERAGE(OFFSET($DS$3,0,0,'Données projet'!$E$14+1,1))-AVERAGE(OFFSET($H$3,0,0,'Données projet'!$E$14+1,1))</f>
        <v>156.63226020379989</v>
      </c>
      <c r="DU21" s="59">
        <f t="shared" si="44"/>
        <v>196.0481096619543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2.9235042735042733</v>
      </c>
      <c r="EJ21" s="12">
        <f>IF('Données projet'!$A$192&gt;35,EJ20+EI21-ER20,IF(A21&lt;'Données projet'!$A$192,$EG$205^A21,IF(A21='Données projet'!$A$192,'Données projet'!$B$192,EJ20+EI21-ER20)))</f>
        <v>14.649236575865659</v>
      </c>
      <c r="EK21" s="17">
        <f>EJ21*VLOOKUP('Données projet'!$B$15,Paramètres!$A$1:$I$89,3,0)*VLOOKUP('Données projet'!$B$15,Paramètres!$A$1:$I$89,5,0)</f>
        <v>14.85432588792778</v>
      </c>
      <c r="EL21" s="13">
        <f t="shared" si="45"/>
        <v>5.000360656159657</v>
      </c>
      <c r="EM21" s="20">
        <f t="shared" si="19"/>
        <v>34.580245730952278</v>
      </c>
      <c r="EN21" s="59">
        <f t="shared" si="20"/>
        <v>327.91357906428561</v>
      </c>
      <c r="EO21" s="59">
        <f ca="1">AVERAGE(OFFSET($EN$3,0,0,'Données projet'!$E$15+1,1))-AVERAGE(OFFSET($H$3,0,0,'Données projet'!$E$15+1,1))</f>
        <v>190.21499310415584</v>
      </c>
      <c r="EP21" s="59">
        <f t="shared" si="46"/>
        <v>136.15730566500173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1.75</v>
      </c>
      <c r="FE21" s="12">
        <f>IF('Données projet'!$A$218&gt;35,FE20+FD21-FM20,IF(A21&lt;'Données projet'!$A$218,$FB$205^A21,IF(A21='Données projet'!$A$218,'Données projet'!$B$218,FE20+FD21-FM20)))</f>
        <v>24.416666666666668</v>
      </c>
      <c r="FF21" s="17">
        <f>FE21*VLOOKUP('Données projet'!$B$16,Paramètres!$A$1:$I$89,3,0)*VLOOKUP('Données projet'!$B$16,Paramètres!$A$1:$I$89,5,0)</f>
        <v>28.128</v>
      </c>
      <c r="FG21" s="13">
        <f t="shared" si="47"/>
        <v>8.7904509658411243</v>
      </c>
      <c r="FH21" s="20">
        <f t="shared" si="22"/>
        <v>64.299635432173289</v>
      </c>
      <c r="FI21" s="59">
        <f t="shared" si="23"/>
        <v>357.63296876550658</v>
      </c>
      <c r="FJ21" s="59">
        <f ca="1">AVERAGE(OFFSET($FI$3,0,0,'Données projet'!$E$16+1,1))-AVERAGE(OFFSET($H$3,0,0,'Données projet'!$E$16+1,1))</f>
        <v>14.847345852478327</v>
      </c>
      <c r="FK21" s="59">
        <f t="shared" si="48"/>
        <v>46.764428272166299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0.2786466200849369</v>
      </c>
      <c r="FS21" s="21">
        <f>EXP(-LN(2)/2)*FS20+(1-EXP(-LN(2)/2))/(LN(2)/2)*FM21*FP21*VLOOKUP('Données projet'!$B$16,Paramètres!$A$1:$I$89,3,0)*0.475*44/12</f>
        <v>4.1397243378311431E-2</v>
      </c>
      <c r="FT21" s="22">
        <f t="shared" si="24"/>
        <v>0.32004386346324831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337.14198376726137</v>
      </c>
      <c r="S22" s="59">
        <f ca="1">AVERAGE(OFFSET($R$3,0,0,'Données projet'!$E$9+1,1))-AVERAGE(OFFSET($H$3,0,0,'Données projet'!$E$9+1,1))</f>
        <v>221.7429870520005</v>
      </c>
      <c r="T22" s="59">
        <f t="shared" si="34"/>
        <v>182.2029938397186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12.3</v>
      </c>
      <c r="AI22" s="13">
        <f>IF('Données projet'!$A$62&gt;35,AI21+AH22-AQ21,IF(A22&lt;'Données projet'!$A$62,$AF$205^A22,IF(A22='Données projet'!$A$62,'Données projet'!$B$62,AI21+AH22-AQ21)))</f>
        <v>121.69999999999999</v>
      </c>
      <c r="AJ22" s="13">
        <f>AI22*VLOOKUP('Données projet'!$B$10,Paramètres!$A$1:$I$89,3,0)*VLOOKUP('Données projet'!$B$10,Paramètres!$A$1:$I$89,5,0)</f>
        <v>96.824519999999993</v>
      </c>
      <c r="AK22" s="13">
        <f t="shared" si="35"/>
        <v>26.20406828580953</v>
      </c>
      <c r="AL22" s="20">
        <f t="shared" si="4"/>
        <v>214.27479126445158</v>
      </c>
      <c r="AM22" s="59">
        <f t="shared" si="5"/>
        <v>507.60812459778492</v>
      </c>
      <c r="AN22" s="59">
        <f ca="1">AVERAGE(OFFSET($AM$3,0,0,'Données projet'!$E$10+1,1))-AVERAGE(OFFSET($H$3,0,0,'Données projet'!$E$10+1,1))</f>
        <v>260.20517190557814</v>
      </c>
      <c r="AO22" s="59">
        <f t="shared" si="36"/>
        <v>307.22009971147133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5.3</v>
      </c>
      <c r="BD22" s="12">
        <f>IF('Données projet'!$A$88&gt;35,BD21+BC22-BL21,IF(A22&lt;'Données projet'!$A$88,$BA$205^A22,IF(A22='Données projet'!$A$88,'Données projet'!$B$88,BD21+BC22-BL21)))</f>
        <v>83.953841294250751</v>
      </c>
      <c r="BE22" s="13">
        <f>BD22*VLOOKUP('Données projet'!$B$11,Paramètres!$A$1:$I$89,3,0)*VLOOKUP('Données projet'!$B$11,Paramètres!$A$1:$I$89,5,0)</f>
        <v>50.204397093961951</v>
      </c>
      <c r="BF22" s="13">
        <f t="shared" si="37"/>
        <v>14.666533564506853</v>
      </c>
      <c r="BG22" s="20">
        <f t="shared" si="7"/>
        <v>112.98353756349984</v>
      </c>
      <c r="BH22" s="59">
        <f t="shared" si="8"/>
        <v>406.31687089683317</v>
      </c>
      <c r="BI22" s="59">
        <f ca="1">AVERAGE(OFFSET($BH$3,0,0,'Données projet'!$E$11+1,1))-AVERAGE(OFFSET($H$3,0,0,'Données projet'!$E$11+1,1))</f>
        <v>316.58509520829671</v>
      </c>
      <c r="BJ22" s="59">
        <f t="shared" si="38"/>
        <v>240.71332110643596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4.3499999999999996</v>
      </c>
      <c r="BY22" s="12">
        <f>IF('Données projet'!$A$114&gt;35,BY21+BX22-CG21,IF(A22&lt;'Données projet'!$A$114,$BV$205^A22,IF(A22='Données projet'!$A$114,'Données projet'!$B$114,BY21+BX22-CG21)))</f>
        <v>69.589431720992238</v>
      </c>
      <c r="BZ22" s="13">
        <f>BY22*VLOOKUP('Données projet'!$B$12,Paramètres!$A$1:$I$89,3,0)*VLOOKUP('Données projet'!$B$12,Paramètres!$A$1:$I$89,5,0)</f>
        <v>41.614480169153367</v>
      </c>
      <c r="CA22" s="13">
        <f t="shared" si="39"/>
        <v>12.425574628043913</v>
      </c>
      <c r="CB22" s="20">
        <f t="shared" si="10"/>
        <v>94.119762105118596</v>
      </c>
      <c r="CC22" s="59">
        <f t="shared" si="11"/>
        <v>387.4530954384519</v>
      </c>
      <c r="CD22" s="59">
        <f ca="1">AVERAGE(OFFSET($CC$3,0,0,'Données projet'!$E$12+1,1))-AVERAGE(OFFSET($H$3,0,0,'Données projet'!$E$12+1,1))</f>
        <v>270.30888762640245</v>
      </c>
      <c r="CE22" s="59">
        <f t="shared" si="40"/>
        <v>202.23783851977691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12.3</v>
      </c>
      <c r="CT22" s="12">
        <f>IF('Données projet'!$A$140&gt;35,CT21+CS22-DB21,IF(A22&lt;'Données projet'!$A$140,$CQ$205^A22,IF(A22='Données projet'!$A$140,'Données projet'!$B$140,CT21+CS22-DB21)))</f>
        <v>121.69999999999999</v>
      </c>
      <c r="CU22" s="17">
        <f>CT22*VLOOKUP('Données projet'!$B$13,Paramètres!$A$1:$I$89,3,0)*VLOOKUP('Données projet'!$B$13,Paramètres!$A$1:$I$89,5,0)</f>
        <v>81.636359999999996</v>
      </c>
      <c r="CV22" s="13">
        <f t="shared" si="41"/>
        <v>22.536809944298909</v>
      </c>
      <c r="CW22" s="20">
        <f t="shared" si="13"/>
        <v>181.43493765298726</v>
      </c>
      <c r="CX22" s="59">
        <f t="shared" si="14"/>
        <v>474.76827098632054</v>
      </c>
      <c r="CY22" s="59">
        <f ca="1">AVERAGE(OFFSET($CX$3,0,0,'Données projet'!$E$13+1,1))-AVERAGE(OFFSET($H$3,0,0,'Données projet'!$E$13+1,1))</f>
        <v>207.93042467236967</v>
      </c>
      <c r="CZ22" s="59">
        <f t="shared" si="42"/>
        <v>250.70954318710835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4.75</v>
      </c>
      <c r="DO22" s="12">
        <f>IF('Données projet'!$A$166&gt;35,DO21+DN22-DW21,IF(A22&lt;'Données projet'!$A$166,$DL$205^A22,IF(A22='Données projet'!$A$166,'Données projet'!$B$166,DO21+DN22-DW21)))</f>
        <v>75.65496331618381</v>
      </c>
      <c r="DP22" s="17">
        <f>DO22*VLOOKUP('Données projet'!$B$14,Paramètres!$A$1:$I$89,3,0)*VLOOKUP('Données projet'!$B$14,Paramètres!$A$1:$I$89,5,0)</f>
        <v>50.7493493924961</v>
      </c>
      <c r="DQ22" s="13">
        <f t="shared" si="43"/>
        <v>14.807114547026517</v>
      </c>
      <c r="DR22" s="20">
        <f t="shared" si="16"/>
        <v>114.17750802800187</v>
      </c>
      <c r="DS22" s="59">
        <f t="shared" si="17"/>
        <v>407.51084136133517</v>
      </c>
      <c r="DT22" s="59">
        <f ca="1">AVERAGE(OFFSET($DS$3,0,0,'Données projet'!$E$14+1,1))-AVERAGE(OFFSET($H$3,0,0,'Données projet'!$E$14+1,1))</f>
        <v>156.63226020379989</v>
      </c>
      <c r="DU22" s="59">
        <f t="shared" si="44"/>
        <v>196.0481096619543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2.9235042735042733</v>
      </c>
      <c r="EJ22" s="12">
        <f>IF('Données projet'!$A$192&gt;35,EJ21+EI22-ER21,IF(A22&lt;'Données projet'!$A$192,$EG$205^A22,IF(A22='Données projet'!$A$192,'Données projet'!$B$192,EJ21+EI22-ER21)))</f>
        <v>17.005229294461625</v>
      </c>
      <c r="EK22" s="17">
        <f>EJ22*VLOOKUP('Données projet'!$B$15,Paramètres!$A$1:$I$89,3,0)*VLOOKUP('Données projet'!$B$15,Paramètres!$A$1:$I$89,5,0)</f>
        <v>17.24330250458409</v>
      </c>
      <c r="EL22" s="13">
        <f t="shared" si="45"/>
        <v>5.7046616634614491</v>
      </c>
      <c r="EM22" s="20">
        <f t="shared" si="19"/>
        <v>39.967704259345972</v>
      </c>
      <c r="EN22" s="59">
        <f t="shared" si="20"/>
        <v>333.30103759267928</v>
      </c>
      <c r="EO22" s="59">
        <f ca="1">AVERAGE(OFFSET($EN$3,0,0,'Données projet'!$E$15+1,1))-AVERAGE(OFFSET($H$3,0,0,'Données projet'!$E$15+1,1))</f>
        <v>190.21499310415584</v>
      </c>
      <c r="EP22" s="59">
        <f t="shared" si="46"/>
        <v>136.15730566500173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1.75</v>
      </c>
      <c r="FE22" s="12">
        <f>IF('Données projet'!$A$218&gt;35,FE21+FD22-FM21,IF(A22&lt;'Données projet'!$A$218,$FB$205^A22,IF(A22='Données projet'!$A$218,'Données projet'!$B$218,FE21+FD22-FM21)))</f>
        <v>26.166666666666668</v>
      </c>
      <c r="FF22" s="17">
        <f>FE22*VLOOKUP('Données projet'!$B$16,Paramètres!$A$1:$I$89,3,0)*VLOOKUP('Données projet'!$B$16,Paramètres!$A$1:$I$89,5,0)</f>
        <v>30.143999999999998</v>
      </c>
      <c r="FG22" s="13">
        <f t="shared" si="47"/>
        <v>9.3448850470524665</v>
      </c>
      <c r="FH22" s="20">
        <f t="shared" si="22"/>
        <v>68.776474790283032</v>
      </c>
      <c r="FI22" s="59">
        <f t="shared" si="23"/>
        <v>362.10980812361635</v>
      </c>
      <c r="FJ22" s="59">
        <f ca="1">AVERAGE(OFFSET($FI$3,0,0,'Données projet'!$E$16+1,1))-AVERAGE(OFFSET($H$3,0,0,'Données projet'!$E$16+1,1))</f>
        <v>14.847345852478327</v>
      </c>
      <c r="FK22" s="59">
        <f t="shared" si="48"/>
        <v>46.764428272166299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0.27102701360532538</v>
      </c>
      <c r="FS22" s="21">
        <f>EXP(-LN(2)/2)*FS21+(1-EXP(-LN(2)/2))/(LN(2)/2)*FM22*FP22*VLOOKUP('Données projet'!$B$16,Paramètres!$A$1:$I$89,3,0)*0.475*44/12</f>
        <v>2.9272271515233917E-2</v>
      </c>
      <c r="FT22" s="22">
        <f t="shared" si="24"/>
        <v>0.30029928512055931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344.51448821494677</v>
      </c>
      <c r="S23" s="59">
        <f ca="1">AVERAGE(OFFSET($R$3,0,0,'Données projet'!$E$9+1,1))-AVERAGE(OFFSET($H$3,0,0,'Données projet'!$E$9+1,1))</f>
        <v>221.7429870520005</v>
      </c>
      <c r="T23" s="59">
        <f t="shared" si="34"/>
        <v>182.2029938397186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134</v>
      </c>
      <c r="AG23" s="12">
        <f>VLOOKUP(A23,'Données projet'!$A$61:$I$81,9,0)</f>
        <v>12.3</v>
      </c>
      <c r="AH23" s="12">
        <f t="array" ref="AH23">INDEX(AG:AG,MIN(IF(ISNUMBER(AG23:AG219),ROW(AG23:AG219),"")))</f>
        <v>12.3</v>
      </c>
      <c r="AI23" s="13">
        <f>IF('Données projet'!$A$62&gt;35,AI22+AH23-AQ22,IF(A23&lt;'Données projet'!$A$62,$AF$205^A23,IF(A23='Données projet'!$A$62,'Données projet'!$B$62,AI22+AH23-AQ22)))</f>
        <v>134</v>
      </c>
      <c r="AJ23" s="13">
        <f>AI23*VLOOKUP('Données projet'!$B$10,Paramètres!$A$1:$I$89,3,0)*VLOOKUP('Données projet'!$B$10,Paramètres!$A$1:$I$89,5,0)</f>
        <v>106.61040000000001</v>
      </c>
      <c r="AK23" s="13">
        <f t="shared" si="35"/>
        <v>28.530919434405451</v>
      </c>
      <c r="AL23" s="20">
        <f t="shared" si="4"/>
        <v>235.3711313482562</v>
      </c>
      <c r="AM23" s="59">
        <f t="shared" si="5"/>
        <v>528.70446468158957</v>
      </c>
      <c r="AN23" s="59">
        <f ca="1">AVERAGE(OFFSET($AM$3,0,0,'Données projet'!$E$10+1,1))-AVERAGE(OFFSET($H$3,0,0,'Données projet'!$E$10+1,1))</f>
        <v>260.20517190557814</v>
      </c>
      <c r="AO23" s="59">
        <f t="shared" si="36"/>
        <v>307.22009971147133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0.13250000000000001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7.7771272982896171</v>
      </c>
      <c r="AW23" s="21">
        <f>EXP(-LN(2)/2)*AW22+(1-EXP(-LN(2)/2))/(LN(2)/2)*AQ23*AT23*VLOOKUP('Données projet'!$B$10,Paramètres!$A$1:$I$89,3,0)*0.475*44/12</f>
        <v>12.573722722105785</v>
      </c>
      <c r="AX23" s="21">
        <f t="shared" si="6"/>
        <v>20.350850020395402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106</v>
      </c>
      <c r="BB23" s="12">
        <f>VLOOKUP(A23,'Données projet'!$A$87:$I$107,9,0)</f>
        <v>5.3</v>
      </c>
      <c r="BC23" s="12">
        <f t="array" ref="BC23">INDEX(BB:BB,MIN(IF(ISNUMBER(BB23:BB219),ROW(BB23:BB219),"")))</f>
        <v>5.3</v>
      </c>
      <c r="BD23" s="12">
        <f>IF('Données projet'!$A$88&gt;35,BD22+BC23-BL22,IF(A23&lt;'Données projet'!$A$88,$BA$205^A23,IF(A23='Données projet'!$A$88,'Données projet'!$B$88,BD22+BC23-BL22)))</f>
        <v>106</v>
      </c>
      <c r="BE23" s="13">
        <f>BD23*VLOOKUP('Données projet'!$B$11,Paramètres!$A$1:$I$89,3,0)*VLOOKUP('Données projet'!$B$11,Paramètres!$A$1:$I$89,5,0)</f>
        <v>63.388000000000012</v>
      </c>
      <c r="BF23" s="13">
        <f t="shared" si="37"/>
        <v>18.022104085041263</v>
      </c>
      <c r="BG23" s="20">
        <f t="shared" si="7"/>
        <v>141.78926461478019</v>
      </c>
      <c r="BH23" s="59">
        <f t="shared" si="8"/>
        <v>435.12259794811348</v>
      </c>
      <c r="BI23" s="59">
        <f ca="1">AVERAGE(OFFSET($BH$3,0,0,'Données projet'!$E$11+1,1))-AVERAGE(OFFSET($H$3,0,0,'Données projet'!$E$11+1,1))</f>
        <v>316.58509520829671</v>
      </c>
      <c r="BJ23" s="59">
        <f t="shared" si="38"/>
        <v>240.71332110643596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29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0.22500000000000001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5.1558075517675315</v>
      </c>
      <c r="BR23" s="21">
        <f>EXP(-LN(2)/2)*BR22+(1-EXP(-LN(2)/2))/(LN(2)/2)*BL23*BO23*VLOOKUP('Données projet'!$B$11,Paramètres!$A$1:$I$89,3,0)*0.475*44/12</f>
        <v>9.8175862518519867</v>
      </c>
      <c r="BS23" s="22">
        <f t="shared" si="9"/>
        <v>14.973393803619519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87</v>
      </c>
      <c r="BW23" s="12">
        <f>VLOOKUP(A23,'Données projet'!$A$113:$I$133,9,0)</f>
        <v>4.3499999999999996</v>
      </c>
      <c r="BX23" s="12">
        <f t="array" ref="BX23">INDEX(BW:BW,MIN(IF(ISNUMBER(BW23:BW219),ROW(BW23:BW219),"")))</f>
        <v>4.3499999999999996</v>
      </c>
      <c r="BY23" s="12">
        <f>IF('Données projet'!$A$114&gt;35,BY22+BX23-CG22,IF(A23&lt;'Données projet'!$A$114,$BV$205^A23,IF(A23='Données projet'!$A$114,'Données projet'!$B$114,BY22+BX23-CG22)))</f>
        <v>87</v>
      </c>
      <c r="BZ23" s="13">
        <f>BY23*VLOOKUP('Données projet'!$B$12,Paramètres!$A$1:$I$89,3,0)*VLOOKUP('Données projet'!$B$12,Paramètres!$A$1:$I$89,5,0)</f>
        <v>52.026000000000003</v>
      </c>
      <c r="CA23" s="13">
        <f t="shared" si="39"/>
        <v>15.135767316300118</v>
      </c>
      <c r="CB23" s="20">
        <f t="shared" si="10"/>
        <v>116.97341140922269</v>
      </c>
      <c r="CC23" s="59">
        <f t="shared" si="11"/>
        <v>410.30674474255602</v>
      </c>
      <c r="CD23" s="59">
        <f ca="1">AVERAGE(OFFSET($CC$3,0,0,'Données projet'!$E$12+1,1))-AVERAGE(OFFSET($H$3,0,0,'Données projet'!$E$12+1,1))</f>
        <v>270.30888762640245</v>
      </c>
      <c r="CE23" s="59">
        <f t="shared" si="40"/>
        <v>202.23783851977691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0.22500000000000001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3.5557293460465722</v>
      </c>
      <c r="CM23" s="21">
        <f>EXP(-LN(2)/2)*CM22+(1-EXP(-LN(2)/2))/(LN(2)/2)*CG23*CJ23*VLOOKUP('Données projet'!$B$12,Paramètres!$A$1:$I$89,3,0)*0.475*44/12</f>
        <v>6.7707491392082657</v>
      </c>
      <c r="CN23" s="22">
        <f t="shared" si="12"/>
        <v>10.326478485254839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134</v>
      </c>
      <c r="CR23" s="12">
        <f>VLOOKUP(A23,'Données projet'!$A$139:$I$159,9,0)</f>
        <v>12.3</v>
      </c>
      <c r="CS23" s="12">
        <f t="array" ref="CS23">INDEX(CR:CR,MIN(IF(ISNUMBER(CR23:CR219),ROW(CR23:CR219),"")))</f>
        <v>12.3</v>
      </c>
      <c r="CT23" s="12">
        <f>IF('Données projet'!$A$140&gt;35,CT22+CS23-DB22,IF(A23&lt;'Données projet'!$A$140,$CQ$205^A23,IF(A23='Données projet'!$A$140,'Données projet'!$B$140,CT22+CS23-DB22)))</f>
        <v>134</v>
      </c>
      <c r="CU23" s="17">
        <f>CT23*VLOOKUP('Données projet'!$B$13,Paramètres!$A$1:$I$89,3,0)*VLOOKUP('Données projet'!$B$13,Paramètres!$A$1:$I$89,5,0)</f>
        <v>89.887199999999993</v>
      </c>
      <c r="CV23" s="13">
        <f t="shared" si="41"/>
        <v>24.538018364785955</v>
      </c>
      <c r="CW23" s="20">
        <f t="shared" si="13"/>
        <v>199.29058865200216</v>
      </c>
      <c r="CX23" s="59">
        <f t="shared" si="14"/>
        <v>492.62392198533547</v>
      </c>
      <c r="CY23" s="59">
        <f ca="1">AVERAGE(OFFSET($CX$3,0,0,'Données projet'!$E$13+1,1))-AVERAGE(OFFSET($H$3,0,0,'Données projet'!$E$13+1,1))</f>
        <v>207.93042467236967</v>
      </c>
      <c r="CZ23" s="59">
        <f t="shared" si="42"/>
        <v>250.70954318710835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67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6.5571857613030105</v>
      </c>
      <c r="DH23" s="21">
        <f>EXP(-LN(2)/2)*DH22+(1-EXP(-LN(2)/2))/(LN(2)/2)*DB23*DE23*VLOOKUP('Données projet'!$B$13,Paramètres!$A$1:$I$89,3,0)*0.475*44/12</f>
        <v>10.601374059814683</v>
      </c>
      <c r="DI23" s="22">
        <f t="shared" si="15"/>
        <v>17.158559821117692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95</v>
      </c>
      <c r="DM23" s="12">
        <f>VLOOKUP(A23,'Données projet'!$A$165:$I$185,9,0)</f>
        <v>4.75</v>
      </c>
      <c r="DN23" s="12">
        <f t="array" ref="DN23">INDEX(DM:DM,MIN(IF(ISNUMBER(DM23:DM219),ROW(DM23:DM219),"")))</f>
        <v>4.75</v>
      </c>
      <c r="DO23" s="12">
        <f>IF('Données projet'!$A$166&gt;35,DO22+DN23-DW22,IF(A23&lt;'Données projet'!$A$166,$DL$205^A23,IF(A23='Données projet'!$A$166,'Données projet'!$B$166,DO22+DN23-DW22)))</f>
        <v>95</v>
      </c>
      <c r="DP23" s="17">
        <f>DO23*VLOOKUP('Données projet'!$B$14,Paramètres!$A$1:$I$89,3,0)*VLOOKUP('Données projet'!$B$14,Paramètres!$A$1:$I$89,5,0)</f>
        <v>63.726000000000006</v>
      </c>
      <c r="DQ23" s="13">
        <f t="shared" si="43"/>
        <v>18.10699013411584</v>
      </c>
      <c r="DR23" s="20">
        <f t="shared" si="16"/>
        <v>142.52579115025176</v>
      </c>
      <c r="DS23" s="59">
        <f t="shared" si="17"/>
        <v>435.85912448358511</v>
      </c>
      <c r="DT23" s="59">
        <f ca="1">AVERAGE(OFFSET($DS$3,0,0,'Données projet'!$E$14+1,1))-AVERAGE(OFFSET($H$3,0,0,'Données projet'!$E$14+1,1))</f>
        <v>156.63226020379989</v>
      </c>
      <c r="DU23" s="59">
        <f t="shared" si="44"/>
        <v>196.0481096619543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43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0.13250000000000001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4.2083431005377525</v>
      </c>
      <c r="EC23" s="21">
        <f>EXP(-LN(2)/2)*EC22+(1-EXP(-LN(2)/2))/(LN(2)/2)*DW23*DZ23*VLOOKUP('Données projet'!$B$14,Paramètres!$A$1:$I$89,3,0)*0.475*44/12</f>
        <v>6.8038669339109141</v>
      </c>
      <c r="ED23" s="22">
        <f t="shared" si="18"/>
        <v>11.012210034448668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2.9235042735042733</v>
      </c>
      <c r="EJ23" s="12">
        <f>IF('Données projet'!$A$192&gt;35,EJ22+EI23-ER22,IF(A23&lt;'Données projet'!$A$192,$EG$205^A23,IF(A23='Données projet'!$A$192,'Données projet'!$B$192,EJ22+EI23-ER22)))</f>
        <v>19.740129245617538</v>
      </c>
      <c r="EK23" s="17">
        <f>EJ23*VLOOKUP('Données projet'!$B$15,Paramètres!$A$1:$I$89,3,0)*VLOOKUP('Données projet'!$B$15,Paramètres!$A$1:$I$89,5,0)</f>
        <v>20.016491055056186</v>
      </c>
      <c r="EL23" s="13">
        <f t="shared" si="45"/>
        <v>6.5081634970626938</v>
      </c>
      <c r="EM23" s="20">
        <f t="shared" si="19"/>
        <v>46.197106678273713</v>
      </c>
      <c r="EN23" s="59">
        <f t="shared" si="20"/>
        <v>339.53044001160703</v>
      </c>
      <c r="EO23" s="59">
        <f ca="1">AVERAGE(OFFSET($EN$3,0,0,'Données projet'!$E$15+1,1))-AVERAGE(OFFSET($H$3,0,0,'Données projet'!$E$15+1,1))</f>
        <v>190.21499310415584</v>
      </c>
      <c r="EP23" s="59">
        <f t="shared" si="46"/>
        <v>136.15730566500173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27.916666666666668</v>
      </c>
      <c r="FC23" s="12">
        <f>VLOOKUP(A23,'Données projet'!$A$217:$I$237,9,0)</f>
        <v>1.75</v>
      </c>
      <c r="FD23" s="12">
        <f t="array" ref="FD23">INDEX(FC:FC,MIN(IF(ISNUMBER(FC23:FC219),ROW(FC23:FC219),"")))</f>
        <v>1.75</v>
      </c>
      <c r="FE23" s="12">
        <f>IF('Données projet'!$A$218&gt;35,FE22+FD23-FM22,IF(A23&lt;'Données projet'!$A$218,$FB$205^A23,IF(A23='Données projet'!$A$218,'Données projet'!$B$218,FE22+FD23-FM22)))</f>
        <v>27.916666666666668</v>
      </c>
      <c r="FF23" s="17">
        <f>FE23*VLOOKUP('Données projet'!$B$16,Paramètres!$A$1:$I$89,3,0)*VLOOKUP('Données projet'!$B$16,Paramètres!$A$1:$I$89,5,0)</f>
        <v>32.159999999999997</v>
      </c>
      <c r="FG23" s="13">
        <f t="shared" si="47"/>
        <v>9.8950163894826684</v>
      </c>
      <c r="FH23" s="20">
        <f t="shared" si="22"/>
        <v>73.2458202116823</v>
      </c>
      <c r="FI23" s="59">
        <f t="shared" si="23"/>
        <v>366.57915354501563</v>
      </c>
      <c r="FJ23" s="59">
        <f ca="1">AVERAGE(OFFSET($FI$3,0,0,'Données projet'!$E$16+1,1))-AVERAGE(OFFSET($H$3,0,0,'Données projet'!$E$16+1,1))</f>
        <v>14.847345852478327</v>
      </c>
      <c r="FK23" s="59">
        <f t="shared" si="48"/>
        <v>46.764428272166299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4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0.22500000000000001</v>
      </c>
      <c r="FP23" s="16">
        <f>IF(ISNA(VLOOKUP(A23,'Données projet'!$A$217:$I$237,7,0)),0%,VLOOKUP(A23,'Données projet'!$A$217:$I$237,7,0))</f>
        <v>0.5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1.0056810204927074</v>
      </c>
      <c r="FS23" s="21">
        <f>EXP(-LN(2)/2)*FS22+(1-EXP(-LN(2)/2))/(LN(2)/2)*FM23*FP23*VLOOKUP('Données projet'!$B$16,Paramètres!$A$1:$I$89,3,0)*0.475*44/12</f>
        <v>1.4337245290021852</v>
      </c>
      <c r="FT23" s="22">
        <f t="shared" si="24"/>
        <v>2.4394055494948925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353.13152361878485</v>
      </c>
      <c r="S24" s="59">
        <f ca="1">AVERAGE(OFFSET($R$3,0,0,'Données projet'!$E$9+1,1))-AVERAGE(OFFSET($H$3,0,0,'Données projet'!$E$9+1,1))</f>
        <v>221.7429870520005</v>
      </c>
      <c r="T24" s="59">
        <f t="shared" si="34"/>
        <v>182.2029938397186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14.5</v>
      </c>
      <c r="AI24" s="13">
        <f>IF('Données projet'!$A$62&gt;35,AI23+AH24-AQ23,IF(A24&lt;'Données projet'!$A$62,$AF$205^A24,IF(A24='Données projet'!$A$62,'Données projet'!$B$62,AI23+AH24-AQ23)))</f>
        <v>81.5</v>
      </c>
      <c r="AJ24" s="13">
        <f>AI24*VLOOKUP('Données projet'!$B$10,Paramètres!$A$1:$I$89,3,0)*VLOOKUP('Données projet'!$B$10,Paramètres!$A$1:$I$89,5,0)</f>
        <v>64.841399999999993</v>
      </c>
      <c r="AK24" s="13">
        <f t="shared" si="35"/>
        <v>18.386744053291277</v>
      </c>
      <c r="AL24" s="20">
        <f t="shared" si="4"/>
        <v>144.95568422614897</v>
      </c>
      <c r="AM24" s="59">
        <f t="shared" si="5"/>
        <v>438.28901755948232</v>
      </c>
      <c r="AN24" s="59">
        <f ca="1">AVERAGE(OFFSET($AM$3,0,0,'Données projet'!$E$10+1,1))-AVERAGE(OFFSET($H$3,0,0,'Données projet'!$E$10+1,1))</f>
        <v>260.20517190557814</v>
      </c>
      <c r="AO24" s="59">
        <f t="shared" si="36"/>
        <v>307.22009971147133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7.5644613433365375</v>
      </c>
      <c r="AW24" s="21">
        <f>EXP(-LN(2)/2)*AW23+(1-EXP(-LN(2)/2))/(LN(2)/2)*AQ24*AT24*VLOOKUP('Données projet'!$B$10,Paramètres!$A$1:$I$89,3,0)*0.475*44/12</f>
        <v>8.8909646015603769</v>
      </c>
      <c r="AX24" s="21">
        <f t="shared" si="6"/>
        <v>16.455425944896916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15.3</v>
      </c>
      <c r="BD24" s="12">
        <f>IF('Données projet'!$A$88&gt;35,BD23+BC24-BL23,IF(A24&lt;'Données projet'!$A$88,$BA$205^A24,IF(A24='Données projet'!$A$88,'Données projet'!$B$88,BD23+BC24-BL23)))</f>
        <v>92.3</v>
      </c>
      <c r="BE24" s="13">
        <f>BD24*VLOOKUP('Données projet'!$B$11,Paramètres!$A$1:$I$89,3,0)*VLOOKUP('Données projet'!$B$11,Paramètres!$A$1:$I$89,5,0)</f>
        <v>55.195399999999999</v>
      </c>
      <c r="BF24" s="13">
        <f t="shared" si="37"/>
        <v>15.947677847278364</v>
      </c>
      <c r="BG24" s="20">
        <f t="shared" si="7"/>
        <v>123.90752725067647</v>
      </c>
      <c r="BH24" s="59">
        <f t="shared" si="8"/>
        <v>417.24086058400979</v>
      </c>
      <c r="BI24" s="59">
        <f ca="1">AVERAGE(OFFSET($BH$3,0,0,'Données projet'!$E$11+1,1))-AVERAGE(OFFSET($H$3,0,0,'Données projet'!$E$11+1,1))</f>
        <v>316.58509520829671</v>
      </c>
      <c r="BJ24" s="59">
        <f t="shared" si="38"/>
        <v>240.71332110643596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5.0148217231323127</v>
      </c>
      <c r="BR24" s="21">
        <f>EXP(-LN(2)/2)*BR23+(1-EXP(-LN(2)/2))/(LN(2)/2)*BL24*BO24*VLOOKUP('Données projet'!$B$11,Paramètres!$A$1:$I$89,3,0)*0.475*44/12</f>
        <v>6.9420818135683602</v>
      </c>
      <c r="BS24" s="22">
        <f t="shared" si="9"/>
        <v>11.956903536700672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13.3</v>
      </c>
      <c r="BY24" s="12">
        <f>IF('Données projet'!$A$114&gt;35,BY23+BX24-CG23,IF(A24&lt;'Données projet'!$A$114,$BV$205^A24,IF(A24='Données projet'!$A$114,'Données projet'!$B$114,BY23+BX24-CG23)))</f>
        <v>80.3</v>
      </c>
      <c r="BZ24" s="13">
        <f>BY24*VLOOKUP('Données projet'!$B$12,Paramètres!$A$1:$I$89,3,0)*VLOOKUP('Données projet'!$B$12,Paramètres!$A$1:$I$89,5,0)</f>
        <v>48.019400000000005</v>
      </c>
      <c r="CA24" s="13">
        <f t="shared" si="39"/>
        <v>14.10106410189413</v>
      </c>
      <c r="CB24" s="20">
        <f t="shared" si="10"/>
        <v>108.1931416441323</v>
      </c>
      <c r="CC24" s="59">
        <f t="shared" si="11"/>
        <v>401.52647497746563</v>
      </c>
      <c r="CD24" s="59">
        <f ca="1">AVERAGE(OFFSET($CC$3,0,0,'Données projet'!$E$12+1,1))-AVERAGE(OFFSET($H$3,0,0,'Données projet'!$E$12+1,1))</f>
        <v>270.30888762640245</v>
      </c>
      <c r="CE24" s="59">
        <f t="shared" si="40"/>
        <v>202.23783851977691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3.4584977400912491</v>
      </c>
      <c r="CM24" s="21">
        <f>EXP(-LN(2)/2)*CM23+(1-EXP(-LN(2)/2))/(LN(2)/2)*CG24*CJ24*VLOOKUP('Données projet'!$B$12,Paramètres!$A$1:$I$89,3,0)*0.475*44/12</f>
        <v>4.7876426300471442</v>
      </c>
      <c r="CN24" s="22">
        <f t="shared" si="12"/>
        <v>8.2461403701383933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14.5</v>
      </c>
      <c r="CT24" s="12">
        <f>IF('Données projet'!$A$140&gt;35,CT23+CS24-DB23,IF(A24&lt;'Données projet'!$A$140,$CQ$205^A24,IF(A24='Données projet'!$A$140,'Données projet'!$B$140,CT23+CS24-DB23)))</f>
        <v>81.5</v>
      </c>
      <c r="CU24" s="17">
        <f>CT24*VLOOKUP('Données projet'!$B$13,Paramètres!$A$1:$I$89,3,0)*VLOOKUP('Données projet'!$B$13,Paramètres!$A$1:$I$89,5,0)</f>
        <v>54.670200000000001</v>
      </c>
      <c r="CV24" s="13">
        <f t="shared" si="41"/>
        <v>15.813519935295519</v>
      </c>
      <c r="CW24" s="20">
        <f t="shared" si="13"/>
        <v>122.75914555397303</v>
      </c>
      <c r="CX24" s="59">
        <f t="shared" si="14"/>
        <v>416.09247888730636</v>
      </c>
      <c r="CY24" s="59">
        <f ca="1">AVERAGE(OFFSET($CX$3,0,0,'Données projet'!$E$13+1,1))-AVERAGE(OFFSET($H$3,0,0,'Données projet'!$E$13+1,1))</f>
        <v>207.93042467236967</v>
      </c>
      <c r="CZ24" s="59">
        <f t="shared" si="42"/>
        <v>250.70954318710835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6.3778791718327668</v>
      </c>
      <c r="DH24" s="21">
        <f>EXP(-LN(2)/2)*DH23+(1-EXP(-LN(2)/2))/(LN(2)/2)*DB24*DE24*VLOOKUP('Données projet'!$B$13,Paramètres!$A$1:$I$89,3,0)*0.475*44/12</f>
        <v>7.4963034875901222</v>
      </c>
      <c r="DI24" s="22">
        <f t="shared" si="15"/>
        <v>13.874182659422889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12.2</v>
      </c>
      <c r="DO24" s="12">
        <f>IF('Données projet'!$A$166&gt;35,DO23+DN24-DW23,IF(A24&lt;'Données projet'!$A$166,$DL$205^A24,IF(A24='Données projet'!$A$166,'Données projet'!$B$166,DO23+DN24-DW23)))</f>
        <v>64.2</v>
      </c>
      <c r="DP24" s="17">
        <f>DO24*VLOOKUP('Données projet'!$B$14,Paramètres!$A$1:$I$89,3,0)*VLOOKUP('Données projet'!$B$14,Paramètres!$A$1:$I$89,5,0)</f>
        <v>43.065360000000005</v>
      </c>
      <c r="DQ24" s="13">
        <f t="shared" si="43"/>
        <v>12.807596539380496</v>
      </c>
      <c r="DR24" s="20">
        <f t="shared" si="16"/>
        <v>97.312065972754382</v>
      </c>
      <c r="DS24" s="59">
        <f t="shared" si="17"/>
        <v>390.64539930608771</v>
      </c>
      <c r="DT24" s="59">
        <f ca="1">AVERAGE(OFFSET($DS$3,0,0,'Données projet'!$E$14+1,1))-AVERAGE(OFFSET($H$3,0,0,'Données projet'!$E$14+1,1))</f>
        <v>156.63226020379989</v>
      </c>
      <c r="DU24" s="59">
        <f t="shared" si="44"/>
        <v>196.0481096619543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4.0932657371464023</v>
      </c>
      <c r="EC24" s="21">
        <f>EXP(-LN(2)/2)*EC23+(1-EXP(-LN(2)/2))/(LN(2)/2)*DW24*DZ24*VLOOKUP('Données projet'!$B$14,Paramètres!$A$1:$I$89,3,0)*0.475*44/12</f>
        <v>4.8110604472593312</v>
      </c>
      <c r="ED24" s="22">
        <f t="shared" si="18"/>
        <v>8.9043261844057326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2.9235042735042733</v>
      </c>
      <c r="EJ24" s="12">
        <f>IF('Données projet'!$A$192&gt;35,EJ23+EI24-ER23,IF(A24&lt;'Données projet'!$A$192,$EG$205^A24,IF(A24='Données projet'!$A$192,'Données projet'!$B$192,EJ23+EI24-ER23)))</f>
        <v>22.91487494147438</v>
      </c>
      <c r="EK24" s="17">
        <f>EJ24*VLOOKUP('Données projet'!$B$15,Paramètres!$A$1:$I$89,3,0)*VLOOKUP('Données projet'!$B$15,Paramètres!$A$1:$I$89,5,0)</f>
        <v>23.235683190655024</v>
      </c>
      <c r="EL24" s="13">
        <f t="shared" si="45"/>
        <v>7.4248385974916156</v>
      </c>
      <c r="EM24" s="20">
        <f t="shared" si="19"/>
        <v>53.400408781022065</v>
      </c>
      <c r="EN24" s="59">
        <f t="shared" si="20"/>
        <v>346.73374211435538</v>
      </c>
      <c r="EO24" s="59">
        <f ca="1">AVERAGE(OFFSET($EN$3,0,0,'Données projet'!$E$15+1,1))-AVERAGE(OFFSET($H$3,0,0,'Données projet'!$E$15+1,1))</f>
        <v>190.21499310415584</v>
      </c>
      <c r="EP24" s="59">
        <f t="shared" si="46"/>
        <v>136.15730566500173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1.7625000000000004</v>
      </c>
      <c r="FE24" s="12">
        <f>IF('Données projet'!$A$218&gt;35,FE23+FD24-FM23,IF(A24&lt;'Données projet'!$A$218,$FB$205^A24,IF(A24='Données projet'!$A$218,'Données projet'!$B$218,FE23+FD24-FM23)))</f>
        <v>25.679166666666667</v>
      </c>
      <c r="FF24" s="17">
        <f>FE24*VLOOKUP('Données projet'!$B$16,Paramètres!$A$1:$I$89,3,0)*VLOOKUP('Données projet'!$B$16,Paramètres!$A$1:$I$89,5,0)</f>
        <v>29.5824</v>
      </c>
      <c r="FG24" s="13">
        <f t="shared" si="47"/>
        <v>9.1908818160283339</v>
      </c>
      <c r="FH24" s="20">
        <f t="shared" si="22"/>
        <v>67.530132496249337</v>
      </c>
      <c r="FI24" s="59">
        <f t="shared" si="23"/>
        <v>360.86346582958265</v>
      </c>
      <c r="FJ24" s="59">
        <f ca="1">AVERAGE(OFFSET($FI$3,0,0,'Données projet'!$E$16+1,1))-AVERAGE(OFFSET($H$3,0,0,'Données projet'!$E$16+1,1))</f>
        <v>14.847345852478327</v>
      </c>
      <c r="FK24" s="59">
        <f t="shared" si="48"/>
        <v>46.764428272166299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0.97818062010086793</v>
      </c>
      <c r="FS24" s="21">
        <f>EXP(-LN(2)/2)*FS23+(1-EXP(-LN(2)/2))/(LN(2)/2)*FM24*FP24*VLOOKUP('Données projet'!$B$16,Paramètres!$A$1:$I$89,3,0)*0.475*44/12</f>
        <v>1.0137963368109342</v>
      </c>
      <c r="FT24" s="22">
        <f t="shared" si="24"/>
        <v>1.991976956911802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363.20377472114285</v>
      </c>
      <c r="S25" s="59">
        <f ca="1">AVERAGE(OFFSET($R$3,0,0,'Données projet'!$E$9+1,1))-AVERAGE(OFFSET($H$3,0,0,'Données projet'!$E$9+1,1))</f>
        <v>221.7429870520005</v>
      </c>
      <c r="T25" s="59">
        <f t="shared" si="34"/>
        <v>182.2029938397186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14.5</v>
      </c>
      <c r="AI25" s="13">
        <f>IF('Données projet'!$A$62&gt;35,AI24+AH25-AQ24,IF(A25&lt;'Données projet'!$A$62,$AF$205^A25,IF(A25='Données projet'!$A$62,'Données projet'!$B$62,AI24+AH25-AQ24)))</f>
        <v>96</v>
      </c>
      <c r="AJ25" s="13">
        <f>AI25*VLOOKUP('Données projet'!$B$10,Paramètres!$A$1:$I$89,3,0)*VLOOKUP('Données projet'!$B$10,Paramètres!$A$1:$I$89,5,0)</f>
        <v>76.377600000000001</v>
      </c>
      <c r="AK25" s="13">
        <f t="shared" si="35"/>
        <v>21.249114127498419</v>
      </c>
      <c r="AL25" s="20">
        <f t="shared" si="4"/>
        <v>170.03319377205972</v>
      </c>
      <c r="AM25" s="59">
        <f t="shared" si="5"/>
        <v>463.36652710539306</v>
      </c>
      <c r="AN25" s="59">
        <f ca="1">AVERAGE(OFFSET($AM$3,0,0,'Données projet'!$E$10+1,1))-AVERAGE(OFFSET($H$3,0,0,'Données projet'!$E$10+1,1))</f>
        <v>260.20517190557814</v>
      </c>
      <c r="AO25" s="59">
        <f t="shared" si="36"/>
        <v>307.22009971147133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7.357610750105267</v>
      </c>
      <c r="AW25" s="21">
        <f>EXP(-LN(2)/2)*AW24+(1-EXP(-LN(2)/2))/(LN(2)/2)*AQ25*AT25*VLOOKUP('Données projet'!$B$10,Paramètres!$A$1:$I$89,3,0)*0.475*44/12</f>
        <v>6.2868613610528934</v>
      </c>
      <c r="AX25" s="21">
        <f t="shared" si="6"/>
        <v>13.64447211115816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15.3</v>
      </c>
      <c r="BD25" s="12">
        <f>IF('Données projet'!$A$88&gt;35,BD24+BC25-BL24,IF(A25&lt;'Données projet'!$A$88,$BA$205^A25,IF(A25='Données projet'!$A$88,'Données projet'!$B$88,BD24+BC25-BL24)))</f>
        <v>107.6</v>
      </c>
      <c r="BE25" s="13">
        <f>BD25*VLOOKUP('Données projet'!$B$11,Paramètres!$A$1:$I$89,3,0)*VLOOKUP('Données projet'!$B$11,Paramètres!$A$1:$I$89,5,0)</f>
        <v>64.344800000000006</v>
      </c>
      <c r="BF25" s="13">
        <f t="shared" si="37"/>
        <v>18.262261364330694</v>
      </c>
      <c r="BG25" s="20">
        <f t="shared" si="7"/>
        <v>143.87396520954266</v>
      </c>
      <c r="BH25" s="59">
        <f t="shared" si="8"/>
        <v>437.20729854287595</v>
      </c>
      <c r="BI25" s="59">
        <f ca="1">AVERAGE(OFFSET($BH$3,0,0,'Données projet'!$E$11+1,1))-AVERAGE(OFFSET($H$3,0,0,'Données projet'!$E$11+1,1))</f>
        <v>316.58509520829671</v>
      </c>
      <c r="BJ25" s="59">
        <f t="shared" si="38"/>
        <v>240.71332110643596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4.8776911593952468</v>
      </c>
      <c r="BR25" s="21">
        <f>EXP(-LN(2)/2)*BR24+(1-EXP(-LN(2)/2))/(LN(2)/2)*BL25*BO25*VLOOKUP('Données projet'!$B$11,Paramètres!$A$1:$I$89,3,0)*0.475*44/12</f>
        <v>4.9087931259259934</v>
      </c>
      <c r="BS25" s="22">
        <f t="shared" si="9"/>
        <v>9.7864842853212402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13.3</v>
      </c>
      <c r="BY25" s="12">
        <f>IF('Données projet'!$A$114&gt;35,BY24+BX25-CG24,IF(A25&lt;'Données projet'!$A$114,$BV$205^A25,IF(A25='Données projet'!$A$114,'Données projet'!$B$114,BY24+BX25-CG24)))</f>
        <v>93.6</v>
      </c>
      <c r="BZ25" s="13">
        <f>BY25*VLOOKUP('Données projet'!$B$12,Paramètres!$A$1:$I$89,3,0)*VLOOKUP('Données projet'!$B$12,Paramètres!$A$1:$I$89,5,0)</f>
        <v>55.972799999999999</v>
      </c>
      <c r="CA25" s="13">
        <f t="shared" si="39"/>
        <v>16.145985978099571</v>
      </c>
      <c r="CB25" s="20">
        <f t="shared" si="10"/>
        <v>125.6068855785234</v>
      </c>
      <c r="CC25" s="59">
        <f t="shared" si="11"/>
        <v>418.94021891185673</v>
      </c>
      <c r="CD25" s="59">
        <f ca="1">AVERAGE(OFFSET($CC$3,0,0,'Données projet'!$E$12+1,1))-AVERAGE(OFFSET($H$3,0,0,'Données projet'!$E$12+1,1))</f>
        <v>270.30888762640245</v>
      </c>
      <c r="CE25" s="59">
        <f t="shared" si="40"/>
        <v>202.23783851977691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3.3639249375139624</v>
      </c>
      <c r="CM25" s="21">
        <f>EXP(-LN(2)/2)*CM24+(1-EXP(-LN(2)/2))/(LN(2)/2)*CG25*CJ25*VLOOKUP('Données projet'!$B$12,Paramètres!$A$1:$I$89,3,0)*0.475*44/12</f>
        <v>3.3853745696041333</v>
      </c>
      <c r="CN25" s="22">
        <f t="shared" si="12"/>
        <v>6.7492995071180957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14.5</v>
      </c>
      <c r="CT25" s="12">
        <f>IF('Données projet'!$A$140&gt;35,CT24+CS25-DB24,IF(A25&lt;'Données projet'!$A$140,$CQ$205^A25,IF(A25='Données projet'!$A$140,'Données projet'!$B$140,CT24+CS25-DB24)))</f>
        <v>96</v>
      </c>
      <c r="CU25" s="17">
        <f>CT25*VLOOKUP('Données projet'!$B$13,Paramètres!$A$1:$I$89,3,0)*VLOOKUP('Données projet'!$B$13,Paramètres!$A$1:$I$89,5,0)</f>
        <v>64.396799999999999</v>
      </c>
      <c r="CV25" s="13">
        <f t="shared" si="41"/>
        <v>18.275301428499329</v>
      </c>
      <c r="CW25" s="20">
        <f t="shared" si="13"/>
        <v>143.987243321303</v>
      </c>
      <c r="CX25" s="59">
        <f t="shared" si="14"/>
        <v>437.32057665463628</v>
      </c>
      <c r="CY25" s="59">
        <f ca="1">AVERAGE(OFFSET($CX$3,0,0,'Données projet'!$E$13+1,1))-AVERAGE(OFFSET($H$3,0,0,'Données projet'!$E$13+1,1))</f>
        <v>207.93042467236967</v>
      </c>
      <c r="CZ25" s="59">
        <f t="shared" si="42"/>
        <v>250.70954318710835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6.2034757304809114</v>
      </c>
      <c r="DH25" s="21">
        <f>EXP(-LN(2)/2)*DH24+(1-EXP(-LN(2)/2))/(LN(2)/2)*DB25*DE25*VLOOKUP('Données projet'!$B$13,Paramètres!$A$1:$I$89,3,0)*0.475*44/12</f>
        <v>5.3006870299073423</v>
      </c>
      <c r="DI25" s="22">
        <f t="shared" si="15"/>
        <v>11.504162760388255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12.2</v>
      </c>
      <c r="DO25" s="12">
        <f>IF('Données projet'!$A$166&gt;35,DO24+DN25-DW24,IF(A25&lt;'Données projet'!$A$166,$DL$205^A25,IF(A25='Données projet'!$A$166,'Données projet'!$B$166,DO24+DN25-DW24)))</f>
        <v>76.400000000000006</v>
      </c>
      <c r="DP25" s="17">
        <f>DO25*VLOOKUP('Données projet'!$B$14,Paramètres!$A$1:$I$89,3,0)*VLOOKUP('Données projet'!$B$14,Paramètres!$A$1:$I$89,5,0)</f>
        <v>51.249120000000005</v>
      </c>
      <c r="DQ25" s="13">
        <f t="shared" si="43"/>
        <v>14.935885615366388</v>
      </c>
      <c r="DR25" s="20">
        <f t="shared" si="16"/>
        <v>115.27221811342979</v>
      </c>
      <c r="DS25" s="59">
        <f t="shared" si="17"/>
        <v>408.60555144676312</v>
      </c>
      <c r="DT25" s="59">
        <f ca="1">AVERAGE(OFFSET($DS$3,0,0,'Données projet'!$E$14+1,1))-AVERAGE(OFFSET($H$3,0,0,'Données projet'!$E$14+1,1))</f>
        <v>156.63226020379989</v>
      </c>
      <c r="DU25" s="59">
        <f t="shared" si="44"/>
        <v>196.0481096619543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3.9813351703086441</v>
      </c>
      <c r="EC25" s="21">
        <f>EXP(-LN(2)/2)*EC24+(1-EXP(-LN(2)/2))/(LN(2)/2)*DW25*DZ25*VLOOKUP('Données projet'!$B$14,Paramètres!$A$1:$I$89,3,0)*0.475*44/12</f>
        <v>3.4019334669554575</v>
      </c>
      <c r="ED25" s="22">
        <f t="shared" si="18"/>
        <v>7.3832686372641021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2.9235042735042733</v>
      </c>
      <c r="EJ25" s="12">
        <f>IF('Données projet'!$A$192&gt;35,EJ24+EI25-ER24,IF(A25&lt;'Données projet'!$A$192,$EG$205^A25,IF(A25='Données projet'!$A$192,'Données projet'!$B$192,EJ24+EI25-ER24)))</f>
        <v>26.600205452048144</v>
      </c>
      <c r="EK25" s="17">
        <f>EJ25*VLOOKUP('Données projet'!$B$15,Paramètres!$A$1:$I$89,3,0)*VLOOKUP('Données projet'!$B$15,Paramètres!$A$1:$I$89,5,0)</f>
        <v>26.972608328376822</v>
      </c>
      <c r="EL25" s="13">
        <f t="shared" si="45"/>
        <v>8.4706274241085247</v>
      </c>
      <c r="EM25" s="20">
        <f t="shared" si="19"/>
        <v>61.730302268911977</v>
      </c>
      <c r="EN25" s="59">
        <f t="shared" si="20"/>
        <v>355.06363560224531</v>
      </c>
      <c r="EO25" s="59">
        <f ca="1">AVERAGE(OFFSET($EN$3,0,0,'Données projet'!$E$15+1,1))-AVERAGE(OFFSET($H$3,0,0,'Données projet'!$E$15+1,1))</f>
        <v>190.21499310415584</v>
      </c>
      <c r="EP25" s="59">
        <f t="shared" si="46"/>
        <v>136.15730566500173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1.7625000000000004</v>
      </c>
      <c r="FE25" s="12">
        <f>IF('Données projet'!$A$218&gt;35,FE24+FD25-FM24,IF(A25&lt;'Données projet'!$A$218,$FB$205^A25,IF(A25='Données projet'!$A$218,'Données projet'!$B$218,FE24+FD25-FM24)))</f>
        <v>27.441666666666666</v>
      </c>
      <c r="FF25" s="17">
        <f>FE25*VLOOKUP('Données projet'!$B$16,Paramètres!$A$1:$I$89,3,0)*VLOOKUP('Données projet'!$B$16,Paramètres!$A$1:$I$89,5,0)</f>
        <v>31.612799999999996</v>
      </c>
      <c r="FG25" s="13">
        <f t="shared" si="47"/>
        <v>9.7461026141203888</v>
      </c>
      <c r="FH25" s="20">
        <f t="shared" si="22"/>
        <v>72.033422052926326</v>
      </c>
      <c r="FI25" s="59">
        <f t="shared" si="23"/>
        <v>365.36675538625963</v>
      </c>
      <c r="FJ25" s="59">
        <f ca="1">AVERAGE(OFFSET($FI$3,0,0,'Données projet'!$E$16+1,1))-AVERAGE(OFFSET($H$3,0,0,'Données projet'!$E$16+1,1))</f>
        <v>14.847345852478327</v>
      </c>
      <c r="FK25" s="59">
        <f t="shared" si="48"/>
        <v>46.764428272166299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0.95143221960392654</v>
      </c>
      <c r="FS25" s="21">
        <f>EXP(-LN(2)/2)*FS24+(1-EXP(-LN(2)/2))/(LN(2)/2)*FM25*FP25*VLOOKUP('Données projet'!$B$16,Paramètres!$A$1:$I$89,3,0)*0.475*44/12</f>
        <v>0.71686226450109269</v>
      </c>
      <c r="FT25" s="22">
        <f t="shared" si="24"/>
        <v>1.6682944841050191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374.9776864050387</v>
      </c>
      <c r="S26" s="59">
        <f ca="1">AVERAGE(OFFSET($R$3,0,0,'Données projet'!$E$9+1,1))-AVERAGE(OFFSET($H$3,0,0,'Données projet'!$E$9+1,1))</f>
        <v>221.7429870520005</v>
      </c>
      <c r="T26" s="59">
        <f t="shared" si="34"/>
        <v>182.2029938397186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14.5</v>
      </c>
      <c r="AI26" s="13">
        <f>IF('Données projet'!$A$62&gt;35,AI25+AH26-AQ25,IF(A26&lt;'Données projet'!$A$62,$AF$205^A26,IF(A26='Données projet'!$A$62,'Données projet'!$B$62,AI25+AH26-AQ25)))</f>
        <v>110.5</v>
      </c>
      <c r="AJ26" s="13">
        <f>AI26*VLOOKUP('Données projet'!$B$10,Paramètres!$A$1:$I$89,3,0)*VLOOKUP('Données projet'!$B$10,Paramètres!$A$1:$I$89,5,0)</f>
        <v>87.913800000000009</v>
      </c>
      <c r="AK26" s="13">
        <f t="shared" si="35"/>
        <v>24.061399085756083</v>
      </c>
      <c r="AL26" s="20">
        <f t="shared" si="4"/>
        <v>195.02347174102519</v>
      </c>
      <c r="AM26" s="59">
        <f t="shared" si="5"/>
        <v>488.35680507435848</v>
      </c>
      <c r="AN26" s="59">
        <f ca="1">AVERAGE(OFFSET($AM$3,0,0,'Données projet'!$E$10+1,1))-AVERAGE(OFFSET($H$3,0,0,'Données projet'!$E$10+1,1))</f>
        <v>260.20517190557814</v>
      </c>
      <c r="AO26" s="59">
        <f t="shared" si="36"/>
        <v>307.22009971147133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7.156416497223705</v>
      </c>
      <c r="AW26" s="21">
        <f>EXP(-LN(2)/2)*AW25+(1-EXP(-LN(2)/2))/(LN(2)/2)*AQ26*AT26*VLOOKUP('Données projet'!$B$10,Paramètres!$A$1:$I$89,3,0)*0.475*44/12</f>
        <v>4.4454823007801894</v>
      </c>
      <c r="AX26" s="21">
        <f t="shared" si="6"/>
        <v>11.601898798003894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15.3</v>
      </c>
      <c r="BD26" s="12">
        <f>IF('Données projet'!$A$88&gt;35,BD25+BC26-BL25,IF(A26&lt;'Données projet'!$A$88,$BA$205^A26,IF(A26='Données projet'!$A$88,'Données projet'!$B$88,BD25+BC26-BL25)))</f>
        <v>122.89999999999999</v>
      </c>
      <c r="BE26" s="13">
        <f>BD26*VLOOKUP('Données projet'!$B$11,Paramètres!$A$1:$I$89,3,0)*VLOOKUP('Données projet'!$B$11,Paramètres!$A$1:$I$89,5,0)</f>
        <v>73.494200000000006</v>
      </c>
      <c r="BF26" s="13">
        <f t="shared" si="37"/>
        <v>20.538715292443293</v>
      </c>
      <c r="BG26" s="20">
        <f t="shared" si="7"/>
        <v>163.77399413433875</v>
      </c>
      <c r="BH26" s="59">
        <f t="shared" si="8"/>
        <v>457.10732746767206</v>
      </c>
      <c r="BI26" s="59">
        <f ca="1">AVERAGE(OFFSET($BH$3,0,0,'Données projet'!$E$11+1,1))-AVERAGE(OFFSET($H$3,0,0,'Données projet'!$E$11+1,1))</f>
        <v>316.58509520829671</v>
      </c>
      <c r="BJ26" s="59">
        <f t="shared" si="38"/>
        <v>240.71332110643596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4.7443104381349537</v>
      </c>
      <c r="BR26" s="21">
        <f>EXP(-LN(2)/2)*BR25+(1-EXP(-LN(2)/2))/(LN(2)/2)*BL26*BO26*VLOOKUP('Données projet'!$B$11,Paramètres!$A$1:$I$89,3,0)*0.475*44/12</f>
        <v>3.4710409067841801</v>
      </c>
      <c r="BS26" s="22">
        <f t="shared" si="9"/>
        <v>8.2153513449191333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13.3</v>
      </c>
      <c r="BY26" s="12">
        <f>IF('Données projet'!$A$114&gt;35,BY25+BX26-CG25,IF(A26&lt;'Données projet'!$A$114,$BV$205^A26,IF(A26='Données projet'!$A$114,'Données projet'!$B$114,BY25+BX26-CG25)))</f>
        <v>106.89999999999999</v>
      </c>
      <c r="BZ26" s="13">
        <f>BY26*VLOOKUP('Données projet'!$B$12,Paramètres!$A$1:$I$89,3,0)*VLOOKUP('Données projet'!$B$12,Paramètres!$A$1:$I$89,5,0)</f>
        <v>63.926200000000001</v>
      </c>
      <c r="CA26" s="13">
        <f t="shared" si="39"/>
        <v>18.157244068140116</v>
      </c>
      <c r="CB26" s="20">
        <f t="shared" si="10"/>
        <v>142.96199841867738</v>
      </c>
      <c r="CC26" s="59">
        <f t="shared" si="11"/>
        <v>436.29533175201072</v>
      </c>
      <c r="CD26" s="59">
        <f ca="1">AVERAGE(OFFSET($CC$3,0,0,'Données projet'!$E$12+1,1))-AVERAGE(OFFSET($H$3,0,0,'Données projet'!$E$12+1,1))</f>
        <v>270.30888762640245</v>
      </c>
      <c r="CE26" s="59">
        <f t="shared" si="40"/>
        <v>202.23783851977691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3.271938233196519</v>
      </c>
      <c r="CM26" s="21">
        <f>EXP(-LN(2)/2)*CM25+(1-EXP(-LN(2)/2))/(LN(2)/2)*CG26*CJ26*VLOOKUP('Données projet'!$B$12,Paramètres!$A$1:$I$89,3,0)*0.475*44/12</f>
        <v>2.3938213150235725</v>
      </c>
      <c r="CN26" s="22">
        <f t="shared" si="12"/>
        <v>5.6657595482200911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14.5</v>
      </c>
      <c r="CT26" s="12">
        <f>IF('Données projet'!$A$140&gt;35,CT25+CS26-DB25,IF(A26&lt;'Données projet'!$A$140,$CQ$205^A26,IF(A26='Données projet'!$A$140,'Données projet'!$B$140,CT25+CS26-DB25)))</f>
        <v>110.5</v>
      </c>
      <c r="CU26" s="17">
        <f>CT26*VLOOKUP('Données projet'!$B$13,Paramètres!$A$1:$I$89,3,0)*VLOOKUP('Données projet'!$B$13,Paramètres!$A$1:$I$89,5,0)</f>
        <v>74.123400000000004</v>
      </c>
      <c r="CV26" s="13">
        <f t="shared" si="41"/>
        <v>20.694007215790624</v>
      </c>
      <c r="CW26" s="20">
        <f t="shared" si="13"/>
        <v>165.14031756750202</v>
      </c>
      <c r="CX26" s="59">
        <f t="shared" si="14"/>
        <v>458.47365090083531</v>
      </c>
      <c r="CY26" s="59">
        <f ca="1">AVERAGE(OFFSET($CX$3,0,0,'Données projet'!$E$13+1,1))-AVERAGE(OFFSET($H$3,0,0,'Données projet'!$E$13+1,1))</f>
        <v>207.93042467236967</v>
      </c>
      <c r="CZ26" s="59">
        <f t="shared" si="42"/>
        <v>250.70954318710835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6.0338413604043009</v>
      </c>
      <c r="DH26" s="21">
        <f>EXP(-LN(2)/2)*DH25+(1-EXP(-LN(2)/2))/(LN(2)/2)*DB26*DE26*VLOOKUP('Données projet'!$B$13,Paramètres!$A$1:$I$89,3,0)*0.475*44/12</f>
        <v>3.748151743795062</v>
      </c>
      <c r="DI26" s="22">
        <f t="shared" si="15"/>
        <v>9.781993104199362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12.2</v>
      </c>
      <c r="DO26" s="12">
        <f>IF('Données projet'!$A$166&gt;35,DO25+DN26-DW25,IF(A26&lt;'Données projet'!$A$166,$DL$205^A26,IF(A26='Données projet'!$A$166,'Données projet'!$B$166,DO25+DN26-DW25)))</f>
        <v>88.600000000000009</v>
      </c>
      <c r="DP26" s="17">
        <f>DO26*VLOOKUP('Données projet'!$B$14,Paramètres!$A$1:$I$89,3,0)*VLOOKUP('Données projet'!$B$14,Paramètres!$A$1:$I$89,5,0)</f>
        <v>59.432880000000011</v>
      </c>
      <c r="DQ26" s="13">
        <f t="shared" si="43"/>
        <v>17.024804126865714</v>
      </c>
      <c r="DR26" s="20">
        <f t="shared" si="16"/>
        <v>133.16379985429114</v>
      </c>
      <c r="DS26" s="59">
        <f t="shared" si="17"/>
        <v>426.49713318762446</v>
      </c>
      <c r="DT26" s="59">
        <f ca="1">AVERAGE(OFFSET($DS$3,0,0,'Données projet'!$E$14+1,1))-AVERAGE(OFFSET($H$3,0,0,'Données projet'!$E$14+1,1))</f>
        <v>156.63226020379989</v>
      </c>
      <c r="DU26" s="59">
        <f t="shared" si="44"/>
        <v>196.0481096619543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3.8724653507072371</v>
      </c>
      <c r="EC26" s="21">
        <f>EXP(-LN(2)/2)*EC25+(1-EXP(-LN(2)/2))/(LN(2)/2)*DW26*DZ26*VLOOKUP('Données projet'!$B$14,Paramètres!$A$1:$I$89,3,0)*0.475*44/12</f>
        <v>2.4055302236296661</v>
      </c>
      <c r="ED26" s="22">
        <f t="shared" si="18"/>
        <v>6.2779955743369031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2.9235042735042733</v>
      </c>
      <c r="EJ26" s="12">
        <f>IF('Données projet'!$A$192&gt;35,EJ25+EI26-ER25,IF(A26&lt;'Données projet'!$A$192,$EG$205^A26,IF(A26='Données projet'!$A$192,'Données projet'!$B$192,EJ25+EI26-ER25)))</f>
        <v>30.878236599516239</v>
      </c>
      <c r="EK26" s="17">
        <f>EJ26*VLOOKUP('Données projet'!$B$15,Paramètres!$A$1:$I$89,3,0)*VLOOKUP('Données projet'!$B$15,Paramètres!$A$1:$I$89,5,0)</f>
        <v>31.310531911909472</v>
      </c>
      <c r="EL26" s="13">
        <f t="shared" si="45"/>
        <v>9.6637156506405031</v>
      </c>
      <c r="EM26" s="20">
        <f t="shared" si="19"/>
        <v>71.363481171441208</v>
      </c>
      <c r="EN26" s="59">
        <f t="shared" si="20"/>
        <v>364.69681450477452</v>
      </c>
      <c r="EO26" s="59">
        <f ca="1">AVERAGE(OFFSET($EN$3,0,0,'Données projet'!$E$15+1,1))-AVERAGE(OFFSET($H$3,0,0,'Données projet'!$E$15+1,1))</f>
        <v>190.21499310415584</v>
      </c>
      <c r="EP26" s="59">
        <f t="shared" si="46"/>
        <v>136.15730566500173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1.7625000000000004</v>
      </c>
      <c r="FE26" s="12">
        <f>IF('Données projet'!$A$218&gt;35,FE25+FD26-FM25,IF(A26&lt;'Données projet'!$A$218,$FB$205^A26,IF(A26='Données projet'!$A$218,'Données projet'!$B$218,FE25+FD26-FM25)))</f>
        <v>29.204166666666666</v>
      </c>
      <c r="FF26" s="17">
        <f>FE26*VLOOKUP('Données projet'!$B$16,Paramètres!$A$1:$I$89,3,0)*VLOOKUP('Données projet'!$B$16,Paramètres!$A$1:$I$89,5,0)</f>
        <v>33.643199999999993</v>
      </c>
      <c r="FG26" s="13">
        <f t="shared" si="47"/>
        <v>10.297185034068693</v>
      </c>
      <c r="FH26" s="20">
        <f t="shared" si="22"/>
        <v>76.52950393433629</v>
      </c>
      <c r="FI26" s="59">
        <f t="shared" si="23"/>
        <v>369.86283726766959</v>
      </c>
      <c r="FJ26" s="59">
        <f ca="1">AVERAGE(OFFSET($FI$3,0,0,'Données projet'!$E$16+1,1))-AVERAGE(OFFSET($H$3,0,0,'Données projet'!$E$16+1,1))</f>
        <v>14.847345852478327</v>
      </c>
      <c r="FK26" s="59">
        <f t="shared" si="48"/>
        <v>46.764428272166299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0.92541525552521131</v>
      </c>
      <c r="FS26" s="21">
        <f>EXP(-LN(2)/2)*FS25+(1-EXP(-LN(2)/2))/(LN(2)/2)*FM26*FP26*VLOOKUP('Données projet'!$B$16,Paramètres!$A$1:$I$89,3,0)*0.475*44/12</f>
        <v>0.50689816840546709</v>
      </c>
      <c r="FT26" s="22">
        <f t="shared" si="24"/>
        <v>1.4323134239306783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388.74154796312018</v>
      </c>
      <c r="S27" s="59">
        <f ca="1">AVERAGE(OFFSET($R$3,0,0,'Données projet'!$E$9+1,1))-AVERAGE(OFFSET($H$3,0,0,'Données projet'!$E$9+1,1))</f>
        <v>221.7429870520005</v>
      </c>
      <c r="T27" s="59">
        <f t="shared" si="34"/>
        <v>182.2029938397186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14.5</v>
      </c>
      <c r="AI27" s="13">
        <f>IF('Données projet'!$A$62&gt;35,AI26+AH27-AQ26,IF(A27&lt;'Données projet'!$A$62,$AF$205^A27,IF(A27='Données projet'!$A$62,'Données projet'!$B$62,AI26+AH27-AQ26)))</f>
        <v>125</v>
      </c>
      <c r="AJ27" s="13">
        <f>AI27*VLOOKUP('Données projet'!$B$10,Paramètres!$A$1:$I$89,3,0)*VLOOKUP('Données projet'!$B$10,Paramètres!$A$1:$I$89,5,0)</f>
        <v>99.45</v>
      </c>
      <c r="AK27" s="13">
        <f t="shared" si="35"/>
        <v>26.830925603893352</v>
      </c>
      <c r="AL27" s="20">
        <f t="shared" si="4"/>
        <v>219.93927876011423</v>
      </c>
      <c r="AM27" s="59">
        <f t="shared" si="5"/>
        <v>513.27261209344761</v>
      </c>
      <c r="AN27" s="59">
        <f ca="1">AVERAGE(OFFSET($AM$3,0,0,'Données projet'!$E$10+1,1))-AVERAGE(OFFSET($H$3,0,0,'Données projet'!$E$10+1,1))</f>
        <v>260.20517190557814</v>
      </c>
      <c r="AO27" s="59">
        <f t="shared" si="36"/>
        <v>307.22009971147133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6.960723911767535</v>
      </c>
      <c r="AW27" s="21">
        <f>EXP(-LN(2)/2)*AW26+(1-EXP(-LN(2)/2))/(LN(2)/2)*AQ27*AT27*VLOOKUP('Données projet'!$B$10,Paramètres!$A$1:$I$89,3,0)*0.475*44/12</f>
        <v>3.1434306805264476</v>
      </c>
      <c r="AX27" s="21">
        <f t="shared" si="6"/>
        <v>10.104154592293982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15.3</v>
      </c>
      <c r="BD27" s="12">
        <f>IF('Données projet'!$A$88&gt;35,BD26+BC27-BL26,IF(A27&lt;'Données projet'!$A$88,$BA$205^A27,IF(A27='Données projet'!$A$88,'Données projet'!$B$88,BD26+BC27-BL26)))</f>
        <v>138.19999999999999</v>
      </c>
      <c r="BE27" s="13">
        <f>BD27*VLOOKUP('Données projet'!$B$11,Paramètres!$A$1:$I$89,3,0)*VLOOKUP('Données projet'!$B$11,Paramètres!$A$1:$I$89,5,0)</f>
        <v>82.643599999999992</v>
      </c>
      <c r="BF27" s="13">
        <f t="shared" si="37"/>
        <v>22.782329978216918</v>
      </c>
      <c r="BG27" s="20">
        <f t="shared" si="7"/>
        <v>183.61682804539444</v>
      </c>
      <c r="BH27" s="59">
        <f t="shared" si="8"/>
        <v>476.95016137872778</v>
      </c>
      <c r="BI27" s="59">
        <f ca="1">AVERAGE(OFFSET($BH$3,0,0,'Données projet'!$E$11+1,1))-AVERAGE(OFFSET($H$3,0,0,'Données projet'!$E$11+1,1))</f>
        <v>316.58509520829671</v>
      </c>
      <c r="BJ27" s="59">
        <f t="shared" si="38"/>
        <v>240.71332110643596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4.6145770197117111</v>
      </c>
      <c r="BR27" s="21">
        <f>EXP(-LN(2)/2)*BR26+(1-EXP(-LN(2)/2))/(LN(2)/2)*BL27*BO27*VLOOKUP('Données projet'!$B$11,Paramètres!$A$1:$I$89,3,0)*0.475*44/12</f>
        <v>2.4543965629629967</v>
      </c>
      <c r="BS27" s="22">
        <f t="shared" si="9"/>
        <v>7.0689735826747082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13.3</v>
      </c>
      <c r="BY27" s="12">
        <f>IF('Données projet'!$A$114&gt;35,BY26+BX27-CG26,IF(A27&lt;'Données projet'!$A$114,$BV$205^A27,IF(A27='Données projet'!$A$114,'Données projet'!$B$114,BY26+BX27-CG26)))</f>
        <v>120.19999999999999</v>
      </c>
      <c r="BZ27" s="13">
        <f>BY27*VLOOKUP('Données projet'!$B$12,Paramètres!$A$1:$I$89,3,0)*VLOOKUP('Données projet'!$B$12,Paramètres!$A$1:$I$89,5,0)</f>
        <v>71.879599999999996</v>
      </c>
      <c r="CA27" s="13">
        <f t="shared" si="39"/>
        <v>20.139506236095318</v>
      </c>
      <c r="CB27" s="20">
        <f t="shared" si="10"/>
        <v>160.26661002786599</v>
      </c>
      <c r="CC27" s="59">
        <f t="shared" si="11"/>
        <v>453.59994336119928</v>
      </c>
      <c r="CD27" s="59">
        <f ca="1">AVERAGE(OFFSET($CC$3,0,0,'Données projet'!$E$12+1,1))-AVERAGE(OFFSET($H$3,0,0,'Données projet'!$E$12+1,1))</f>
        <v>270.30888762640245</v>
      </c>
      <c r="CE27" s="59">
        <f t="shared" si="40"/>
        <v>202.23783851977691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3.1824669101460068</v>
      </c>
      <c r="CM27" s="21">
        <f>EXP(-LN(2)/2)*CM26+(1-EXP(-LN(2)/2))/(LN(2)/2)*CG27*CJ27*VLOOKUP('Données projet'!$B$12,Paramètres!$A$1:$I$89,3,0)*0.475*44/12</f>
        <v>1.6926872848020669</v>
      </c>
      <c r="CN27" s="22">
        <f t="shared" si="12"/>
        <v>4.8751541949480739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14.5</v>
      </c>
      <c r="CT27" s="12">
        <f>IF('Données projet'!$A$140&gt;35,CT26+CS27-DB26,IF(A27&lt;'Données projet'!$A$140,$CQ$205^A27,IF(A27='Données projet'!$A$140,'Données projet'!$B$140,CT26+CS27-DB26)))</f>
        <v>125</v>
      </c>
      <c r="CU27" s="17">
        <f>CT27*VLOOKUP('Données projet'!$B$13,Paramètres!$A$1:$I$89,3,0)*VLOOKUP('Données projet'!$B$13,Paramètres!$A$1:$I$89,5,0)</f>
        <v>83.850000000000009</v>
      </c>
      <c r="CV27" s="13">
        <f t="shared" si="41"/>
        <v>23.075938604999987</v>
      </c>
      <c r="CW27" s="20">
        <f t="shared" si="13"/>
        <v>186.22934307037499</v>
      </c>
      <c r="CX27" s="59">
        <f t="shared" si="14"/>
        <v>479.56267640370834</v>
      </c>
      <c r="CY27" s="59">
        <f ca="1">AVERAGE(OFFSET($CX$3,0,0,'Données projet'!$E$13+1,1))-AVERAGE(OFFSET($H$3,0,0,'Données projet'!$E$13+1,1))</f>
        <v>207.93042467236967</v>
      </c>
      <c r="CZ27" s="59">
        <f t="shared" si="42"/>
        <v>250.70954318710835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5.8688456510981188</v>
      </c>
      <c r="DH27" s="21">
        <f>EXP(-LN(2)/2)*DH26+(1-EXP(-LN(2)/2))/(LN(2)/2)*DB27*DE27*VLOOKUP('Données projet'!$B$13,Paramètres!$A$1:$I$89,3,0)*0.475*44/12</f>
        <v>2.6503435149536716</v>
      </c>
      <c r="DI27" s="22">
        <f t="shared" si="15"/>
        <v>8.51918916605179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12.2</v>
      </c>
      <c r="DO27" s="12">
        <f>IF('Données projet'!$A$166&gt;35,DO26+DN27-DW26,IF(A27&lt;'Données projet'!$A$166,$DL$205^A27,IF(A27='Données projet'!$A$166,'Données projet'!$B$166,DO26+DN27-DW26)))</f>
        <v>100.80000000000001</v>
      </c>
      <c r="DP27" s="17">
        <f>DO27*VLOOKUP('Données projet'!$B$14,Paramètres!$A$1:$I$89,3,0)*VLOOKUP('Données projet'!$B$14,Paramètres!$A$1:$I$89,5,0)</f>
        <v>67.616640000000004</v>
      </c>
      <c r="DQ27" s="13">
        <f t="shared" si="43"/>
        <v>19.080397298873443</v>
      </c>
      <c r="DR27" s="20">
        <f t="shared" si="16"/>
        <v>150.99733996220459</v>
      </c>
      <c r="DS27" s="59">
        <f t="shared" si="17"/>
        <v>444.33067329553791</v>
      </c>
      <c r="DT27" s="59">
        <f ca="1">AVERAGE(OFFSET($DS$3,0,0,'Données projet'!$E$14+1,1))-AVERAGE(OFFSET($H$3,0,0,'Données projet'!$E$14+1,1))</f>
        <v>156.63226020379989</v>
      </c>
      <c r="DU27" s="59">
        <f t="shared" si="44"/>
        <v>196.0481096619543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3.7665725820480453</v>
      </c>
      <c r="EC27" s="21">
        <f>EXP(-LN(2)/2)*EC26+(1-EXP(-LN(2)/2))/(LN(2)/2)*DW27*DZ27*VLOOKUP('Données projet'!$B$14,Paramètres!$A$1:$I$89,3,0)*0.475*44/12</f>
        <v>1.7009667334777292</v>
      </c>
      <c r="ED27" s="22">
        <f t="shared" si="18"/>
        <v>5.4675393155257748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2.9235042735042733</v>
      </c>
      <c r="EJ27" s="12">
        <f>IF('Données projet'!$A$192&gt;35,EJ26+EI27-ER26,IF(A27&lt;'Données projet'!$A$192,$EG$205^A27,IF(A27='Données projet'!$A$192,'Données projet'!$B$192,EJ26+EI27-ER26)))</f>
        <v>35.844290647096855</v>
      </c>
      <c r="EK27" s="17">
        <f>EJ27*VLOOKUP('Données projet'!$B$15,Paramètres!$A$1:$I$89,3,0)*VLOOKUP('Données projet'!$B$15,Paramètres!$A$1:$I$89,5,0)</f>
        <v>36.346110716156211</v>
      </c>
      <c r="EL27" s="13">
        <f t="shared" si="45"/>
        <v>11.024850403718778</v>
      </c>
      <c r="EM27" s="20">
        <f t="shared" si="19"/>
        <v>82.504423950448952</v>
      </c>
      <c r="EN27" s="59">
        <f t="shared" si="20"/>
        <v>375.83775728378225</v>
      </c>
      <c r="EO27" s="59">
        <f ca="1">AVERAGE(OFFSET($EN$3,0,0,'Données projet'!$E$15+1,1))-AVERAGE(OFFSET($H$3,0,0,'Données projet'!$E$15+1,1))</f>
        <v>190.21499310415584</v>
      </c>
      <c r="EP27" s="59">
        <f t="shared" si="46"/>
        <v>136.15730566500173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1.7625000000000004</v>
      </c>
      <c r="FE27" s="12">
        <f>IF('Données projet'!$A$218&gt;35,FE26+FD27-FM26,IF(A27&lt;'Données projet'!$A$218,$FB$205^A27,IF(A27='Données projet'!$A$218,'Données projet'!$B$218,FE26+FD27-FM26)))</f>
        <v>30.966666666666665</v>
      </c>
      <c r="FF27" s="17">
        <f>FE27*VLOOKUP('Données projet'!$B$16,Paramètres!$A$1:$I$89,3,0)*VLOOKUP('Données projet'!$B$16,Paramètres!$A$1:$I$89,5,0)</f>
        <v>35.673599999999993</v>
      </c>
      <c r="FG27" s="13">
        <f t="shared" si="47"/>
        <v>10.844407273238437</v>
      </c>
      <c r="FH27" s="20">
        <f t="shared" si="22"/>
        <v>81.018862667556931</v>
      </c>
      <c r="FI27" s="59">
        <f t="shared" si="23"/>
        <v>374.35219600089022</v>
      </c>
      <c r="FJ27" s="59">
        <f ca="1">AVERAGE(OFFSET($FI$3,0,0,'Données projet'!$E$16+1,1))-AVERAGE(OFFSET($H$3,0,0,'Données projet'!$E$16+1,1))</f>
        <v>14.847345852478327</v>
      </c>
      <c r="FK27" s="59">
        <f t="shared" si="48"/>
        <v>46.764428272166299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0.90010972669740119</v>
      </c>
      <c r="FS27" s="21">
        <f>EXP(-LN(2)/2)*FS26+(1-EXP(-LN(2)/2))/(LN(2)/2)*FM27*FP27*VLOOKUP('Données projet'!$B$16,Paramètres!$A$1:$I$89,3,0)*0.475*44/12</f>
        <v>0.35843113225054635</v>
      </c>
      <c r="FT27" s="22">
        <f t="shared" si="24"/>
        <v>1.2585408589479474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404.83261481959687</v>
      </c>
      <c r="S28" s="59">
        <f ca="1">AVERAGE(OFFSET($R$3,0,0,'Données projet'!$E$9+1,1))-AVERAGE(OFFSET($H$3,0,0,'Données projet'!$E$9+1,1))</f>
        <v>221.7429870520005</v>
      </c>
      <c r="T28" s="59">
        <f t="shared" si="34"/>
        <v>182.2029938397186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14.5</v>
      </c>
      <c r="AI28" s="13">
        <f>IF('Données projet'!$A$62&gt;35,AI27+AH28-AQ27,IF(A28&lt;'Données projet'!$A$62,$AF$205^A28,IF(A28='Données projet'!$A$62,'Données projet'!$B$62,AI27+AH28-AQ27)))</f>
        <v>139.5</v>
      </c>
      <c r="AJ28" s="13">
        <f>AI28*VLOOKUP('Données projet'!$B$10,Paramètres!$A$1:$I$89,3,0)*VLOOKUP('Données projet'!$B$10,Paramètres!$A$1:$I$89,5,0)</f>
        <v>110.9862</v>
      </c>
      <c r="AK28" s="13">
        <f t="shared" si="35"/>
        <v>29.563220146103436</v>
      </c>
      <c r="AL28" s="20">
        <f t="shared" si="4"/>
        <v>244.79024008779683</v>
      </c>
      <c r="AM28" s="59">
        <f t="shared" si="5"/>
        <v>538.12357342113012</v>
      </c>
      <c r="AN28" s="59">
        <f ca="1">AVERAGE(OFFSET($AM$3,0,0,'Données projet'!$E$10+1,1))-AVERAGE(OFFSET($H$3,0,0,'Données projet'!$E$10+1,1))</f>
        <v>260.20517190557814</v>
      </c>
      <c r="AO28" s="59">
        <f t="shared" si="36"/>
        <v>307.22009971147133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6.7703825503516901</v>
      </c>
      <c r="AW28" s="21">
        <f>EXP(-LN(2)/2)*AW27+(1-EXP(-LN(2)/2))/(LN(2)/2)*AQ28*AT28*VLOOKUP('Données projet'!$B$10,Paramètres!$A$1:$I$89,3,0)*0.475*44/12</f>
        <v>2.2227411503900951</v>
      </c>
      <c r="AX28" s="21">
        <f t="shared" si="6"/>
        <v>8.9931237007417852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15.3</v>
      </c>
      <c r="BD28" s="12">
        <f>IF('Données projet'!$A$88&gt;35,BD27+BC28-BL27,IF(A28&lt;'Données projet'!$A$88,$BA$205^A28,IF(A28='Données projet'!$A$88,'Données projet'!$B$88,BD27+BC28-BL27)))</f>
        <v>153.5</v>
      </c>
      <c r="BE28" s="13">
        <f>BD28*VLOOKUP('Données projet'!$B$11,Paramètres!$A$1:$I$89,3,0)*VLOOKUP('Données projet'!$B$11,Paramètres!$A$1:$I$89,5,0)</f>
        <v>91.793000000000006</v>
      </c>
      <c r="BF28" s="13">
        <f t="shared" si="37"/>
        <v>24.997155707793262</v>
      </c>
      <c r="BG28" s="20">
        <f t="shared" si="7"/>
        <v>203.40952119107328</v>
      </c>
      <c r="BH28" s="59">
        <f t="shared" si="8"/>
        <v>496.7428545244066</v>
      </c>
      <c r="BI28" s="59">
        <f ca="1">AVERAGE(OFFSET($BH$3,0,0,'Données projet'!$E$11+1,1))-AVERAGE(OFFSET($H$3,0,0,'Données projet'!$E$11+1,1))</f>
        <v>316.58509520829671</v>
      </c>
      <c r="BJ28" s="59">
        <f t="shared" si="38"/>
        <v>240.71332110643596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4.4883911684376354</v>
      </c>
      <c r="BR28" s="21">
        <f>EXP(-LN(2)/2)*BR27+(1-EXP(-LN(2)/2))/(LN(2)/2)*BL28*BO28*VLOOKUP('Données projet'!$B$11,Paramètres!$A$1:$I$89,3,0)*0.475*44/12</f>
        <v>1.73552045339209</v>
      </c>
      <c r="BS28" s="22">
        <f t="shared" si="9"/>
        <v>6.2239116218297257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13.3</v>
      </c>
      <c r="BY28" s="12">
        <f>IF('Données projet'!$A$114&gt;35,BY27+BX28-CG27,IF(A28&lt;'Données projet'!$A$114,$BV$205^A28,IF(A28='Données projet'!$A$114,'Données projet'!$B$114,BY27+BX28-CG27)))</f>
        <v>133.5</v>
      </c>
      <c r="BZ28" s="13">
        <f>BY28*VLOOKUP('Données projet'!$B$12,Paramètres!$A$1:$I$89,3,0)*VLOOKUP('Données projet'!$B$12,Paramètres!$A$1:$I$89,5,0)</f>
        <v>79.833000000000013</v>
      </c>
      <c r="CA28" s="13">
        <f t="shared" si="39"/>
        <v>22.096346795793803</v>
      </c>
      <c r="CB28" s="20">
        <f t="shared" si="10"/>
        <v>177.52694566934088</v>
      </c>
      <c r="CC28" s="59">
        <f t="shared" si="11"/>
        <v>470.86027900267419</v>
      </c>
      <c r="CD28" s="59">
        <f ca="1">AVERAGE(OFFSET($CC$3,0,0,'Données projet'!$E$12+1,1))-AVERAGE(OFFSET($H$3,0,0,'Données projet'!$E$12+1,1))</f>
        <v>270.30888762640245</v>
      </c>
      <c r="CE28" s="59">
        <f t="shared" si="40"/>
        <v>202.23783851977691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3.0954421851294032</v>
      </c>
      <c r="CM28" s="21">
        <f>EXP(-LN(2)/2)*CM27+(1-EXP(-LN(2)/2))/(LN(2)/2)*CG28*CJ28*VLOOKUP('Données projet'!$B$12,Paramètres!$A$1:$I$89,3,0)*0.475*44/12</f>
        <v>1.1969106575117865</v>
      </c>
      <c r="CN28" s="22">
        <f t="shared" si="12"/>
        <v>4.2923528426411899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14.5</v>
      </c>
      <c r="CT28" s="12">
        <f>IF('Données projet'!$A$140&gt;35,CT27+CS28-DB27,IF(A28&lt;'Données projet'!$A$140,$CQ$205^A28,IF(A28='Données projet'!$A$140,'Données projet'!$B$140,CT27+CS28-DB27)))</f>
        <v>139.5</v>
      </c>
      <c r="CU28" s="17">
        <f>CT28*VLOOKUP('Données projet'!$B$13,Paramètres!$A$1:$I$89,3,0)*VLOOKUP('Données projet'!$B$13,Paramètres!$A$1:$I$89,5,0)</f>
        <v>93.576599999999999</v>
      </c>
      <c r="CV28" s="13">
        <f t="shared" si="41"/>
        <v>25.42584863187091</v>
      </c>
      <c r="CW28" s="20">
        <f t="shared" si="13"/>
        <v>207.26259803384178</v>
      </c>
      <c r="CX28" s="59">
        <f t="shared" si="14"/>
        <v>500.59593136717513</v>
      </c>
      <c r="CY28" s="59">
        <f ca="1">AVERAGE(OFFSET($CX$3,0,0,'Données projet'!$E$13+1,1))-AVERAGE(OFFSET($H$3,0,0,'Données projet'!$E$13+1,1))</f>
        <v>207.93042467236967</v>
      </c>
      <c r="CZ28" s="59">
        <f t="shared" si="42"/>
        <v>250.70954318710835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5.7083617581396613</v>
      </c>
      <c r="DH28" s="21">
        <f>EXP(-LN(2)/2)*DH27+(1-EXP(-LN(2)/2))/(LN(2)/2)*DB28*DE28*VLOOKUP('Données projet'!$B$13,Paramètres!$A$1:$I$89,3,0)*0.475*44/12</f>
        <v>1.8740758718975312</v>
      </c>
      <c r="DI28" s="22">
        <f t="shared" si="15"/>
        <v>7.5824376300371927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12.2</v>
      </c>
      <c r="DO28" s="12">
        <f>IF('Données projet'!$A$166&gt;35,DO27+DN28-DW27,IF(A28&lt;'Données projet'!$A$166,$DL$205^A28,IF(A28='Données projet'!$A$166,'Données projet'!$B$166,DO27+DN28-DW27)))</f>
        <v>113.00000000000001</v>
      </c>
      <c r="DP28" s="17">
        <f>DO28*VLOOKUP('Données projet'!$B$14,Paramètres!$A$1:$I$89,3,0)*VLOOKUP('Données projet'!$B$14,Paramètres!$A$1:$I$89,5,0)</f>
        <v>75.80040000000001</v>
      </c>
      <c r="DQ28" s="13">
        <f t="shared" si="43"/>
        <v>21.107159889298988</v>
      </c>
      <c r="DR28" s="20">
        <f t="shared" si="16"/>
        <v>168.78066680719573</v>
      </c>
      <c r="DS28" s="59">
        <f t="shared" si="17"/>
        <v>462.11400014052901</v>
      </c>
      <c r="DT28" s="59">
        <f ca="1">AVERAGE(OFFSET($DS$3,0,0,'Données projet'!$E$14+1,1))-AVERAGE(OFFSET($H$3,0,0,'Données projet'!$E$14+1,1))</f>
        <v>156.63226020379989</v>
      </c>
      <c r="DU28" s="59">
        <f t="shared" si="44"/>
        <v>196.0481096619543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3.6635754567164982</v>
      </c>
      <c r="EC28" s="21">
        <f>EXP(-LN(2)/2)*EC27+(1-EXP(-LN(2)/2))/(LN(2)/2)*DW28*DZ28*VLOOKUP('Données projet'!$B$14,Paramètres!$A$1:$I$89,3,0)*0.475*44/12</f>
        <v>1.2027651118148333</v>
      </c>
      <c r="ED28" s="22">
        <f t="shared" si="18"/>
        <v>4.8663405685313315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2.9235042735042733</v>
      </c>
      <c r="EJ28" s="12">
        <f>IF('Données projet'!$A$192&gt;35,EJ27+EI28-ER27,IF(A28&lt;'Données projet'!$A$192,$EG$205^A28,IF(A28='Données projet'!$A$192,'Données projet'!$B$192,EJ27+EI28-ER27)))</f>
        <v>41.609020251295185</v>
      </c>
      <c r="EK28" s="17">
        <f>EJ28*VLOOKUP('Données projet'!$B$15,Paramètres!$A$1:$I$89,3,0)*VLOOKUP('Données projet'!$B$15,Paramètres!$A$1:$I$89,5,0)</f>
        <v>42.19154653481332</v>
      </c>
      <c r="EL28" s="13">
        <f t="shared" si="45"/>
        <v>12.577701043627256</v>
      </c>
      <c r="EM28" s="20">
        <f t="shared" si="19"/>
        <v>95.389772865783996</v>
      </c>
      <c r="EN28" s="59">
        <f t="shared" si="20"/>
        <v>388.7231061991173</v>
      </c>
      <c r="EO28" s="59">
        <f ca="1">AVERAGE(OFFSET($EN$3,0,0,'Données projet'!$E$15+1,1))-AVERAGE(OFFSET($H$3,0,0,'Données projet'!$E$15+1,1))</f>
        <v>190.21499310415584</v>
      </c>
      <c r="EP28" s="59">
        <f t="shared" si="46"/>
        <v>136.15730566500173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1.7625000000000004</v>
      </c>
      <c r="FE28" s="12">
        <f>IF('Données projet'!$A$218&gt;35,FE27+FD28-FM27,IF(A28&lt;'Données projet'!$A$218,$FB$205^A28,IF(A28='Données projet'!$A$218,'Données projet'!$B$218,FE27+FD28-FM27)))</f>
        <v>32.729166666666664</v>
      </c>
      <c r="FF28" s="17">
        <f>FE28*VLOOKUP('Données projet'!$B$16,Paramètres!$A$1:$I$89,3,0)*VLOOKUP('Données projet'!$B$16,Paramètres!$A$1:$I$89,5,0)</f>
        <v>37.703999999999994</v>
      </c>
      <c r="FG28" s="13">
        <f t="shared" si="47"/>
        <v>11.38801407254412</v>
      </c>
      <c r="FH28" s="20">
        <f t="shared" si="22"/>
        <v>85.50192450968099</v>
      </c>
      <c r="FI28" s="59">
        <f t="shared" si="23"/>
        <v>378.83525784301429</v>
      </c>
      <c r="FJ28" s="59">
        <f ca="1">AVERAGE(OFFSET($FI$3,0,0,'Données projet'!$E$16+1,1))-AVERAGE(OFFSET($H$3,0,0,'Données projet'!$E$16+1,1))</f>
        <v>14.847345852478327</v>
      </c>
      <c r="FK28" s="59">
        <f t="shared" si="48"/>
        <v>46.764428272166299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0.8754961788861475</v>
      </c>
      <c r="FS28" s="21">
        <f>EXP(-LN(2)/2)*FS27+(1-EXP(-LN(2)/2))/(LN(2)/2)*FM28*FP28*VLOOKUP('Données projet'!$B$16,Paramètres!$A$1:$I$89,3,0)*0.475*44/12</f>
        <v>0.25344908420273354</v>
      </c>
      <c r="FT28" s="22">
        <f t="shared" si="24"/>
        <v>1.128945263088881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423.64544495721213</v>
      </c>
      <c r="S29" s="59">
        <f ca="1">AVERAGE(OFFSET($R$3,0,0,'Données projet'!$E$9+1,1))-AVERAGE(OFFSET($H$3,0,0,'Données projet'!$E$9+1,1))</f>
        <v>221.7429870520005</v>
      </c>
      <c r="T29" s="59">
        <f t="shared" si="34"/>
        <v>182.2029938397186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14.5</v>
      </c>
      <c r="AI29" s="13">
        <f>IF('Données projet'!$A$62&gt;35,AI28+AH29-AQ28,IF(A29&lt;'Données projet'!$A$62,$AF$205^A29,IF(A29='Données projet'!$A$62,'Données projet'!$B$62,AI28+AH29-AQ28)))</f>
        <v>154</v>
      </c>
      <c r="AJ29" s="13">
        <f>AI29*VLOOKUP('Données projet'!$B$10,Paramètres!$A$1:$I$89,3,0)*VLOOKUP('Données projet'!$B$10,Paramètres!$A$1:$I$89,5,0)</f>
        <v>122.52240000000002</v>
      </c>
      <c r="AK29" s="13">
        <f t="shared" si="35"/>
        <v>32.26259352430629</v>
      </c>
      <c r="AL29" s="20">
        <f t="shared" si="4"/>
        <v>269.58386372150017</v>
      </c>
      <c r="AM29" s="59">
        <f t="shared" si="5"/>
        <v>562.91719705483342</v>
      </c>
      <c r="AN29" s="59">
        <f ca="1">AVERAGE(OFFSET($AM$3,0,0,'Données projet'!$E$10+1,1))-AVERAGE(OFFSET($H$3,0,0,'Données projet'!$E$10+1,1))</f>
        <v>260.20517190557814</v>
      </c>
      <c r="AO29" s="59">
        <f t="shared" si="36"/>
        <v>307.22009971147133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6.585246083473379</v>
      </c>
      <c r="AW29" s="21">
        <f>EXP(-LN(2)/2)*AW28+(1-EXP(-LN(2)/2))/(LN(2)/2)*AQ29*AT29*VLOOKUP('Données projet'!$B$10,Paramètres!$A$1:$I$89,3,0)*0.475*44/12</f>
        <v>1.571715340263224</v>
      </c>
      <c r="AX29" s="21">
        <f t="shared" si="6"/>
        <v>8.1569614237366039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15.3</v>
      </c>
      <c r="BD29" s="12">
        <f>IF('Données projet'!$A$88&gt;35,BD28+BC29-BL28,IF(A29&lt;'Données projet'!$A$88,$BA$205^A29,IF(A29='Données projet'!$A$88,'Données projet'!$B$88,BD28+BC29-BL28)))</f>
        <v>168.8</v>
      </c>
      <c r="BE29" s="13">
        <f>BD29*VLOOKUP('Données projet'!$B$11,Paramètres!$A$1:$I$89,3,0)*VLOOKUP('Données projet'!$B$11,Paramètres!$A$1:$I$89,5,0)</f>
        <v>100.94240000000002</v>
      </c>
      <c r="BF29" s="13">
        <f t="shared" si="37"/>
        <v>27.186388642071154</v>
      </c>
      <c r="BG29" s="20">
        <f t="shared" si="7"/>
        <v>223.15764021827397</v>
      </c>
      <c r="BH29" s="59">
        <f t="shared" si="8"/>
        <v>516.49097355160734</v>
      </c>
      <c r="BI29" s="59">
        <f ca="1">AVERAGE(OFFSET($BH$3,0,0,'Données projet'!$E$11+1,1))-AVERAGE(OFFSET($H$3,0,0,'Données projet'!$E$11+1,1))</f>
        <v>316.58509520829671</v>
      </c>
      <c r="BJ29" s="59">
        <f t="shared" si="38"/>
        <v>240.71332110643596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4.3656558759024753</v>
      </c>
      <c r="BR29" s="21">
        <f>EXP(-LN(2)/2)*BR28+(1-EXP(-LN(2)/2))/(LN(2)/2)*BL29*BO29*VLOOKUP('Données projet'!$B$11,Paramètres!$A$1:$I$89,3,0)*0.475*44/12</f>
        <v>1.2271982814814983</v>
      </c>
      <c r="BS29" s="22">
        <f t="shared" si="9"/>
        <v>5.5928541573839734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13.3</v>
      </c>
      <c r="BY29" s="12">
        <f>IF('Données projet'!$A$114&gt;35,BY28+BX29-CG28,IF(A29&lt;'Données projet'!$A$114,$BV$205^A29,IF(A29='Données projet'!$A$114,'Données projet'!$B$114,BY28+BX29-CG28)))</f>
        <v>146.80000000000001</v>
      </c>
      <c r="BZ29" s="13">
        <f>BY29*VLOOKUP('Données projet'!$B$12,Paramètres!$A$1:$I$89,3,0)*VLOOKUP('Données projet'!$B$12,Paramètres!$A$1:$I$89,5,0)</f>
        <v>87.786400000000015</v>
      </c>
      <c r="CA29" s="13">
        <f t="shared" si="39"/>
        <v>24.030586680166543</v>
      </c>
      <c r="CB29" s="20">
        <f t="shared" si="10"/>
        <v>194.74791846795674</v>
      </c>
      <c r="CC29" s="59">
        <f t="shared" si="11"/>
        <v>488.08125180129002</v>
      </c>
      <c r="CD29" s="59">
        <f ca="1">AVERAGE(OFFSET($CC$3,0,0,'Données projet'!$E$12+1,1))-AVERAGE(OFFSET($H$3,0,0,'Données projet'!$E$12+1,1))</f>
        <v>270.30888762640245</v>
      </c>
      <c r="CE29" s="59">
        <f t="shared" si="40"/>
        <v>202.23783851977691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3.0107971557948097</v>
      </c>
      <c r="CM29" s="21">
        <f>EXP(-LN(2)/2)*CM28+(1-EXP(-LN(2)/2))/(LN(2)/2)*CG29*CJ29*VLOOKUP('Données projet'!$B$12,Paramètres!$A$1:$I$89,3,0)*0.475*44/12</f>
        <v>0.84634364240103355</v>
      </c>
      <c r="CN29" s="22">
        <f t="shared" si="12"/>
        <v>3.857140798195843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14.5</v>
      </c>
      <c r="CT29" s="12">
        <f>IF('Données projet'!$A$140&gt;35,CT28+CS29-DB28,IF(A29&lt;'Données projet'!$A$140,$CQ$205^A29,IF(A29='Données projet'!$A$140,'Données projet'!$B$140,CT28+CS29-DB28)))</f>
        <v>154</v>
      </c>
      <c r="CU29" s="17">
        <f>CT29*VLOOKUP('Données projet'!$B$13,Paramètres!$A$1:$I$89,3,0)*VLOOKUP('Données projet'!$B$13,Paramètres!$A$1:$I$89,5,0)</f>
        <v>103.3032</v>
      </c>
      <c r="CV29" s="13">
        <f t="shared" si="41"/>
        <v>27.747444810362108</v>
      </c>
      <c r="CW29" s="20">
        <f t="shared" si="13"/>
        <v>228.24653971138068</v>
      </c>
      <c r="CX29" s="59">
        <f t="shared" si="14"/>
        <v>521.57987304471396</v>
      </c>
      <c r="CY29" s="59">
        <f ca="1">AVERAGE(OFFSET($CX$3,0,0,'Données projet'!$E$13+1,1))-AVERAGE(OFFSET($H$3,0,0,'Données projet'!$E$13+1,1))</f>
        <v>207.93042467236967</v>
      </c>
      <c r="CZ29" s="59">
        <f t="shared" si="42"/>
        <v>250.70954318710835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5.5522663056736343</v>
      </c>
      <c r="DH29" s="21">
        <f>EXP(-LN(2)/2)*DH28+(1-EXP(-LN(2)/2))/(LN(2)/2)*DB29*DE29*VLOOKUP('Données projet'!$B$13,Paramètres!$A$1:$I$89,3,0)*0.475*44/12</f>
        <v>1.325171757476836</v>
      </c>
      <c r="DI29" s="22">
        <f t="shared" si="15"/>
        <v>6.8774380631504703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12.2</v>
      </c>
      <c r="DO29" s="12">
        <f>IF('Données projet'!$A$166&gt;35,DO28+DN29-DW28,IF(A29&lt;'Données projet'!$A$166,$DL$205^A29,IF(A29='Données projet'!$A$166,'Données projet'!$B$166,DO28+DN29-DW28)))</f>
        <v>125.20000000000002</v>
      </c>
      <c r="DP29" s="17">
        <f>DO29*VLOOKUP('Données projet'!$B$14,Paramètres!$A$1:$I$89,3,0)*VLOOKUP('Données projet'!$B$14,Paramètres!$A$1:$I$89,5,0)</f>
        <v>83.984160000000017</v>
      </c>
      <c r="DQ29" s="13">
        <f t="shared" si="43"/>
        <v>23.108559407837603</v>
      </c>
      <c r="DR29" s="20">
        <f t="shared" si="16"/>
        <v>186.51981963531719</v>
      </c>
      <c r="DS29" s="59">
        <f t="shared" si="17"/>
        <v>479.85315296865053</v>
      </c>
      <c r="DT29" s="59">
        <f ca="1">AVERAGE(OFFSET($DS$3,0,0,'Données projet'!$E$14+1,1))-AVERAGE(OFFSET($H$3,0,0,'Données projet'!$E$14+1,1))</f>
        <v>156.63226020379989</v>
      </c>
      <c r="DU29" s="59">
        <f t="shared" si="44"/>
        <v>196.0481096619543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3.5633947931935257</v>
      </c>
      <c r="EC29" s="21">
        <f>EXP(-LN(2)/2)*EC28+(1-EXP(-LN(2)/2))/(LN(2)/2)*DW29*DZ29*VLOOKUP('Données projet'!$B$14,Paramètres!$A$1:$I$89,3,0)*0.475*44/12</f>
        <v>0.85048336673886471</v>
      </c>
      <c r="ED29" s="22">
        <f t="shared" si="18"/>
        <v>4.4138781599323904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2.9235042735042733</v>
      </c>
      <c r="EJ29" s="12">
        <f>IF('Données projet'!$A$192&gt;35,EJ28+EI29-ER28,IF(A29&lt;'Données projet'!$A$192,$EG$205^A29,IF(A29='Données projet'!$A$192,'Données projet'!$B$192,EJ28+EI29-ER28)))</f>
        <v>48.30087400300993</v>
      </c>
      <c r="EK29" s="17">
        <f>EJ29*VLOOKUP('Données projet'!$B$15,Paramètres!$A$1:$I$89,3,0)*VLOOKUP('Données projet'!$B$15,Paramètres!$A$1:$I$89,5,0)</f>
        <v>48.97708623905207</v>
      </c>
      <c r="EL29" s="13">
        <f t="shared" si="45"/>
        <v>14.34927076103458</v>
      </c>
      <c r="EM29" s="20">
        <f t="shared" si="19"/>
        <v>110.29340510848425</v>
      </c>
      <c r="EN29" s="59">
        <f t="shared" si="20"/>
        <v>403.62673844181757</v>
      </c>
      <c r="EO29" s="59">
        <f ca="1">AVERAGE(OFFSET($EN$3,0,0,'Données projet'!$E$15+1,1))-AVERAGE(OFFSET($H$3,0,0,'Données projet'!$E$15+1,1))</f>
        <v>190.21499310415584</v>
      </c>
      <c r="EP29" s="59">
        <f t="shared" si="46"/>
        <v>136.15730566500173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1.7625000000000004</v>
      </c>
      <c r="FE29" s="12">
        <f>IF('Données projet'!$A$218&gt;35,FE28+FD29-FM28,IF(A29&lt;'Données projet'!$A$218,$FB$205^A29,IF(A29='Données projet'!$A$218,'Données projet'!$B$218,FE28+FD29-FM28)))</f>
        <v>34.491666666666667</v>
      </c>
      <c r="FF29" s="17">
        <f>FE29*VLOOKUP('Données projet'!$B$16,Paramètres!$A$1:$I$89,3,0)*VLOOKUP('Données projet'!$B$16,Paramètres!$A$1:$I$89,5,0)</f>
        <v>39.734400000000001</v>
      </c>
      <c r="FG29" s="13">
        <f t="shared" si="47"/>
        <v>11.928222325076769</v>
      </c>
      <c r="FH29" s="20">
        <f t="shared" si="22"/>
        <v>89.97906721617538</v>
      </c>
      <c r="FI29" s="59">
        <f t="shared" si="23"/>
        <v>383.31240054950871</v>
      </c>
      <c r="FJ29" s="59">
        <f ca="1">AVERAGE(OFFSET($FI$3,0,0,'Données projet'!$E$16+1,1))-AVERAGE(OFFSET($H$3,0,0,'Données projet'!$E$16+1,1))</f>
        <v>14.847345852478327</v>
      </c>
      <c r="FK29" s="59">
        <f t="shared" si="48"/>
        <v>46.764428272166299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0.85155568983416274</v>
      </c>
      <c r="FS29" s="21">
        <f>EXP(-LN(2)/2)*FS28+(1-EXP(-LN(2)/2))/(LN(2)/2)*FM29*FP29*VLOOKUP('Données projet'!$B$16,Paramètres!$A$1:$I$89,3,0)*0.475*44/12</f>
        <v>0.17921556612527317</v>
      </c>
      <c r="FT29" s="22">
        <f t="shared" si="24"/>
        <v>1.030771255959436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445.64165763986585</v>
      </c>
      <c r="S30" s="59">
        <f ca="1">AVERAGE(OFFSET($R$3,0,0,'Données projet'!$E$9+1,1))-AVERAGE(OFFSET($H$3,0,0,'Données projet'!$E$9+1,1))</f>
        <v>221.7429870520005</v>
      </c>
      <c r="T30" s="59">
        <f t="shared" si="34"/>
        <v>182.2029938397186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14.5</v>
      </c>
      <c r="AI30" s="13">
        <f>IF('Données projet'!$A$62&gt;35,AI29+AH30-AQ29,IF(A30&lt;'Données projet'!$A$62,$AF$205^A30,IF(A30='Données projet'!$A$62,'Données projet'!$B$62,AI29+AH30-AQ29)))</f>
        <v>168.5</v>
      </c>
      <c r="AJ30" s="13">
        <f>AI30*VLOOKUP('Données projet'!$B$10,Paramètres!$A$1:$I$89,3,0)*VLOOKUP('Données projet'!$B$10,Paramètres!$A$1:$I$89,5,0)</f>
        <v>134.05860000000001</v>
      </c>
      <c r="AK30" s="13">
        <f t="shared" si="35"/>
        <v>34.932498076856362</v>
      </c>
      <c r="AL30" s="20">
        <f t="shared" si="4"/>
        <v>294.32616248385813</v>
      </c>
      <c r="AM30" s="59">
        <f t="shared" si="5"/>
        <v>587.65949581719144</v>
      </c>
      <c r="AN30" s="59">
        <f ca="1">AVERAGE(OFFSET($AM$3,0,0,'Données projet'!$E$10+1,1))-AVERAGE(OFFSET($H$3,0,0,'Données projet'!$E$10+1,1))</f>
        <v>260.20517190557814</v>
      </c>
      <c r="AO30" s="59">
        <f t="shared" si="36"/>
        <v>307.22009971147133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6.4051721830177586</v>
      </c>
      <c r="AW30" s="21">
        <f>EXP(-LN(2)/2)*AW29+(1-EXP(-LN(2)/2))/(LN(2)/2)*AQ30*AT30*VLOOKUP('Données projet'!$B$10,Paramètres!$A$1:$I$89,3,0)*0.475*44/12</f>
        <v>1.1113705751950478</v>
      </c>
      <c r="AX30" s="21">
        <f t="shared" si="6"/>
        <v>7.5165427582128066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15.3</v>
      </c>
      <c r="BD30" s="12">
        <f>IF('Données projet'!$A$88&gt;35,BD29+BC30-BL29,IF(A30&lt;'Données projet'!$A$88,$BA$205^A30,IF(A30='Données projet'!$A$88,'Données projet'!$B$88,BD29+BC30-BL29)))</f>
        <v>184.10000000000002</v>
      </c>
      <c r="BE30" s="13">
        <f>BD30*VLOOKUP('Données projet'!$B$11,Paramètres!$A$1:$I$89,3,0)*VLOOKUP('Données projet'!$B$11,Paramètres!$A$1:$I$89,5,0)</f>
        <v>110.09180000000001</v>
      </c>
      <c r="BF30" s="13">
        <f t="shared" si="37"/>
        <v>29.352612318376288</v>
      </c>
      <c r="BG30" s="20">
        <f t="shared" si="7"/>
        <v>242.86568478783872</v>
      </c>
      <c r="BH30" s="59">
        <f t="shared" si="8"/>
        <v>536.199018121172</v>
      </c>
      <c r="BI30" s="59">
        <f ca="1">AVERAGE(OFFSET($BH$3,0,0,'Données projet'!$E$11+1,1))-AVERAGE(OFFSET($H$3,0,0,'Données projet'!$E$11+1,1))</f>
        <v>316.58509520829671</v>
      </c>
      <c r="BJ30" s="59">
        <f t="shared" si="38"/>
        <v>240.71332110643596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4.2462767863960575</v>
      </c>
      <c r="BR30" s="21">
        <f>EXP(-LN(2)/2)*BR29+(1-EXP(-LN(2)/2))/(LN(2)/2)*BL30*BO30*VLOOKUP('Données projet'!$B$11,Paramètres!$A$1:$I$89,3,0)*0.475*44/12</f>
        <v>0.86776022669604502</v>
      </c>
      <c r="BS30" s="22">
        <f t="shared" si="9"/>
        <v>5.1140370130921022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13.3</v>
      </c>
      <c r="BY30" s="12">
        <f>IF('Données projet'!$A$114&gt;35,BY29+BX30-CG29,IF(A30&lt;'Données projet'!$A$114,$BV$205^A30,IF(A30='Données projet'!$A$114,'Données projet'!$B$114,BY29+BX30-CG29)))</f>
        <v>160.10000000000002</v>
      </c>
      <c r="BZ30" s="13">
        <f>BY30*VLOOKUP('Données projet'!$B$12,Paramètres!$A$1:$I$89,3,0)*VLOOKUP('Données projet'!$B$12,Paramètres!$A$1:$I$89,5,0)</f>
        <v>95.739800000000017</v>
      </c>
      <c r="CA30" s="13">
        <f t="shared" si="39"/>
        <v>25.944506362071046</v>
      </c>
      <c r="CB30" s="20">
        <f t="shared" si="10"/>
        <v>211.93350024727374</v>
      </c>
      <c r="CC30" s="59">
        <f t="shared" si="11"/>
        <v>505.26683358060706</v>
      </c>
      <c r="CD30" s="59">
        <f ca="1">AVERAGE(OFFSET($CC$3,0,0,'Données projet'!$E$12+1,1))-AVERAGE(OFFSET($H$3,0,0,'Données projet'!$E$12+1,1))</f>
        <v>270.30888762640245</v>
      </c>
      <c r="CE30" s="59">
        <f t="shared" si="40"/>
        <v>202.23783851977691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2.9284667492386594</v>
      </c>
      <c r="CM30" s="21">
        <f>EXP(-LN(2)/2)*CM29+(1-EXP(-LN(2)/2))/(LN(2)/2)*CG30*CJ30*VLOOKUP('Données projet'!$B$12,Paramètres!$A$1:$I$89,3,0)*0.475*44/12</f>
        <v>0.59845532875589325</v>
      </c>
      <c r="CN30" s="22">
        <f t="shared" si="12"/>
        <v>3.5269220779945525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14.5</v>
      </c>
      <c r="CT30" s="12">
        <f>IF('Données projet'!$A$140&gt;35,CT29+CS30-DB29,IF(A30&lt;'Données projet'!$A$140,$CQ$205^A30,IF(A30='Données projet'!$A$140,'Données projet'!$B$140,CT29+CS30-DB29)))</f>
        <v>168.5</v>
      </c>
      <c r="CU30" s="17">
        <f>CT30*VLOOKUP('Données projet'!$B$13,Paramètres!$A$1:$I$89,3,0)*VLOOKUP('Données projet'!$B$13,Paramètres!$A$1:$I$89,5,0)</f>
        <v>113.02979999999999</v>
      </c>
      <c r="CV30" s="13">
        <f t="shared" si="41"/>
        <v>30.043696324209073</v>
      </c>
      <c r="CW30" s="20">
        <f t="shared" si="13"/>
        <v>249.18633943133077</v>
      </c>
      <c r="CX30" s="59">
        <f t="shared" si="14"/>
        <v>542.51967276466405</v>
      </c>
      <c r="CY30" s="59">
        <f ca="1">AVERAGE(OFFSET($CX$3,0,0,'Données projet'!$E$13+1,1))-AVERAGE(OFFSET($H$3,0,0,'Données projet'!$E$13+1,1))</f>
        <v>207.93042467236967</v>
      </c>
      <c r="CZ30" s="59">
        <f t="shared" si="42"/>
        <v>250.70954318710835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5.4004392915639938</v>
      </c>
      <c r="DH30" s="21">
        <f>EXP(-LN(2)/2)*DH29+(1-EXP(-LN(2)/2))/(LN(2)/2)*DB30*DE30*VLOOKUP('Données projet'!$B$13,Paramètres!$A$1:$I$89,3,0)*0.475*44/12</f>
        <v>0.93703793594876572</v>
      </c>
      <c r="DI30" s="22">
        <f t="shared" si="15"/>
        <v>6.3374772275127595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12.2</v>
      </c>
      <c r="DO30" s="12">
        <f>IF('Données projet'!$A$166&gt;35,DO29+DN30-DW29,IF(A30&lt;'Données projet'!$A$166,$DL$205^A30,IF(A30='Données projet'!$A$166,'Données projet'!$B$166,DO29+DN30-DW29)))</f>
        <v>137.4</v>
      </c>
      <c r="DP30" s="17">
        <f>DO30*VLOOKUP('Données projet'!$B$14,Paramètres!$A$1:$I$89,3,0)*VLOOKUP('Données projet'!$B$14,Paramètres!$A$1:$I$89,5,0)</f>
        <v>92.167920000000009</v>
      </c>
      <c r="DQ30" s="13">
        <f t="shared" si="43"/>
        <v>25.087348587680737</v>
      </c>
      <c r="DR30" s="20">
        <f t="shared" si="16"/>
        <v>204.21959279021061</v>
      </c>
      <c r="DS30" s="59">
        <f t="shared" si="17"/>
        <v>497.5529261235439</v>
      </c>
      <c r="DT30" s="59">
        <f ca="1">AVERAGE(OFFSET($DS$3,0,0,'Données projet'!$E$14+1,1))-AVERAGE(OFFSET($H$3,0,0,'Données projet'!$E$14+1,1))</f>
        <v>156.63226020379989</v>
      </c>
      <c r="DU30" s="59">
        <f t="shared" si="44"/>
        <v>196.0481096619543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3.4659535751828607</v>
      </c>
      <c r="EC30" s="21">
        <f>EXP(-LN(2)/2)*EC29+(1-EXP(-LN(2)/2))/(LN(2)/2)*DW30*DZ30*VLOOKUP('Données projet'!$B$14,Paramètres!$A$1:$I$89,3,0)*0.475*44/12</f>
        <v>0.60138255590741674</v>
      </c>
      <c r="ED30" s="22">
        <f t="shared" si="18"/>
        <v>4.0673361310902774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2.9235042735042733</v>
      </c>
      <c r="EJ30" s="12">
        <f>IF('Données projet'!$A$192&gt;35,EJ29+EI30-ER29,IF(A30&lt;'Données projet'!$A$192,$EG$205^A30,IF(A30='Données projet'!$A$192,'Données projet'!$B$192,EJ29+EI30-ER29)))</f>
        <v>56.068958494210662</v>
      </c>
      <c r="EK30" s="17">
        <f>EJ30*VLOOKUP('Données projet'!$B$15,Paramètres!$A$1:$I$89,3,0)*VLOOKUP('Données projet'!$B$15,Paramètres!$A$1:$I$89,5,0)</f>
        <v>56.853923913129613</v>
      </c>
      <c r="EL30" s="13">
        <f t="shared" si="45"/>
        <v>16.370366147143088</v>
      </c>
      <c r="EM30" s="20">
        <f t="shared" si="19"/>
        <v>127.53230518830827</v>
      </c>
      <c r="EN30" s="59">
        <f t="shared" si="20"/>
        <v>420.86563852164159</v>
      </c>
      <c r="EO30" s="59">
        <f ca="1">AVERAGE(OFFSET($EN$3,0,0,'Données projet'!$E$15+1,1))-AVERAGE(OFFSET($H$3,0,0,'Données projet'!$E$15+1,1))</f>
        <v>190.21499310415584</v>
      </c>
      <c r="EP30" s="59">
        <f t="shared" si="46"/>
        <v>136.15730566500173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1.7625000000000004</v>
      </c>
      <c r="FE30" s="12">
        <f>IF('Données projet'!$A$218&gt;35,FE29+FD30-FM29,IF(A30&lt;'Données projet'!$A$218,$FB$205^A30,IF(A30='Données projet'!$A$218,'Données projet'!$B$218,FE29+FD30-FM29)))</f>
        <v>36.25416666666667</v>
      </c>
      <c r="FF30" s="17">
        <f>FE30*VLOOKUP('Données projet'!$B$16,Paramètres!$A$1:$I$89,3,0)*VLOOKUP('Données projet'!$B$16,Paramètres!$A$1:$I$89,5,0)</f>
        <v>41.764800000000001</v>
      </c>
      <c r="FG30" s="13">
        <f t="shared" si="47"/>
        <v>12.465225505715036</v>
      </c>
      <c r="FH30" s="20">
        <f t="shared" si="22"/>
        <v>94.450627755787011</v>
      </c>
      <c r="FI30" s="59">
        <f t="shared" si="23"/>
        <v>387.78396108912034</v>
      </c>
      <c r="FJ30" s="59">
        <f ca="1">AVERAGE(OFFSET($FI$3,0,0,'Données projet'!$E$16+1,1))-AVERAGE(OFFSET($H$3,0,0,'Données projet'!$E$16+1,1))</f>
        <v>14.847345852478327</v>
      </c>
      <c r="FK30" s="59">
        <f t="shared" si="48"/>
        <v>46.764428272166299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0.82826985471428005</v>
      </c>
      <c r="FS30" s="21">
        <f>EXP(-LN(2)/2)*FS29+(1-EXP(-LN(2)/2))/(LN(2)/2)*FM30*FP30*VLOOKUP('Données projet'!$B$16,Paramètres!$A$1:$I$89,3,0)*0.475*44/12</f>
        <v>0.12672454210136677</v>
      </c>
      <c r="FT30" s="22">
        <f t="shared" si="24"/>
        <v>0.9549943968156468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471.3613575611771</v>
      </c>
      <c r="S31" s="59">
        <f ca="1">AVERAGE(OFFSET($R$3,0,0,'Données projet'!$E$9+1,1))-AVERAGE(OFFSET($H$3,0,0,'Données projet'!$E$9+1,1))</f>
        <v>221.7429870520005</v>
      </c>
      <c r="T31" s="59">
        <f t="shared" si="34"/>
        <v>182.2029938397186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14.5</v>
      </c>
      <c r="AI31" s="13">
        <f>IF('Données projet'!$A$62&gt;35,AI30+AH31-AQ30,IF(A31&lt;'Données projet'!$A$62,$AF$205^A31,IF(A31='Données projet'!$A$62,'Données projet'!$B$62,AI30+AH31-AQ30)))</f>
        <v>183</v>
      </c>
      <c r="AJ31" s="13">
        <f>AI31*VLOOKUP('Données projet'!$B$10,Paramètres!$A$1:$I$89,3,0)*VLOOKUP('Données projet'!$B$10,Paramètres!$A$1:$I$89,5,0)</f>
        <v>145.59479999999999</v>
      </c>
      <c r="AK31" s="13">
        <f t="shared" si="35"/>
        <v>37.575758023691719</v>
      </c>
      <c r="AL31" s="20">
        <f t="shared" si="4"/>
        <v>319.02205522459639</v>
      </c>
      <c r="AM31" s="59">
        <f t="shared" si="5"/>
        <v>612.3553885579297</v>
      </c>
      <c r="AN31" s="59">
        <f ca="1">AVERAGE(OFFSET($AM$3,0,0,'Données projet'!$E$10+1,1))-AVERAGE(OFFSET($H$3,0,0,'Données projet'!$E$10+1,1))</f>
        <v>260.20517190557814</v>
      </c>
      <c r="AO31" s="59">
        <f t="shared" si="36"/>
        <v>307.22009971147133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6.2300224128397721</v>
      </c>
      <c r="AW31" s="21">
        <f>EXP(-LN(2)/2)*AW30+(1-EXP(-LN(2)/2))/(LN(2)/2)*AQ31*AT31*VLOOKUP('Données projet'!$B$10,Paramètres!$A$1:$I$89,3,0)*0.475*44/12</f>
        <v>0.78585767013161212</v>
      </c>
      <c r="AX31" s="21">
        <f t="shared" si="6"/>
        <v>7.0158800829713845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15.3</v>
      </c>
      <c r="BD31" s="12">
        <f>IF('Données projet'!$A$88&gt;35,BD30+BC31-BL30,IF(A31&lt;'Données projet'!$A$88,$BA$205^A31,IF(A31='Données projet'!$A$88,'Données projet'!$B$88,BD30+BC31-BL30)))</f>
        <v>199.40000000000003</v>
      </c>
      <c r="BE31" s="13">
        <f>BD31*VLOOKUP('Données projet'!$B$11,Paramètres!$A$1:$I$89,3,0)*VLOOKUP('Données projet'!$B$11,Paramètres!$A$1:$I$89,5,0)</f>
        <v>119.24120000000002</v>
      </c>
      <c r="BF31" s="13">
        <f t="shared" si="37"/>
        <v>31.497956370300944</v>
      </c>
      <c r="BG31" s="20">
        <f t="shared" si="7"/>
        <v>262.53736401160751</v>
      </c>
      <c r="BH31" s="59">
        <f t="shared" si="8"/>
        <v>555.87069734494082</v>
      </c>
      <c r="BI31" s="59">
        <f ca="1">AVERAGE(OFFSET($BH$3,0,0,'Données projet'!$E$11+1,1))-AVERAGE(OFFSET($H$3,0,0,'Données projet'!$E$11+1,1))</f>
        <v>316.58509520829671</v>
      </c>
      <c r="BJ31" s="59">
        <f t="shared" si="38"/>
        <v>240.71332110643596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4.1301621243700666</v>
      </c>
      <c r="BR31" s="21">
        <f>EXP(-LN(2)/2)*BR30+(1-EXP(-LN(2)/2))/(LN(2)/2)*BL31*BO31*VLOOKUP('Données projet'!$B$11,Paramètres!$A$1:$I$89,3,0)*0.475*44/12</f>
        <v>0.61359914074074917</v>
      </c>
      <c r="BS31" s="22">
        <f t="shared" si="9"/>
        <v>4.7437612651108161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13.3</v>
      </c>
      <c r="BY31" s="12">
        <f>IF('Données projet'!$A$114&gt;35,BY30+BX31-CG30,IF(A31&lt;'Données projet'!$A$114,$BV$205^A31,IF(A31='Données projet'!$A$114,'Données projet'!$B$114,BY30+BX31-CG30)))</f>
        <v>173.40000000000003</v>
      </c>
      <c r="BZ31" s="13">
        <f>BY31*VLOOKUP('Données projet'!$B$12,Paramètres!$A$1:$I$89,3,0)*VLOOKUP('Données projet'!$B$12,Paramètres!$A$1:$I$89,5,0)</f>
        <v>103.69320000000003</v>
      </c>
      <c r="CA31" s="13">
        <f t="shared" si="39"/>
        <v>27.83998582032487</v>
      </c>
      <c r="CB31" s="20">
        <f t="shared" si="10"/>
        <v>229.08696530373251</v>
      </c>
      <c r="CC31" s="59">
        <f t="shared" si="11"/>
        <v>522.4202986370658</v>
      </c>
      <c r="CD31" s="59">
        <f ca="1">AVERAGE(OFFSET($CC$3,0,0,'Données projet'!$E$12+1,1))-AVERAGE(OFFSET($H$3,0,0,'Données projet'!$E$12+1,1))</f>
        <v>270.30888762640245</v>
      </c>
      <c r="CE31" s="59">
        <f t="shared" si="40"/>
        <v>202.23783851977691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2.8483876719793551</v>
      </c>
      <c r="CM31" s="21">
        <f>EXP(-LN(2)/2)*CM30+(1-EXP(-LN(2)/2))/(LN(2)/2)*CG31*CJ31*VLOOKUP('Données projet'!$B$12,Paramètres!$A$1:$I$89,3,0)*0.475*44/12</f>
        <v>0.42317182120051677</v>
      </c>
      <c r="CN31" s="22">
        <f t="shared" si="12"/>
        <v>3.2715594931798719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14.5</v>
      </c>
      <c r="CT31" s="12">
        <f>IF('Données projet'!$A$140&gt;35,CT30+CS31-DB30,IF(A31&lt;'Données projet'!$A$140,$CQ$205^A31,IF(A31='Données projet'!$A$140,'Données projet'!$B$140,CT30+CS31-DB30)))</f>
        <v>183</v>
      </c>
      <c r="CU31" s="17">
        <f>CT31*VLOOKUP('Données projet'!$B$13,Paramètres!$A$1:$I$89,3,0)*VLOOKUP('Données projet'!$B$13,Paramètres!$A$1:$I$89,5,0)</f>
        <v>122.7564</v>
      </c>
      <c r="CV31" s="13">
        <f t="shared" si="41"/>
        <v>32.317032143878919</v>
      </c>
      <c r="CW31" s="20">
        <f t="shared" si="13"/>
        <v>270.08622765058908</v>
      </c>
      <c r="CX31" s="59">
        <f t="shared" si="14"/>
        <v>563.41956098392234</v>
      </c>
      <c r="CY31" s="59">
        <f ca="1">AVERAGE(OFFSET($CX$3,0,0,'Données projet'!$E$13+1,1))-AVERAGE(OFFSET($H$3,0,0,'Données projet'!$E$13+1,1))</f>
        <v>207.93042467236967</v>
      </c>
      <c r="CZ31" s="59">
        <f t="shared" si="42"/>
        <v>250.70954318710835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5.2527639951394169</v>
      </c>
      <c r="DH31" s="21">
        <f>EXP(-LN(2)/2)*DH30+(1-EXP(-LN(2)/2))/(LN(2)/2)*DB31*DE31*VLOOKUP('Données projet'!$B$13,Paramètres!$A$1:$I$89,3,0)*0.475*44/12</f>
        <v>0.66258587873841801</v>
      </c>
      <c r="DI31" s="22">
        <f t="shared" si="15"/>
        <v>5.915349873877835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12.2</v>
      </c>
      <c r="DO31" s="12">
        <f>IF('Données projet'!$A$166&gt;35,DO30+DN31-DW30,IF(A31&lt;'Données projet'!$A$166,$DL$205^A31,IF(A31='Données projet'!$A$166,'Données projet'!$B$166,DO30+DN31-DW30)))</f>
        <v>149.6</v>
      </c>
      <c r="DP31" s="17">
        <f>DO31*VLOOKUP('Données projet'!$B$14,Paramètres!$A$1:$I$89,3,0)*VLOOKUP('Données projet'!$B$14,Paramètres!$A$1:$I$89,5,0)</f>
        <v>100.35168</v>
      </c>
      <c r="DQ31" s="13">
        <f t="shared" si="43"/>
        <v>27.045763332704833</v>
      </c>
      <c r="DR31" s="20">
        <f t="shared" si="16"/>
        <v>221.88388047112758</v>
      </c>
      <c r="DS31" s="59">
        <f t="shared" si="17"/>
        <v>515.21721380446093</v>
      </c>
      <c r="DT31" s="59">
        <f ca="1">AVERAGE(OFFSET($DS$3,0,0,'Données projet'!$E$14+1,1))-AVERAGE(OFFSET($H$3,0,0,'Données projet'!$E$14+1,1))</f>
        <v>156.63226020379989</v>
      </c>
      <c r="DU31" s="59">
        <f t="shared" si="44"/>
        <v>196.0481096619543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3.3711768924029086</v>
      </c>
      <c r="EC31" s="21">
        <f>EXP(-LN(2)/2)*EC30+(1-EXP(-LN(2)/2))/(LN(2)/2)*DW31*DZ31*VLOOKUP('Données projet'!$B$14,Paramètres!$A$1:$I$89,3,0)*0.475*44/12</f>
        <v>0.42524168336943247</v>
      </c>
      <c r="ED31" s="22">
        <f t="shared" si="18"/>
        <v>3.796418575772341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2.9235042735042733</v>
      </c>
      <c r="EJ31" s="12">
        <f>IF('Données projet'!$A$192&gt;35,EJ30+EI31-ER30,IF(A31&lt;'Données projet'!$A$192,$EG$205^A31,IF(A31='Données projet'!$A$192,'Données projet'!$B$192,EJ30+EI31-ER30)))</f>
        <v>65.086360682202411</v>
      </c>
      <c r="EK31" s="17">
        <f>EJ31*VLOOKUP('Données projet'!$B$15,Paramètres!$A$1:$I$89,3,0)*VLOOKUP('Données projet'!$B$15,Paramètres!$A$1:$I$89,5,0)</f>
        <v>65.997569731753245</v>
      </c>
      <c r="EL31" s="13">
        <f t="shared" si="45"/>
        <v>18.67613290281286</v>
      </c>
      <c r="EM31" s="20">
        <f t="shared" si="19"/>
        <v>147.47336542186929</v>
      </c>
      <c r="EN31" s="59">
        <f t="shared" si="20"/>
        <v>440.8066987552026</v>
      </c>
      <c r="EO31" s="59">
        <f ca="1">AVERAGE(OFFSET($EN$3,0,0,'Données projet'!$E$15+1,1))-AVERAGE(OFFSET($H$3,0,0,'Données projet'!$E$15+1,1))</f>
        <v>190.21499310415584</v>
      </c>
      <c r="EP31" s="59">
        <f t="shared" si="46"/>
        <v>136.15730566500173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1.7625000000000004</v>
      </c>
      <c r="FE31" s="12">
        <f>IF('Données projet'!$A$218&gt;35,FE30+FD31-FM30,IF(A31&lt;'Données projet'!$A$218,$FB$205^A31,IF(A31='Données projet'!$A$218,'Données projet'!$B$218,FE30+FD31-FM30)))</f>
        <v>38.016666666666673</v>
      </c>
      <c r="FF31" s="17">
        <f>FE31*VLOOKUP('Données projet'!$B$16,Paramètres!$A$1:$I$89,3,0)*VLOOKUP('Données projet'!$B$16,Paramètres!$A$1:$I$89,5,0)</f>
        <v>43.795200000000001</v>
      </c>
      <c r="FG31" s="13">
        <f t="shared" si="47"/>
        <v>12.99919721491713</v>
      </c>
      <c r="FH31" s="20">
        <f t="shared" si="22"/>
        <v>98.916908482647329</v>
      </c>
      <c r="FI31" s="59">
        <f t="shared" si="23"/>
        <v>392.25024181598064</v>
      </c>
      <c r="FJ31" s="59">
        <f ca="1">AVERAGE(OFFSET($FI$3,0,0,'Données projet'!$E$16+1,1))-AVERAGE(OFFSET($H$3,0,0,'Données projet'!$E$16+1,1))</f>
        <v>14.847345852478327</v>
      </c>
      <c r="FK31" s="59">
        <f t="shared" si="48"/>
        <v>46.764428272166299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0.80562077198029947</v>
      </c>
      <c r="FS31" s="21">
        <f>EXP(-LN(2)/2)*FS30+(1-EXP(-LN(2)/2))/(LN(2)/2)*FM31*FP31*VLOOKUP('Données projet'!$B$16,Paramètres!$A$1:$I$89,3,0)*0.475*44/12</f>
        <v>8.9607783062636587E-2</v>
      </c>
      <c r="FT31" s="22">
        <f t="shared" si="24"/>
        <v>0.89522855504293608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501.436509183081</v>
      </c>
      <c r="S32" s="59">
        <f ca="1">AVERAGE(OFFSET($R$3,0,0,'Données projet'!$E$9+1,1))-AVERAGE(OFFSET($H$3,0,0,'Données projet'!$E$9+1,1))</f>
        <v>221.7429870520005</v>
      </c>
      <c r="T32" s="59">
        <f t="shared" si="34"/>
        <v>182.2029938397186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14.5</v>
      </c>
      <c r="AI32" s="13">
        <f>IF('Données projet'!$A$62&gt;35,AI31+AH32-AQ31,IF(A32&lt;'Données projet'!$A$62,$AF$205^A32,IF(A32='Données projet'!$A$62,'Données projet'!$B$62,AI31+AH32-AQ31)))</f>
        <v>197.5</v>
      </c>
      <c r="AJ32" s="13">
        <f>AI32*VLOOKUP('Données projet'!$B$10,Paramètres!$A$1:$I$89,3,0)*VLOOKUP('Données projet'!$B$10,Paramètres!$A$1:$I$89,5,0)</f>
        <v>157.13100000000003</v>
      </c>
      <c r="AK32" s="13">
        <f t="shared" si="35"/>
        <v>40.194724574621844</v>
      </c>
      <c r="AL32" s="20">
        <f t="shared" si="4"/>
        <v>343.67563696746635</v>
      </c>
      <c r="AM32" s="59">
        <f t="shared" si="5"/>
        <v>637.00897030079966</v>
      </c>
      <c r="AN32" s="59">
        <f ca="1">AVERAGE(OFFSET($AM$3,0,0,'Données projet'!$E$10+1,1))-AVERAGE(OFFSET($H$3,0,0,'Données projet'!$E$10+1,1))</f>
        <v>260.20517190557814</v>
      </c>
      <c r="AO32" s="59">
        <f t="shared" si="36"/>
        <v>307.22009971147133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6.0596621223380289</v>
      </c>
      <c r="AW32" s="21">
        <f>EXP(-LN(2)/2)*AW31+(1-EXP(-LN(2)/2))/(LN(2)/2)*AQ32*AT32*VLOOKUP('Données projet'!$B$10,Paramètres!$A$1:$I$89,3,0)*0.475*44/12</f>
        <v>0.55568528759752389</v>
      </c>
      <c r="AX32" s="21">
        <f t="shared" si="6"/>
        <v>6.6153474099355529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15.3</v>
      </c>
      <c r="BD32" s="12">
        <f>IF('Données projet'!$A$88&gt;35,BD31+BC32-BL31,IF(A32&lt;'Données projet'!$A$88,$BA$205^A32,IF(A32='Données projet'!$A$88,'Données projet'!$B$88,BD31+BC32-BL31)))</f>
        <v>214.70000000000005</v>
      </c>
      <c r="BE32" s="13">
        <f>BD32*VLOOKUP('Données projet'!$B$11,Paramètres!$A$1:$I$89,3,0)*VLOOKUP('Données projet'!$B$11,Paramètres!$A$1:$I$89,5,0)</f>
        <v>128.39060000000003</v>
      </c>
      <c r="BF32" s="13">
        <f t="shared" si="37"/>
        <v>33.624205053748</v>
      </c>
      <c r="BG32" s="20">
        <f t="shared" si="7"/>
        <v>282.17578546861114</v>
      </c>
      <c r="BH32" s="59">
        <f t="shared" si="8"/>
        <v>575.5091188019444</v>
      </c>
      <c r="BI32" s="59">
        <f ca="1">AVERAGE(OFFSET($BH$3,0,0,'Données projet'!$E$11+1,1))-AVERAGE(OFFSET($H$3,0,0,'Données projet'!$E$11+1,1))</f>
        <v>316.58509520829671</v>
      </c>
      <c r="BJ32" s="59">
        <f t="shared" si="38"/>
        <v>240.71332110643596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4.0172226238833808</v>
      </c>
      <c r="BR32" s="21">
        <f>EXP(-LN(2)/2)*BR31+(1-EXP(-LN(2)/2))/(LN(2)/2)*BL32*BO32*VLOOKUP('Données projet'!$B$11,Paramètres!$A$1:$I$89,3,0)*0.475*44/12</f>
        <v>0.43388011334802251</v>
      </c>
      <c r="BS32" s="22">
        <f t="shared" si="9"/>
        <v>4.4511027372314036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13.3</v>
      </c>
      <c r="BY32" s="12">
        <f>IF('Données projet'!$A$114&gt;35,BY31+BX32-CG31,IF(A32&lt;'Données projet'!$A$114,$BV$205^A32,IF(A32='Données projet'!$A$114,'Données projet'!$B$114,BY31+BX32-CG31)))</f>
        <v>186.70000000000005</v>
      </c>
      <c r="BZ32" s="13">
        <f>BY32*VLOOKUP('Données projet'!$B$12,Paramètres!$A$1:$I$89,3,0)*VLOOKUP('Données projet'!$B$12,Paramètres!$A$1:$I$89,5,0)</f>
        <v>111.64660000000003</v>
      </c>
      <c r="CA32" s="13">
        <f t="shared" si="39"/>
        <v>29.718600259496139</v>
      </c>
      <c r="CB32" s="20">
        <f t="shared" si="10"/>
        <v>246.21105711862251</v>
      </c>
      <c r="CC32" s="59">
        <f t="shared" si="11"/>
        <v>539.54439045195579</v>
      </c>
      <c r="CD32" s="59">
        <f ca="1">AVERAGE(OFFSET($CC$3,0,0,'Données projet'!$E$12+1,1))-AVERAGE(OFFSET($H$3,0,0,'Données projet'!$E$12+1,1))</f>
        <v>270.30888762640245</v>
      </c>
      <c r="CE32" s="59">
        <f t="shared" si="40"/>
        <v>202.23783851977691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2.7704983612988818</v>
      </c>
      <c r="CM32" s="21">
        <f>EXP(-LN(2)/2)*CM31+(1-EXP(-LN(2)/2))/(LN(2)/2)*CG32*CJ32*VLOOKUP('Données projet'!$B$12,Paramètres!$A$1:$I$89,3,0)*0.475*44/12</f>
        <v>0.29922766437794662</v>
      </c>
      <c r="CN32" s="22">
        <f t="shared" si="12"/>
        <v>3.0697260256768284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14.5</v>
      </c>
      <c r="CT32" s="12">
        <f>IF('Données projet'!$A$140&gt;35,CT31+CS32-DB31,IF(A32&lt;'Données projet'!$A$140,$CQ$205^A32,IF(A32='Données projet'!$A$140,'Données projet'!$B$140,CT31+CS32-DB31)))</f>
        <v>197.5</v>
      </c>
      <c r="CU32" s="17">
        <f>CT32*VLOOKUP('Données projet'!$B$13,Paramètres!$A$1:$I$89,3,0)*VLOOKUP('Données projet'!$B$13,Paramètres!$A$1:$I$89,5,0)</f>
        <v>132.483</v>
      </c>
      <c r="CV32" s="13">
        <f t="shared" si="41"/>
        <v>34.569474427459426</v>
      </c>
      <c r="CW32" s="20">
        <f t="shared" si="13"/>
        <v>290.94972629449177</v>
      </c>
      <c r="CX32" s="59">
        <f t="shared" si="14"/>
        <v>584.28305962782508</v>
      </c>
      <c r="CY32" s="59">
        <f ca="1">AVERAGE(OFFSET($CX$3,0,0,'Données projet'!$E$13+1,1))-AVERAGE(OFFSET($H$3,0,0,'Données projet'!$E$13+1,1))</f>
        <v>207.93042467236967</v>
      </c>
      <c r="CZ32" s="59">
        <f t="shared" si="42"/>
        <v>250.70954318710835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5.1091268874614766</v>
      </c>
      <c r="DH32" s="21">
        <f>EXP(-LN(2)/2)*DH31+(1-EXP(-LN(2)/2))/(LN(2)/2)*DB32*DE32*VLOOKUP('Données projet'!$B$13,Paramètres!$A$1:$I$89,3,0)*0.475*44/12</f>
        <v>0.46851896797438286</v>
      </c>
      <c r="DI32" s="22">
        <f t="shared" si="15"/>
        <v>5.5776458554358594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12.2</v>
      </c>
      <c r="DO32" s="12">
        <f>IF('Données projet'!$A$166&gt;35,DO31+DN32-DW31,IF(A32&lt;'Données projet'!$A$166,$DL$205^A32,IF(A32='Données projet'!$A$166,'Données projet'!$B$166,DO31+DN32-DW31)))</f>
        <v>161.79999999999998</v>
      </c>
      <c r="DP32" s="17">
        <f>DO32*VLOOKUP('Données projet'!$B$14,Paramètres!$A$1:$I$89,3,0)*VLOOKUP('Données projet'!$B$14,Paramètres!$A$1:$I$89,5,0)</f>
        <v>108.53543999999999</v>
      </c>
      <c r="DQ32" s="13">
        <f t="shared" si="43"/>
        <v>28.985654095898287</v>
      </c>
      <c r="DR32" s="20">
        <f t="shared" si="16"/>
        <v>239.51590555035622</v>
      </c>
      <c r="DS32" s="59">
        <f t="shared" si="17"/>
        <v>532.84923888368951</v>
      </c>
      <c r="DT32" s="59">
        <f ca="1">AVERAGE(OFFSET($DS$3,0,0,'Données projet'!$E$14+1,1))-AVERAGE(OFFSET($H$3,0,0,'Données projet'!$E$14+1,1))</f>
        <v>156.63226020379989</v>
      </c>
      <c r="DU32" s="59">
        <f t="shared" si="44"/>
        <v>196.0481096619543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3.2789918829976634</v>
      </c>
      <c r="EC32" s="21">
        <f>EXP(-LN(2)/2)*EC31+(1-EXP(-LN(2)/2))/(LN(2)/2)*DW32*DZ32*VLOOKUP('Données projet'!$B$14,Paramètres!$A$1:$I$89,3,0)*0.475*44/12</f>
        <v>0.30069127795370842</v>
      </c>
      <c r="ED32" s="22">
        <f t="shared" si="18"/>
        <v>3.579683160951372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2.9235042735042733</v>
      </c>
      <c r="EJ32" s="12">
        <f>IF('Données projet'!$A$192&gt;35,EJ31+EI32-ER31,IF(A32&lt;'Données projet'!$A$192,$EG$205^A32,IF(A32='Données projet'!$A$192,'Données projet'!$B$192,EJ31+EI32-ER31)))</f>
        <v>75.55400457975604</v>
      </c>
      <c r="EK32" s="17">
        <f>EJ32*VLOOKUP('Données projet'!$B$15,Paramètres!$A$1:$I$89,3,0)*VLOOKUP('Données projet'!$B$15,Paramètres!$A$1:$I$89,5,0)</f>
        <v>76.611760643872628</v>
      </c>
      <c r="EL32" s="13">
        <f t="shared" si="45"/>
        <v>21.306667002338269</v>
      </c>
      <c r="EM32" s="20">
        <f t="shared" si="19"/>
        <v>170.54126148381732</v>
      </c>
      <c r="EN32" s="59">
        <f t="shared" si="20"/>
        <v>463.87459481715064</v>
      </c>
      <c r="EO32" s="59">
        <f ca="1">AVERAGE(OFFSET($EN$3,0,0,'Données projet'!$E$15+1,1))-AVERAGE(OFFSET($H$3,0,0,'Données projet'!$E$15+1,1))</f>
        <v>190.21499310415584</v>
      </c>
      <c r="EP32" s="59">
        <f t="shared" si="46"/>
        <v>136.15730566500173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1.7625000000000004</v>
      </c>
      <c r="FE32" s="12">
        <f>IF('Données projet'!$A$218&gt;35,FE31+FD32-FM31,IF(A32&lt;'Données projet'!$A$218,$FB$205^A32,IF(A32='Données projet'!$A$218,'Données projet'!$B$218,FE31+FD32-FM31)))</f>
        <v>39.779166666666676</v>
      </c>
      <c r="FF32" s="17">
        <f>FE32*VLOOKUP('Données projet'!$B$16,Paramètres!$A$1:$I$89,3,0)*VLOOKUP('Données projet'!$B$16,Paramètres!$A$1:$I$89,5,0)</f>
        <v>45.825600000000009</v>
      </c>
      <c r="FG32" s="13">
        <f t="shared" si="47"/>
        <v>13.530294046740165</v>
      </c>
      <c r="FH32" s="20">
        <f t="shared" si="22"/>
        <v>103.37818213140581</v>
      </c>
      <c r="FI32" s="59">
        <f t="shared" si="23"/>
        <v>396.71151546473914</v>
      </c>
      <c r="FJ32" s="59">
        <f ca="1">AVERAGE(OFFSET($FI$3,0,0,'Données projet'!$E$16+1,1))-AVERAGE(OFFSET($H$3,0,0,'Données projet'!$E$16+1,1))</f>
        <v>14.847345852478327</v>
      </c>
      <c r="FK32" s="59">
        <f t="shared" si="48"/>
        <v>46.764428272166299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0.78359102960474303</v>
      </c>
      <c r="FS32" s="21">
        <f>EXP(-LN(2)/2)*FS31+(1-EXP(-LN(2)/2))/(LN(2)/2)*FM32*FP32*VLOOKUP('Données projet'!$B$16,Paramètres!$A$1:$I$89,3,0)*0.475*44/12</f>
        <v>6.3362271050683386E-2</v>
      </c>
      <c r="FT32" s="22">
        <f t="shared" si="24"/>
        <v>0.8469533006554264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536.60659480297181</v>
      </c>
      <c r="S33" s="59">
        <f ca="1">AVERAGE(OFFSET($R$3,0,0,'Données projet'!$E$9+1,1))-AVERAGE(OFFSET($H$3,0,0,'Données projet'!$E$9+1,1))</f>
        <v>221.7429870520005</v>
      </c>
      <c r="T33" s="59">
        <f t="shared" si="34"/>
        <v>182.2029938397186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212</v>
      </c>
      <c r="AG33" s="12">
        <f>VLOOKUP(A33,'Données projet'!$A$61:$I$81,9,0)</f>
        <v>14.5</v>
      </c>
      <c r="AH33" s="12">
        <f t="array" ref="AH33">INDEX(AG:AG,MIN(IF(ISNUMBER(AG33:AG229),ROW(AG33:AG229),"")))</f>
        <v>14.5</v>
      </c>
      <c r="AI33" s="13">
        <f>IF('Données projet'!$A$62&gt;35,AI32+AH33-AQ32,IF(A33&lt;'Données projet'!$A$62,$AF$205^A33,IF(A33='Données projet'!$A$62,'Données projet'!$B$62,AI32+AH33-AQ32)))</f>
        <v>212</v>
      </c>
      <c r="AJ33" s="13">
        <f>AI33*VLOOKUP('Données projet'!$B$10,Paramètres!$A$1:$I$89,3,0)*VLOOKUP('Données projet'!$B$10,Paramètres!$A$1:$I$89,5,0)</f>
        <v>168.66720000000001</v>
      </c>
      <c r="AK33" s="13">
        <f t="shared" si="35"/>
        <v>42.791384119459089</v>
      </c>
      <c r="AL33" s="20">
        <f t="shared" si="4"/>
        <v>368.29036734139123</v>
      </c>
      <c r="AM33" s="59">
        <f t="shared" si="5"/>
        <v>661.62370067472455</v>
      </c>
      <c r="AN33" s="59">
        <f ca="1">AVERAGE(OFFSET($AM$3,0,0,'Données projet'!$E$10+1,1))-AVERAGE(OFFSET($H$3,0,0,'Données projet'!$E$10+1,1))</f>
        <v>260.20517190557814</v>
      </c>
      <c r="AO33" s="59">
        <f t="shared" si="36"/>
        <v>307.22009971147133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5.3000000000000005E-2</v>
      </c>
      <c r="AS33" s="16">
        <f>IF(ISNA(VLOOKUP(A33,'Données projet'!$A$61:$I$81,6,0)),0%,VLOOKUP(A33,'Données projet'!$A$61:$I$81,6,0)*VLOOKUP('Données projet'!$B$10,Paramètres!$A$1:$I$89,7,0))</f>
        <v>0.23850000000000002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3.2629903879783009</v>
      </c>
      <c r="AV33" s="21">
        <f>EXP(-LN(2)/25)*AV32+(1-EXP(-LN(2)/25))/(LN(2)/25)*Calculateur!AQ33*Calculateur!AS33*VLOOKUP('Données projet'!$B$10,Paramètres!$A$1:$I$89,3,0)*0.475*44/12</f>
        <v>20.519602724797</v>
      </c>
      <c r="AW33" s="21">
        <f>EXP(-LN(2)/2)*AW32+(1-EXP(-LN(2)/2))/(LN(2)/2)*AQ33*AT33*VLOOKUP('Données projet'!$B$10,Paramètres!$A$1:$I$89,3,0)*0.475*44/12</f>
        <v>24.039034252757283</v>
      </c>
      <c r="AX33" s="21">
        <f t="shared" si="6"/>
        <v>47.821627365532585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230</v>
      </c>
      <c r="BB33" s="12">
        <f>VLOOKUP(A33,'Données projet'!$A$87:$I$107,9,0)</f>
        <v>15.3</v>
      </c>
      <c r="BC33" s="12">
        <f t="array" ref="BC33">INDEX(BB:BB,MIN(IF(ISNUMBER(BB33:BB229),ROW(BB33:BB229),"")))</f>
        <v>15.3</v>
      </c>
      <c r="BD33" s="12">
        <f>IF('Données projet'!$A$88&gt;35,BD32+BC33-BL32,IF(A33&lt;'Données projet'!$A$88,$BA$205^A33,IF(A33='Données projet'!$A$88,'Données projet'!$B$88,BD32+BC33-BL32)))</f>
        <v>230.00000000000006</v>
      </c>
      <c r="BE33" s="13">
        <f>BD33*VLOOKUP('Données projet'!$B$11,Paramètres!$A$1:$I$89,3,0)*VLOOKUP('Données projet'!$B$11,Paramètres!$A$1:$I$89,5,0)</f>
        <v>137.54000000000005</v>
      </c>
      <c r="BF33" s="13">
        <f t="shared" si="37"/>
        <v>35.73287391561098</v>
      </c>
      <c r="BG33" s="20">
        <f t="shared" si="7"/>
        <v>301.78358873635585</v>
      </c>
      <c r="BH33" s="59">
        <f t="shared" si="8"/>
        <v>595.11692206968917</v>
      </c>
      <c r="BI33" s="59">
        <f ca="1">AVERAGE(OFFSET($BH$3,0,0,'Données projet'!$E$11+1,1))-AVERAGE(OFFSET($H$3,0,0,'Données projet'!$E$11+1,1))</f>
        <v>316.58509520829671</v>
      </c>
      <c r="BJ33" s="59">
        <f t="shared" si="38"/>
        <v>240.71332110643596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71</v>
      </c>
      <c r="BM33" s="16">
        <f>IF(ISNA(VLOOKUP(A33,'Données projet'!$A$87:$I$107,5,0)),0%,VLOOKUP(A33,'Données projet'!$A$87:$I$107,5,0)*VLOOKUP('Données projet'!$B$11,Paramètres!$A$1:$I$89,7,0))</f>
        <v>4.5000000000000005E-2</v>
      </c>
      <c r="BN33" s="16">
        <f>IF(ISNA(VLOOKUP(A33,'Données projet'!$A$87:$I$107,6,0)),0%,VLOOKUP(A33,'Données projet'!$A$87:$I$107,6,0)*VLOOKUP('Données projet'!$B$11,Paramètres!$A$1:$I$89,7,0))</f>
        <v>0.20250000000000001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2.5345473142073405</v>
      </c>
      <c r="BQ33" s="21">
        <f>EXP(-LN(2)/25)*BQ32+(1-EXP(-LN(2)/25))/(LN(2)/25)*Calculateur!BL33*Calculateur!BN33*VLOOKUP('Données projet'!$B$11,Paramètres!$A$1:$I$89,3,0)*0.475*44/12</f>
        <v>15.267926720595529</v>
      </c>
      <c r="BR33" s="21">
        <f>EXP(-LN(2)/2)*BR32+(1-EXP(-LN(2)/2))/(LN(2)/2)*BL33*BO33*VLOOKUP('Données projet'!$B$11,Paramètres!$A$1:$I$89,3,0)*0.475*44/12</f>
        <v>21.939343070140783</v>
      </c>
      <c r="BS33" s="22">
        <f t="shared" si="9"/>
        <v>39.741817104943649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200</v>
      </c>
      <c r="BW33" s="12">
        <f>VLOOKUP(A33,'Données projet'!$A$113:$I$133,9,0)</f>
        <v>13.3</v>
      </c>
      <c r="BX33" s="12">
        <f t="array" ref="BX33">INDEX(BW:BW,MIN(IF(ISNUMBER(BW33:BW229),ROW(BW33:BW229),"")))</f>
        <v>13.3</v>
      </c>
      <c r="BY33" s="12">
        <f>IF('Données projet'!$A$114&gt;35,BY32+BX33-CG32,IF(A33&lt;'Données projet'!$A$114,$BV$205^A33,IF(A33='Données projet'!$A$114,'Données projet'!$B$114,BY32+BX33-CG32)))</f>
        <v>200.00000000000006</v>
      </c>
      <c r="BZ33" s="13">
        <f>BY33*VLOOKUP('Données projet'!$B$12,Paramètres!$A$1:$I$89,3,0)*VLOOKUP('Données projet'!$B$12,Paramètres!$A$1:$I$89,5,0)</f>
        <v>119.60000000000004</v>
      </c>
      <c r="CA33" s="13">
        <f t="shared" si="39"/>
        <v>31.581687741452708</v>
      </c>
      <c r="CB33" s="20">
        <f t="shared" si="10"/>
        <v>263.30810614969687</v>
      </c>
      <c r="CC33" s="59">
        <f t="shared" si="11"/>
        <v>556.64143948303013</v>
      </c>
      <c r="CD33" s="59">
        <f ca="1">AVERAGE(OFFSET($CC$3,0,0,'Données projet'!$E$12+1,1))-AVERAGE(OFFSET($H$3,0,0,'Données projet'!$E$12+1,1))</f>
        <v>270.30888762640245</v>
      </c>
      <c r="CE33" s="59">
        <f t="shared" si="40"/>
        <v>202.23783851977691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60</v>
      </c>
      <c r="CH33" s="16">
        <f>IF(ISNA(VLOOKUP(A33,'Données projet'!$A$113:$I$133,5,0)),0%,VLOOKUP(A33,'Données projet'!$A$113:$I$133,5,0)*VLOOKUP('Données projet'!$B$12,Paramètres!$A$1:$I$89,7,0))</f>
        <v>4.5000000000000005E-2</v>
      </c>
      <c r="CI33" s="16">
        <f>IF(ISNA(VLOOKUP(A33,'Données projet'!$A$113:$I$133,6,0)),0%,VLOOKUP(A33,'Données projet'!$A$113:$I$133,6,0)*VLOOKUP('Données projet'!$B$12,Paramètres!$A$1:$I$89,7,0))</f>
        <v>0.20250000000000001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2.1418709697526821</v>
      </c>
      <c r="CL33" s="21">
        <f>EXP(-LN(2)/25)*CL32+(1-EXP(-LN(2)/25))/(LN(2)/25)*Calculateur!CG33*Calculateur!CI33*VLOOKUP('Données projet'!$B$12,Paramètres!$A$1:$I$89,3,0)*0.475*44/12</f>
        <v>12.295208172240732</v>
      </c>
      <c r="CM33" s="21">
        <f>EXP(-LN(2)/2)*CM32+(1-EXP(-LN(2)/2))/(LN(2)/2)*CG33*CJ33*VLOOKUP('Données projet'!$B$12,Paramètres!$A$1:$I$89,3,0)*0.475*44/12</f>
        <v>18.49260858646258</v>
      </c>
      <c r="CN33" s="22">
        <f t="shared" si="12"/>
        <v>32.929687728455995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212</v>
      </c>
      <c r="CR33" s="12">
        <f>VLOOKUP(A33,'Données projet'!$A$139:$I$159,9,0)</f>
        <v>14.5</v>
      </c>
      <c r="CS33" s="12">
        <f t="array" ref="CS33">INDEX(CR:CR,MIN(IF(ISNUMBER(CR33:CR229),ROW(CR33:CR229),"")))</f>
        <v>14.5</v>
      </c>
      <c r="CT33" s="12">
        <f>IF('Données projet'!$A$140&gt;35,CT32+CS33-DB32,IF(A33&lt;'Données projet'!$A$140,$CQ$205^A33,IF(A33='Données projet'!$A$140,'Données projet'!$B$140,CT32+CS33-DB32)))</f>
        <v>212</v>
      </c>
      <c r="CU33" s="17">
        <f>CT33*VLOOKUP('Données projet'!$B$13,Paramètres!$A$1:$I$89,3,0)*VLOOKUP('Données projet'!$B$13,Paramètres!$A$1:$I$89,5,0)</f>
        <v>142.20959999999999</v>
      </c>
      <c r="CV33" s="13">
        <f t="shared" si="41"/>
        <v>36.802731569585646</v>
      </c>
      <c r="CW33" s="20">
        <f t="shared" si="13"/>
        <v>311.77981081702825</v>
      </c>
      <c r="CX33" s="59">
        <f t="shared" si="14"/>
        <v>605.11314415036156</v>
      </c>
      <c r="CY33" s="59">
        <f ca="1">AVERAGE(OFFSET($CX$3,0,0,'Données projet'!$E$13+1,1))-AVERAGE(OFFSET($H$3,0,0,'Données projet'!$E$13+1,1))</f>
        <v>207.93042467236967</v>
      </c>
      <c r="CZ33" s="59">
        <f t="shared" si="42"/>
        <v>250.70954318710835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70</v>
      </c>
      <c r="DC33" s="16">
        <f>IF(ISNA(VLOOKUP(A33,'Données projet'!$A$139:$I$159,5,0)),0%,VLOOKUP(A33,'Données projet'!$A$139:$I$159,5,0)*VLOOKUP('Données projet'!$B$13,Paramètres!$A$1:$I$89,7,0))</f>
        <v>5.3000000000000005E-2</v>
      </c>
      <c r="DD33" s="16">
        <f>IF(ISNA(VLOOKUP(A33,'Données projet'!$A$139:$I$159,6,0)),0%,VLOOKUP(A33,'Données projet'!$A$139:$I$159,6,0)*VLOOKUP('Données projet'!$B$13,Paramètres!$A$1:$I$89,7,0))</f>
        <v>0.23850000000000002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2.7511487584915084</v>
      </c>
      <c r="DG33" s="21">
        <f>EXP(-LN(2)/25)*DG32+(1-EXP(-LN(2)/25))/(LN(2)/25)*Calculateur!DB33*Calculateur!DD33*VLOOKUP('Données projet'!$B$13,Paramètres!$A$1:$I$89,3,0)*0.475*44/12</f>
        <v>17.300841513064139</v>
      </c>
      <c r="DH33" s="21">
        <f>EXP(-LN(2)/2)*DH32+(1-EXP(-LN(2)/2))/(LN(2)/2)*DB33*DE33*VLOOKUP('Données projet'!$B$13,Paramètres!$A$1:$I$89,3,0)*0.475*44/12</f>
        <v>20.268205350363985</v>
      </c>
      <c r="DI33" s="22">
        <f t="shared" si="15"/>
        <v>40.32019562191963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174</v>
      </c>
      <c r="DM33" s="12">
        <f>VLOOKUP(A33,'Données projet'!$A$165:$I$185,9,0)</f>
        <v>12.2</v>
      </c>
      <c r="DN33" s="12">
        <f t="array" ref="DN33">INDEX(DM:DM,MIN(IF(ISNUMBER(DM33:DM229),ROW(DM33:DM229),"")))</f>
        <v>12.2</v>
      </c>
      <c r="DO33" s="12">
        <f>IF('Données projet'!$A$166&gt;35,DO32+DN33-DW32,IF(A33&lt;'Données projet'!$A$166,$DL$205^A33,IF(A33='Données projet'!$A$166,'Données projet'!$B$166,DO32+DN33-DW32)))</f>
        <v>173.99999999999997</v>
      </c>
      <c r="DP33" s="17">
        <f>DO33*VLOOKUP('Données projet'!$B$14,Paramètres!$A$1:$I$89,3,0)*VLOOKUP('Données projet'!$B$14,Paramètres!$A$1:$I$89,5,0)</f>
        <v>116.71919999999999</v>
      </c>
      <c r="DQ33" s="13">
        <f t="shared" si="43"/>
        <v>30.908576435525887</v>
      </c>
      <c r="DR33" s="20">
        <f t="shared" si="16"/>
        <v>257.1183772918742</v>
      </c>
      <c r="DS33" s="59">
        <f t="shared" si="17"/>
        <v>550.45171062520751</v>
      </c>
      <c r="DT33" s="59">
        <f ca="1">AVERAGE(OFFSET($DS$3,0,0,'Données projet'!$E$14+1,1))-AVERAGE(OFFSET($H$3,0,0,'Données projet'!$E$14+1,1))</f>
        <v>156.63226020379989</v>
      </c>
      <c r="DU33" s="59">
        <f t="shared" si="44"/>
        <v>196.0481096619543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56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0.13250000000000001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8.6699605526413386</v>
      </c>
      <c r="EC33" s="21">
        <f>EXP(-LN(2)/2)*EC32+(1-EXP(-LN(2)/2))/(LN(2)/2)*DW33*DZ33*VLOOKUP('Données projet'!$B$14,Paramètres!$A$1:$I$89,3,0)*0.475*44/12</f>
        <v>9.0734708021268382</v>
      </c>
      <c r="ED33" s="22">
        <f t="shared" si="18"/>
        <v>17.743431354768177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87.705128205128204</v>
      </c>
      <c r="EH33" s="12">
        <f>VLOOKUP(A33,'Données projet'!$A$191:$I$211,9,0)</f>
        <v>2.9235042735042733</v>
      </c>
      <c r="EI33" s="12">
        <f t="array" ref="EI33">INDEX(EH:EH,MIN(IF(ISNUMBER(EH33:EH229),ROW(EH33:EH229),"")))</f>
        <v>2.9235042735042733</v>
      </c>
      <c r="EJ33" s="12">
        <f>IF('Données projet'!$A$192&gt;35,EJ32+EI33-ER32,IF(A33&lt;'Données projet'!$A$192,$EG$205^A33,IF(A33='Données projet'!$A$192,'Données projet'!$B$192,EJ32+EI33-ER32)))</f>
        <v>87.705128205128204</v>
      </c>
      <c r="EK33" s="17">
        <f>EJ33*VLOOKUP('Données projet'!$B$15,Paramètres!$A$1:$I$89,3,0)*VLOOKUP('Données projet'!$B$15,Paramètres!$A$1:$I$89,5,0)</f>
        <v>88.933000000000007</v>
      </c>
      <c r="EL33" s="13">
        <f t="shared" si="45"/>
        <v>24.307711939667918</v>
      </c>
      <c r="EM33" s="20">
        <f t="shared" si="19"/>
        <v>197.22757329492163</v>
      </c>
      <c r="EN33" s="59">
        <f t="shared" si="20"/>
        <v>490.56090662825494</v>
      </c>
      <c r="EO33" s="59">
        <f ca="1">AVERAGE(OFFSET($EN$3,0,0,'Données projet'!$E$15+1,1))-AVERAGE(OFFSET($H$3,0,0,'Données projet'!$E$15+1,1))</f>
        <v>190.21499310415584</v>
      </c>
      <c r="EP33" s="59">
        <f t="shared" si="46"/>
        <v>136.15730566500173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41.541666666666671</v>
      </c>
      <c r="FC33" s="12">
        <f>VLOOKUP(A33,'Données projet'!$A$217:$I$237,9,0)</f>
        <v>1.7625000000000004</v>
      </c>
      <c r="FD33" s="12">
        <f t="array" ref="FD33">INDEX(FC:FC,MIN(IF(ISNUMBER(FC33:FC229),ROW(FC33:FC229),"")))</f>
        <v>1.7625000000000004</v>
      </c>
      <c r="FE33" s="12">
        <f>IF('Données projet'!$A$218&gt;35,FE32+FD33-FM32,IF(A33&lt;'Données projet'!$A$218,$FB$205^A33,IF(A33='Données projet'!$A$218,'Données projet'!$B$218,FE32+FD33-FM32)))</f>
        <v>41.541666666666679</v>
      </c>
      <c r="FF33" s="17">
        <f>FE33*VLOOKUP('Données projet'!$B$16,Paramètres!$A$1:$I$89,3,0)*VLOOKUP('Données projet'!$B$16,Paramètres!$A$1:$I$89,5,0)</f>
        <v>47.856000000000009</v>
      </c>
      <c r="FG33" s="13">
        <f t="shared" si="47"/>
        <v>14.058657934212153</v>
      </c>
      <c r="FH33" s="20">
        <f t="shared" si="22"/>
        <v>107.83469590208618</v>
      </c>
      <c r="FI33" s="59">
        <f t="shared" si="23"/>
        <v>401.16802923541951</v>
      </c>
      <c r="FJ33" s="59">
        <f ca="1">AVERAGE(OFFSET($FI$3,0,0,'Données projet'!$E$16+1,1))-AVERAGE(OFFSET($H$3,0,0,'Données projet'!$E$16+1,1))</f>
        <v>14.847345852478327</v>
      </c>
      <c r="FK33" s="59">
        <f t="shared" si="48"/>
        <v>46.764428272166299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5.458333333333333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0.22500000000000001</v>
      </c>
      <c r="FP33" s="16">
        <f>IF(ISNA(VLOOKUP(A33,'Données projet'!$A$217:$I$237,7,0)),0%,VLOOKUP(A33,'Données projet'!$A$217:$I$237,7,0))</f>
        <v>0.5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1.7747735706757681</v>
      </c>
      <c r="FS33" s="21">
        <f>EXP(-LN(2)/2)*FS32+(1-EXP(-LN(2)/2))/(LN(2)/2)*FM33*FP33*VLOOKUP('Données projet'!$B$16,Paramètres!$A$1:$I$89,3,0)*0.475*44/12</f>
        <v>1.9729954942188892</v>
      </c>
      <c r="FT33" s="22">
        <f t="shared" si="24"/>
        <v>3.7477690648946576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8.0564102564102562</v>
      </c>
      <c r="N34" s="13">
        <f>IF('Données projet'!$A$36&gt;35,N33+M34-V33,IF(A34&lt;'Données projet'!$A$36,$K$205^A34,IF(A34='Données projet'!$A$36,'Données projet'!$B$36,N33+M34-V33)))</f>
        <v>129.94102564102562</v>
      </c>
      <c r="O34" s="13">
        <f>N34*VLOOKUP('Données projet'!$B$9,Paramètres!$A$1:$I$89,3,0)*VLOOKUP('Données projet'!$B$9,Paramètres!$A$1:$I$89,5,0)</f>
        <v>117.57063999999997</v>
      </c>
      <c r="P34" s="13">
        <f t="shared" si="33"/>
        <v>31.107718284302781</v>
      </c>
      <c r="Q34" s="20">
        <f t="shared" si="2"/>
        <v>258.94814067849393</v>
      </c>
      <c r="R34" s="59">
        <f t="shared" si="0"/>
        <v>552.28147401182719</v>
      </c>
      <c r="S34" s="59">
        <f ca="1">AVERAGE(OFFSET($R$3,0,0,'Données projet'!$E$9+1,1))-AVERAGE(OFFSET($H$3,0,0,'Données projet'!$E$9+1,1))</f>
        <v>221.7429870520005</v>
      </c>
      <c r="T34" s="59">
        <f t="shared" si="34"/>
        <v>182.2029938397186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12.1</v>
      </c>
      <c r="AI34" s="13">
        <f>IF('Données projet'!$A$62&gt;35,AI33+AH34-AQ33,IF(A34&lt;'Données projet'!$A$62,$AF$205^A34,IF(A34='Données projet'!$A$62,'Données projet'!$B$62,AI33+AH34-AQ33)))</f>
        <v>154.1</v>
      </c>
      <c r="AJ34" s="13">
        <f>AI34*VLOOKUP('Données projet'!$B$10,Paramètres!$A$1:$I$89,3,0)*VLOOKUP('Données projet'!$B$10,Paramètres!$A$1:$I$89,5,0)</f>
        <v>122.60195999999999</v>
      </c>
      <c r="AK34" s="13">
        <f t="shared" si="35"/>
        <v>32.281104011674643</v>
      </c>
      <c r="AL34" s="20">
        <f t="shared" si="4"/>
        <v>269.75466982033333</v>
      </c>
      <c r="AM34" s="59">
        <f t="shared" si="5"/>
        <v>563.0880031536667</v>
      </c>
      <c r="AN34" s="59">
        <f ca="1">AVERAGE(OFFSET($AM$3,0,0,'Données projet'!$E$10+1,1))-AVERAGE(OFFSET($H$3,0,0,'Données projet'!$E$10+1,1))</f>
        <v>260.20517190557814</v>
      </c>
      <c r="AO34" s="59">
        <f t="shared" si="36"/>
        <v>307.22009971147133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3.1990051366976644</v>
      </c>
      <c r="AV34" s="21">
        <f>EXP(-LN(2)/25)*AV33+(1-EXP(-LN(2)/25))/(LN(2)/25)*Calculateur!AQ34*Calculateur!AS34*VLOOKUP('Données projet'!$B$10,Paramètres!$A$1:$I$89,3,0)*0.475*44/12</f>
        <v>19.958493109208415</v>
      </c>
      <c r="AW34" s="21">
        <f>EXP(-LN(2)/2)*AW33+(1-EXP(-LN(2)/2))/(LN(2)/2)*AQ34*AT34*VLOOKUP('Données projet'!$B$10,Paramètres!$A$1:$I$89,3,0)*0.475*44/12</f>
        <v>16.998164133300367</v>
      </c>
      <c r="AX34" s="21">
        <f t="shared" si="6"/>
        <v>40.155662379206447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18.2</v>
      </c>
      <c r="BD34" s="12">
        <f>IF('Données projet'!$A$88&gt;35,BD33+BC34-BL33,IF(A34&lt;'Données projet'!$A$88,$BA$205^A34,IF(A34='Données projet'!$A$88,'Données projet'!$B$88,BD33+BC34-BL33)))</f>
        <v>177.20000000000005</v>
      </c>
      <c r="BE34" s="13">
        <f>BD34*VLOOKUP('Données projet'!$B$11,Paramètres!$A$1:$I$89,3,0)*VLOOKUP('Données projet'!$B$11,Paramètres!$A$1:$I$89,5,0)</f>
        <v>105.96560000000004</v>
      </c>
      <c r="BF34" s="13">
        <f t="shared" si="37"/>
        <v>28.378391242376729</v>
      </c>
      <c r="BG34" s="20">
        <f t="shared" si="7"/>
        <v>233.98245141380619</v>
      </c>
      <c r="BH34" s="59">
        <f t="shared" si="8"/>
        <v>527.31578474713956</v>
      </c>
      <c r="BI34" s="59">
        <f ca="1">AVERAGE(OFFSET($BH$3,0,0,'Données projet'!$E$11+1,1))-AVERAGE(OFFSET($H$3,0,0,'Données projet'!$E$11+1,1))</f>
        <v>316.58509520829671</v>
      </c>
      <c r="BJ34" s="59">
        <f t="shared" si="38"/>
        <v>240.71332110643596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2.4848463872969493</v>
      </c>
      <c r="BQ34" s="21">
        <f>EXP(-LN(2)/25)*BQ33+(1-EXP(-LN(2)/25))/(LN(2)/25)*Calculateur!BL34*Calculateur!BN34*VLOOKUP('Données projet'!$B$11,Paramètres!$A$1:$I$89,3,0)*0.475*44/12</f>
        <v>14.850424461515473</v>
      </c>
      <c r="BR34" s="21">
        <f>EXP(-LN(2)/2)*BR33+(1-EXP(-LN(2)/2))/(LN(2)/2)*BL34*BO34*VLOOKUP('Données projet'!$B$11,Paramètres!$A$1:$I$89,3,0)*0.475*44/12</f>
        <v>15.513458259674637</v>
      </c>
      <c r="BS34" s="22">
        <f t="shared" si="9"/>
        <v>32.848729108487056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15.7</v>
      </c>
      <c r="BY34" s="12">
        <f>IF('Données projet'!$A$114&gt;35,BY33+BX34-CG33,IF(A34&lt;'Données projet'!$A$114,$BV$205^A34,IF(A34='Données projet'!$A$114,'Données projet'!$B$114,BY33+BX34-CG33)))</f>
        <v>155.70000000000005</v>
      </c>
      <c r="BZ34" s="13">
        <f>BY34*VLOOKUP('Données projet'!$B$12,Paramètres!$A$1:$I$89,3,0)*VLOOKUP('Données projet'!$B$12,Paramètres!$A$1:$I$89,5,0)</f>
        <v>93.108600000000038</v>
      </c>
      <c r="CA34" s="13">
        <f t="shared" si="39"/>
        <v>25.313456376926009</v>
      </c>
      <c r="CB34" s="20">
        <f t="shared" si="10"/>
        <v>206.25174818981284</v>
      </c>
      <c r="CC34" s="59">
        <f t="shared" si="11"/>
        <v>499.58508152314619</v>
      </c>
      <c r="CD34" s="59">
        <f ca="1">AVERAGE(OFFSET($CC$3,0,0,'Données projet'!$E$12+1,1))-AVERAGE(OFFSET($H$3,0,0,'Données projet'!$E$12+1,1))</f>
        <v>270.30888762640245</v>
      </c>
      <c r="CE34" s="59">
        <f t="shared" si="40"/>
        <v>202.23783851977691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2.099870186448126</v>
      </c>
      <c r="CL34" s="21">
        <f>EXP(-LN(2)/25)*CL33+(1-EXP(-LN(2)/25))/(LN(2)/25)*Calculateur!CG34*Calculateur!CI34*VLOOKUP('Données projet'!$B$12,Paramètres!$A$1:$I$89,3,0)*0.475*44/12</f>
        <v>11.958995058193914</v>
      </c>
      <c r="CM34" s="21">
        <f>EXP(-LN(2)/2)*CM33+(1-EXP(-LN(2)/2))/(LN(2)/2)*CG34*CJ34*VLOOKUP('Données projet'!$B$12,Paramètres!$A$1:$I$89,3,0)*0.475*44/12</f>
        <v>13.076248933316267</v>
      </c>
      <c r="CN34" s="22">
        <f t="shared" si="12"/>
        <v>27.135114177958307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12.1</v>
      </c>
      <c r="CT34" s="12">
        <f>IF('Données projet'!$A$140&gt;35,CT33+CS34-DB33,IF(A34&lt;'Données projet'!$A$140,$CQ$205^A34,IF(A34='Données projet'!$A$140,'Données projet'!$B$140,CT33+CS34-DB33)))</f>
        <v>154.1</v>
      </c>
      <c r="CU34" s="17">
        <f>CT34*VLOOKUP('Données projet'!$B$13,Paramètres!$A$1:$I$89,3,0)*VLOOKUP('Données projet'!$B$13,Paramètres!$A$1:$I$89,5,0)</f>
        <v>103.37027999999999</v>
      </c>
      <c r="CV34" s="13">
        <f t="shared" si="41"/>
        <v>27.763364755740294</v>
      </c>
      <c r="CW34" s="20">
        <f t="shared" si="13"/>
        <v>228.39109794958097</v>
      </c>
      <c r="CX34" s="59">
        <f t="shared" si="14"/>
        <v>521.72443128291434</v>
      </c>
      <c r="CY34" s="59">
        <f ca="1">AVERAGE(OFFSET($CX$3,0,0,'Données projet'!$E$13+1,1))-AVERAGE(OFFSET($H$3,0,0,'Données projet'!$E$13+1,1))</f>
        <v>207.93042467236967</v>
      </c>
      <c r="CZ34" s="59">
        <f t="shared" si="42"/>
        <v>250.70954318710835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2.6972004093725404</v>
      </c>
      <c r="DG34" s="21">
        <f>EXP(-LN(2)/25)*DG33+(1-EXP(-LN(2)/25))/(LN(2)/25)*Calculateur!DB34*Calculateur!DD34*VLOOKUP('Données projet'!$B$13,Paramètres!$A$1:$I$89,3,0)*0.475*44/12</f>
        <v>16.827749092077685</v>
      </c>
      <c r="DH34" s="21">
        <f>EXP(-LN(2)/2)*DH33+(1-EXP(-LN(2)/2))/(LN(2)/2)*DB34*DE34*VLOOKUP('Données projet'!$B$13,Paramètres!$A$1:$I$89,3,0)*0.475*44/12</f>
        <v>14.331785445723838</v>
      </c>
      <c r="DI34" s="22">
        <f t="shared" si="15"/>
        <v>33.856734947174061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10.199999999999999</v>
      </c>
      <c r="DO34" s="12">
        <f>IF('Données projet'!$A$166&gt;35,DO33+DN34-DW33,IF(A34&lt;'Données projet'!$A$166,$DL$205^A34,IF(A34='Données projet'!$A$166,'Données projet'!$B$166,DO33+DN34-DW33)))</f>
        <v>128.19999999999996</v>
      </c>
      <c r="DP34" s="17">
        <f>DO34*VLOOKUP('Données projet'!$B$14,Paramètres!$A$1:$I$89,3,0)*VLOOKUP('Données projet'!$B$14,Paramètres!$A$1:$I$89,5,0)</f>
        <v>85.996559999999974</v>
      </c>
      <c r="DQ34" s="13">
        <f t="shared" si="43"/>
        <v>23.597149628000455</v>
      </c>
      <c r="DR34" s="20">
        <f t="shared" si="16"/>
        <v>190.87571093543406</v>
      </c>
      <c r="DS34" s="59">
        <f t="shared" si="17"/>
        <v>484.20904426876734</v>
      </c>
      <c r="DT34" s="59">
        <f ca="1">AVERAGE(OFFSET($DS$3,0,0,'Données projet'!$E$14+1,1))-AVERAGE(OFFSET($H$3,0,0,'Données projet'!$E$14+1,1))</f>
        <v>156.63226020379989</v>
      </c>
      <c r="DU34" s="59">
        <f t="shared" si="44"/>
        <v>196.0481096619543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8.4328800253959511</v>
      </c>
      <c r="EC34" s="21">
        <f>EXP(-LN(2)/2)*EC33+(1-EXP(-LN(2)/2))/(LN(2)/2)*DW34*DZ34*VLOOKUP('Données projet'!$B$14,Paramètres!$A$1:$I$89,3,0)*0.475*44/12</f>
        <v>6.4159127330820303</v>
      </c>
      <c r="ED34" s="22">
        <f t="shared" si="18"/>
        <v>14.84879275847798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5.3369963369963358</v>
      </c>
      <c r="EJ34" s="12">
        <f>IF('Données projet'!$A$192&gt;35,EJ33+EI34-ER33,IF(A34&lt;'Données projet'!$A$192,$EG$205^A34,IF(A34='Données projet'!$A$192,'Données projet'!$B$192,EJ33+EI34-ER33)))</f>
        <v>93.04212454212454</v>
      </c>
      <c r="EK34" s="17">
        <f>EJ34*VLOOKUP('Données projet'!$B$15,Paramètres!$A$1:$I$89,3,0)*VLOOKUP('Données projet'!$B$15,Paramètres!$A$1:$I$89,5,0)</f>
        <v>94.344714285714289</v>
      </c>
      <c r="EL34" s="13">
        <f t="shared" si="45"/>
        <v>25.610173041635999</v>
      </c>
      <c r="EM34" s="20">
        <f t="shared" si="19"/>
        <v>208.92142876180176</v>
      </c>
      <c r="EN34" s="59">
        <f t="shared" si="20"/>
        <v>502.25476209513511</v>
      </c>
      <c r="EO34" s="59">
        <f ca="1">AVERAGE(OFFSET($EN$3,0,0,'Données projet'!$E$15+1,1))-AVERAGE(OFFSET($H$3,0,0,'Données projet'!$E$15+1,1))</f>
        <v>190.21499310415584</v>
      </c>
      <c r="EP34" s="59">
        <f t="shared" si="46"/>
        <v>136.15730566500173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1.6541666666666663</v>
      </c>
      <c r="FE34" s="12">
        <f>IF('Données projet'!$A$218&gt;35,FE33+FD34-FM33,IF(A34&lt;'Données projet'!$A$218,$FB$205^A34,IF(A34='Données projet'!$A$218,'Données projet'!$B$218,FE33+FD34-FM33)))</f>
        <v>37.737500000000011</v>
      </c>
      <c r="FF34" s="17">
        <f>FE34*VLOOKUP('Données projet'!$B$16,Paramètres!$A$1:$I$89,3,0)*VLOOKUP('Données projet'!$B$16,Paramètres!$A$1:$I$89,5,0)</f>
        <v>43.473600000000012</v>
      </c>
      <c r="FG34" s="13">
        <f t="shared" si="47"/>
        <v>12.914815597954821</v>
      </c>
      <c r="FH34" s="20">
        <f t="shared" si="22"/>
        <v>98.209823833104664</v>
      </c>
      <c r="FI34" s="59">
        <f t="shared" si="23"/>
        <v>391.54315716643799</v>
      </c>
      <c r="FJ34" s="59">
        <f ca="1">AVERAGE(OFFSET($FI$3,0,0,'Données projet'!$E$16+1,1))-AVERAGE(OFFSET($H$3,0,0,'Données projet'!$E$16+1,1))</f>
        <v>14.847345852478327</v>
      </c>
      <c r="FK34" s="59">
        <f t="shared" si="48"/>
        <v>46.764428272166299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1.7262422940543534</v>
      </c>
      <c r="FS34" s="21">
        <f>EXP(-LN(2)/2)*FS33+(1-EXP(-LN(2)/2))/(LN(2)/2)*FM34*FP34*VLOOKUP('Données projet'!$B$16,Paramètres!$A$1:$I$89,3,0)*0.475*44/12</f>
        <v>1.3951184932126803</v>
      </c>
      <c r="FT34" s="22">
        <f t="shared" si="24"/>
        <v>3.1213607872670339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8.0564102564102562</v>
      </c>
      <c r="N35" s="13">
        <f>IF('Données projet'!$A$36&gt;35,N34+M35-V34,IF(A35&lt;'Données projet'!$A$36,$K$205^A35,IF(A35='Données projet'!$A$36,'Données projet'!$B$36,N34+M35-V34)))</f>
        <v>137.99743589743588</v>
      </c>
      <c r="O35" s="13">
        <f>N35*VLOOKUP('Données projet'!$B$9,Paramètres!$A$1:$I$89,3,0)*VLOOKUP('Données projet'!$B$9,Paramètres!$A$1:$I$89,5,0)</f>
        <v>124.86007999999998</v>
      </c>
      <c r="P35" s="13">
        <f t="shared" si="33"/>
        <v>32.805900674075268</v>
      </c>
      <c r="Q35" s="20">
        <f t="shared" ref="Q35:Q66" si="53">(O35+P35)*0.475*44/12</f>
        <v>274.60158300734776</v>
      </c>
      <c r="R35" s="59">
        <f t="shared" si="0"/>
        <v>567.93491634068107</v>
      </c>
      <c r="S35" s="59">
        <f ca="1">AVERAGE(OFFSET($R$3,0,0,'Données projet'!$E$9+1,1))-AVERAGE(OFFSET($H$3,0,0,'Données projet'!$E$9+1,1))</f>
        <v>221.7429870520005</v>
      </c>
      <c r="T35" s="59">
        <f t="shared" si="34"/>
        <v>182.2029938397186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12.1</v>
      </c>
      <c r="AI35" s="13">
        <f>IF('Données projet'!$A$62&gt;35,AI34+AH35-AQ34,IF(A35&lt;'Données projet'!$A$62,$AF$205^A35,IF(A35='Données projet'!$A$62,'Données projet'!$B$62,AI34+AH35-AQ34)))</f>
        <v>166.2</v>
      </c>
      <c r="AJ35" s="13">
        <f>AI35*VLOOKUP('Données projet'!$B$10,Paramètres!$A$1:$I$89,3,0)*VLOOKUP('Données projet'!$B$10,Paramètres!$A$1:$I$89,5,0)</f>
        <v>132.22872000000001</v>
      </c>
      <c r="AK35" s="13">
        <f t="shared" si="35"/>
        <v>34.510840487492601</v>
      </c>
      <c r="AL35" s="20">
        <f t="shared" si="4"/>
        <v>290.40473451571626</v>
      </c>
      <c r="AM35" s="59">
        <f t="shared" si="5"/>
        <v>583.73806784904957</v>
      </c>
      <c r="AN35" s="59">
        <f ca="1">AVERAGE(OFFSET($AM$3,0,0,'Données projet'!$E$10+1,1))-AVERAGE(OFFSET($H$3,0,0,'Données projet'!$E$10+1,1))</f>
        <v>260.20517190557814</v>
      </c>
      <c r="AO35" s="59">
        <f t="shared" si="36"/>
        <v>307.22009971147133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3.1362745971674917</v>
      </c>
      <c r="AV35" s="21">
        <f>EXP(-LN(2)/25)*AV34+(1-EXP(-LN(2)/25))/(LN(2)/25)*Calculateur!AQ35*Calculateur!AS35*VLOOKUP('Données projet'!$B$10,Paramètres!$A$1:$I$89,3,0)*0.475*44/12</f>
        <v>19.412727065565573</v>
      </c>
      <c r="AW35" s="21">
        <f>EXP(-LN(2)/2)*AW34+(1-EXP(-LN(2)/2))/(LN(2)/2)*AQ35*AT35*VLOOKUP('Données projet'!$B$10,Paramètres!$A$1:$I$89,3,0)*0.475*44/12</f>
        <v>12.019517126378643</v>
      </c>
      <c r="AX35" s="21">
        <f t="shared" si="6"/>
        <v>34.568518789111707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18.2</v>
      </c>
      <c r="BD35" s="12">
        <f>IF('Données projet'!$A$88&gt;35,BD34+BC35-BL34,IF(A35&lt;'Données projet'!$A$88,$BA$205^A35,IF(A35='Données projet'!$A$88,'Données projet'!$B$88,BD34+BC35-BL34)))</f>
        <v>195.40000000000003</v>
      </c>
      <c r="BE35" s="13">
        <f>BD35*VLOOKUP('Données projet'!$B$11,Paramètres!$A$1:$I$89,3,0)*VLOOKUP('Données projet'!$B$11,Paramètres!$A$1:$I$89,5,0)</f>
        <v>116.84920000000002</v>
      </c>
      <c r="BF35" s="13">
        <f t="shared" si="37"/>
        <v>30.938992822101849</v>
      </c>
      <c r="BG35" s="20">
        <f t="shared" si="7"/>
        <v>257.39776916516081</v>
      </c>
      <c r="BH35" s="59">
        <f t="shared" si="8"/>
        <v>550.73110249849412</v>
      </c>
      <c r="BI35" s="59">
        <f ca="1">AVERAGE(OFFSET($BH$3,0,0,'Données projet'!$E$11+1,1))-AVERAGE(OFFSET($H$3,0,0,'Données projet'!$E$11+1,1))</f>
        <v>316.58509520829671</v>
      </c>
      <c r="BJ35" s="59">
        <f t="shared" si="38"/>
        <v>240.71332110643596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2.4361200652486987</v>
      </c>
      <c r="BQ35" s="21">
        <f>EXP(-LN(2)/25)*BQ34+(1-EXP(-LN(2)/25))/(LN(2)/25)*Calculateur!BL35*Calculateur!BN35*VLOOKUP('Données projet'!$B$11,Paramètres!$A$1:$I$89,3,0)*0.475*44/12</f>
        <v>14.444338823665451</v>
      </c>
      <c r="BR35" s="21">
        <f>EXP(-LN(2)/2)*BR34+(1-EXP(-LN(2)/2))/(LN(2)/2)*BL35*BO35*VLOOKUP('Données projet'!$B$11,Paramètres!$A$1:$I$89,3,0)*0.475*44/12</f>
        <v>10.969671535070393</v>
      </c>
      <c r="BS35" s="22">
        <f t="shared" si="9"/>
        <v>27.850130423984542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15.7</v>
      </c>
      <c r="BY35" s="12">
        <f>IF('Données projet'!$A$114&gt;35,BY34+BX35-CG34,IF(A35&lt;'Données projet'!$A$114,$BV$205^A35,IF(A35='Données projet'!$A$114,'Données projet'!$B$114,BY34+BX35-CG34)))</f>
        <v>171.40000000000003</v>
      </c>
      <c r="BZ35" s="13">
        <f>BY35*VLOOKUP('Données projet'!$B$12,Paramètres!$A$1:$I$89,3,0)*VLOOKUP('Données projet'!$B$12,Paramètres!$A$1:$I$89,5,0)</f>
        <v>102.49720000000003</v>
      </c>
      <c r="CA35" s="13">
        <f t="shared" si="39"/>
        <v>27.556064299174871</v>
      </c>
      <c r="CB35" s="20">
        <f t="shared" si="10"/>
        <v>226.50943532106294</v>
      </c>
      <c r="CC35" s="59">
        <f t="shared" si="11"/>
        <v>519.8427686543962</v>
      </c>
      <c r="CD35" s="59">
        <f ca="1">AVERAGE(OFFSET($CC$3,0,0,'Données projet'!$E$12+1,1))-AVERAGE(OFFSET($H$3,0,0,'Données projet'!$E$12+1,1))</f>
        <v>270.30888762640245</v>
      </c>
      <c r="CE35" s="59">
        <f t="shared" si="40"/>
        <v>202.23783851977691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2.058693012886224</v>
      </c>
      <c r="CL35" s="21">
        <f>EXP(-LN(2)/25)*CL34+(1-EXP(-LN(2)/25))/(LN(2)/25)*Calculateur!CG35*Calculateur!CI35*VLOOKUP('Données projet'!$B$12,Paramètres!$A$1:$I$89,3,0)*0.475*44/12</f>
        <v>11.631975709431384</v>
      </c>
      <c r="CM35" s="21">
        <f>EXP(-LN(2)/2)*CM34+(1-EXP(-LN(2)/2))/(LN(2)/2)*CG35*CJ35*VLOOKUP('Données projet'!$B$12,Paramètres!$A$1:$I$89,3,0)*0.475*44/12</f>
        <v>9.246304293231292</v>
      </c>
      <c r="CN35" s="22">
        <f t="shared" si="12"/>
        <v>22.936973015548901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12.1</v>
      </c>
      <c r="CT35" s="12">
        <f>IF('Données projet'!$A$140&gt;35,CT34+CS35-DB34,IF(A35&lt;'Données projet'!$A$140,$CQ$205^A35,IF(A35='Données projet'!$A$140,'Données projet'!$B$140,CT34+CS35-DB34)))</f>
        <v>166.2</v>
      </c>
      <c r="CU35" s="17">
        <f>CT35*VLOOKUP('Données projet'!$B$13,Paramètres!$A$1:$I$89,3,0)*VLOOKUP('Données projet'!$B$13,Paramètres!$A$1:$I$89,5,0)</f>
        <v>111.48696</v>
      </c>
      <c r="CV35" s="13">
        <f t="shared" si="41"/>
        <v>29.681049698142655</v>
      </c>
      <c r="CW35" s="20">
        <f t="shared" si="13"/>
        <v>245.86761689093177</v>
      </c>
      <c r="CX35" s="59">
        <f t="shared" si="14"/>
        <v>539.20095022426506</v>
      </c>
      <c r="CY35" s="59">
        <f ca="1">AVERAGE(OFFSET($CX$3,0,0,'Données projet'!$E$13+1,1))-AVERAGE(OFFSET($H$3,0,0,'Données projet'!$E$13+1,1))</f>
        <v>207.93042467236967</v>
      </c>
      <c r="CZ35" s="59">
        <f t="shared" si="42"/>
        <v>250.70954318710835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2.6443099544745516</v>
      </c>
      <c r="DG35" s="21">
        <f>EXP(-LN(2)/25)*DG34+(1-EXP(-LN(2)/25))/(LN(2)/25)*Calculateur!DB35*Calculateur!DD35*VLOOKUP('Données projet'!$B$13,Paramètres!$A$1:$I$89,3,0)*0.475*44/12</f>
        <v>16.367593408221957</v>
      </c>
      <c r="DH35" s="21">
        <f>EXP(-LN(2)/2)*DH34+(1-EXP(-LN(2)/2))/(LN(2)/2)*DB35*DE35*VLOOKUP('Données projet'!$B$13,Paramètres!$A$1:$I$89,3,0)*0.475*44/12</f>
        <v>10.134102675181992</v>
      </c>
      <c r="DI35" s="22">
        <f t="shared" si="15"/>
        <v>29.1460060378785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10.199999999999999</v>
      </c>
      <c r="DO35" s="12">
        <f>IF('Données projet'!$A$166&gt;35,DO34+DN35-DW34,IF(A35&lt;'Données projet'!$A$166,$DL$205^A35,IF(A35='Données projet'!$A$166,'Données projet'!$B$166,DO34+DN35-DW34)))</f>
        <v>138.39999999999995</v>
      </c>
      <c r="DP35" s="17">
        <f>DO35*VLOOKUP('Données projet'!$B$14,Paramètres!$A$1:$I$89,3,0)*VLOOKUP('Données projet'!$B$14,Paramètres!$A$1:$I$89,5,0)</f>
        <v>92.838719999999967</v>
      </c>
      <c r="DQ35" s="13">
        <f t="shared" si="43"/>
        <v>25.248613631008698</v>
      </c>
      <c r="DR35" s="20">
        <f t="shared" si="16"/>
        <v>205.6687727406734</v>
      </c>
      <c r="DS35" s="59">
        <f t="shared" si="17"/>
        <v>499.00210607400675</v>
      </c>
      <c r="DT35" s="59">
        <f ca="1">AVERAGE(OFFSET($DS$3,0,0,'Données projet'!$E$14+1,1))-AVERAGE(OFFSET($H$3,0,0,'Données projet'!$E$14+1,1))</f>
        <v>156.63226020379989</v>
      </c>
      <c r="DU35" s="59">
        <f t="shared" si="44"/>
        <v>196.0481096619543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8.2022824776356114</v>
      </c>
      <c r="EC35" s="21">
        <f>EXP(-LN(2)/2)*EC34+(1-EXP(-LN(2)/2))/(LN(2)/2)*DW35*DZ35*VLOOKUP('Données projet'!$B$14,Paramètres!$A$1:$I$89,3,0)*0.475*44/12</f>
        <v>4.53673540106342</v>
      </c>
      <c r="ED35" s="22">
        <f t="shared" si="18"/>
        <v>12.73901787869903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5.3369963369963358</v>
      </c>
      <c r="EJ35" s="12">
        <f>IF('Données projet'!$A$192&gt;35,EJ34+EI35-ER34,IF(A35&lt;'Données projet'!$A$192,$EG$205^A35,IF(A35='Données projet'!$A$192,'Données projet'!$B$192,EJ34+EI35-ER34)))</f>
        <v>98.379120879120876</v>
      </c>
      <c r="EK35" s="17">
        <f>EJ35*VLOOKUP('Données projet'!$B$15,Paramètres!$A$1:$I$89,3,0)*VLOOKUP('Données projet'!$B$15,Paramètres!$A$1:$I$89,5,0)</f>
        <v>99.756428571428572</v>
      </c>
      <c r="EL35" s="13">
        <f t="shared" si="45"/>
        <v>26.903961780895703</v>
      </c>
      <c r="EM35" s="20">
        <f t="shared" si="19"/>
        <v>220.60017986363141</v>
      </c>
      <c r="EN35" s="59">
        <f t="shared" si="20"/>
        <v>513.93351319696467</v>
      </c>
      <c r="EO35" s="59">
        <f ca="1">AVERAGE(OFFSET($EN$3,0,0,'Données projet'!$E$15+1,1))-AVERAGE(OFFSET($H$3,0,0,'Données projet'!$E$15+1,1))</f>
        <v>190.21499310415584</v>
      </c>
      <c r="EP35" s="59">
        <f t="shared" si="46"/>
        <v>136.15730566500173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1.6541666666666663</v>
      </c>
      <c r="FE35" s="12">
        <f>IF('Données projet'!$A$218&gt;35,FE34+FD35-FM34,IF(A35&lt;'Données projet'!$A$218,$FB$205^A35,IF(A35='Données projet'!$A$218,'Données projet'!$B$218,FE34+FD35-FM34)))</f>
        <v>39.39166666666668</v>
      </c>
      <c r="FF35" s="17">
        <f>FE35*VLOOKUP('Données projet'!$B$16,Paramètres!$A$1:$I$89,3,0)*VLOOKUP('Données projet'!$B$16,Paramètres!$A$1:$I$89,5,0)</f>
        <v>45.379200000000012</v>
      </c>
      <c r="FG35" s="13">
        <f t="shared" si="47"/>
        <v>13.413767194460384</v>
      </c>
      <c r="FH35" s="20">
        <f t="shared" si="22"/>
        <v>102.39775119701852</v>
      </c>
      <c r="FI35" s="59">
        <f t="shared" si="23"/>
        <v>395.73108453035184</v>
      </c>
      <c r="FJ35" s="59">
        <f ca="1">AVERAGE(OFFSET($FI$3,0,0,'Données projet'!$E$16+1,1))-AVERAGE(OFFSET($H$3,0,0,'Données projet'!$E$16+1,1))</f>
        <v>14.847345852478327</v>
      </c>
      <c r="FK35" s="59">
        <f t="shared" si="48"/>
        <v>46.764428272166299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1.6790381077443002</v>
      </c>
      <c r="FS35" s="21">
        <f>EXP(-LN(2)/2)*FS34+(1-EXP(-LN(2)/2))/(LN(2)/2)*FM35*FP35*VLOOKUP('Données projet'!$B$16,Paramètres!$A$1:$I$89,3,0)*0.475*44/12</f>
        <v>0.98649774710944471</v>
      </c>
      <c r="FT35" s="22">
        <f t="shared" si="24"/>
        <v>2.6655358548537449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8.0564102564102562</v>
      </c>
      <c r="N36" s="13">
        <f>IF('Données projet'!$A$36&gt;35,N35+M36-V35,IF(A36&lt;'Données projet'!$A$36,$K$205^A36,IF(A36='Données projet'!$A$36,'Données projet'!$B$36,N35+M36-V35)))</f>
        <v>146.05384615384614</v>
      </c>
      <c r="O36" s="13">
        <f>N36*VLOOKUP('Données projet'!$B$9,Paramètres!$A$1:$I$89,3,0)*VLOOKUP('Données projet'!$B$9,Paramètres!$A$1:$I$89,5,0)</f>
        <v>132.14951999999997</v>
      </c>
      <c r="P36" s="13">
        <f t="shared" si="33"/>
        <v>34.49257523106499</v>
      </c>
      <c r="Q36" s="20">
        <f t="shared" si="53"/>
        <v>290.23498252743809</v>
      </c>
      <c r="R36" s="59">
        <f t="shared" si="0"/>
        <v>583.56831586077146</v>
      </c>
      <c r="S36" s="59">
        <f ca="1">AVERAGE(OFFSET($R$3,0,0,'Données projet'!$E$9+1,1))-AVERAGE(OFFSET($H$3,0,0,'Données projet'!$E$9+1,1))</f>
        <v>221.7429870520005</v>
      </c>
      <c r="T36" s="59">
        <f t="shared" si="34"/>
        <v>182.2029938397186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12.1</v>
      </c>
      <c r="AI36" s="13">
        <f>IF('Données projet'!$A$62&gt;35,AI35+AH36-AQ35,IF(A36&lt;'Données projet'!$A$62,$AF$205^A36,IF(A36='Données projet'!$A$62,'Données projet'!$B$62,AI35+AH36-AQ35)))</f>
        <v>178.29999999999998</v>
      </c>
      <c r="AJ36" s="13">
        <f>AI36*VLOOKUP('Données projet'!$B$10,Paramètres!$A$1:$I$89,3,0)*VLOOKUP('Données projet'!$B$10,Paramètres!$A$1:$I$89,5,0)</f>
        <v>141.85548</v>
      </c>
      <c r="AK36" s="13">
        <f t="shared" si="35"/>
        <v>36.721743640099248</v>
      </c>
      <c r="AL36" s="20">
        <f t="shared" si="4"/>
        <v>311.02199783983951</v>
      </c>
      <c r="AM36" s="59">
        <f t="shared" si="5"/>
        <v>604.35533117317277</v>
      </c>
      <c r="AN36" s="59">
        <f ca="1">AVERAGE(OFFSET($AM$3,0,0,'Données projet'!$E$10+1,1))-AVERAGE(OFFSET($H$3,0,0,'Données projet'!$E$10+1,1))</f>
        <v>260.20517190557814</v>
      </c>
      <c r="AO36" s="59">
        <f t="shared" si="36"/>
        <v>307.22009971147133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3.0747741652556546</v>
      </c>
      <c r="AV36" s="21">
        <f>EXP(-LN(2)/25)*AV35+(1-EXP(-LN(2)/25))/(LN(2)/25)*Calculateur!AQ36*Calculateur!AS36*VLOOKUP('Données projet'!$B$10,Paramètres!$A$1:$I$89,3,0)*0.475*44/12</f>
        <v>18.881885023086735</v>
      </c>
      <c r="AW36" s="21">
        <f>EXP(-LN(2)/2)*AW35+(1-EXP(-LN(2)/2))/(LN(2)/2)*AQ36*AT36*VLOOKUP('Données projet'!$B$10,Paramètres!$A$1:$I$89,3,0)*0.475*44/12</f>
        <v>8.4990820666501836</v>
      </c>
      <c r="AX36" s="21">
        <f t="shared" si="6"/>
        <v>30.455741254992574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18.2</v>
      </c>
      <c r="BD36" s="12">
        <f>IF('Données projet'!$A$88&gt;35,BD35+BC36-BL35,IF(A36&lt;'Données projet'!$A$88,$BA$205^A36,IF(A36='Données projet'!$A$88,'Données projet'!$B$88,BD35+BC36-BL35)))</f>
        <v>213.60000000000002</v>
      </c>
      <c r="BE36" s="13">
        <f>BD36*VLOOKUP('Données projet'!$B$11,Paramètres!$A$1:$I$89,3,0)*VLOOKUP('Données projet'!$B$11,Paramètres!$A$1:$I$89,5,0)</f>
        <v>127.73280000000003</v>
      </c>
      <c r="BF36" s="13">
        <f t="shared" si="37"/>
        <v>33.471940749957469</v>
      </c>
      <c r="BG36" s="20">
        <f t="shared" si="7"/>
        <v>280.76492347284267</v>
      </c>
      <c r="BH36" s="59">
        <f t="shared" si="8"/>
        <v>574.09825680617598</v>
      </c>
      <c r="BI36" s="59">
        <f ca="1">AVERAGE(OFFSET($BH$3,0,0,'Données projet'!$E$11+1,1))-AVERAGE(OFFSET($H$3,0,0,'Données projet'!$E$11+1,1))</f>
        <v>316.58509520829671</v>
      </c>
      <c r="BJ36" s="59">
        <f t="shared" si="38"/>
        <v>240.71332110643596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2.3883492366556927</v>
      </c>
      <c r="BQ36" s="21">
        <f>EXP(-LN(2)/25)*BQ35+(1-EXP(-LN(2)/25))/(LN(2)/25)*Calculateur!BL36*Calculateur!BN36*VLOOKUP('Données projet'!$B$11,Paramètres!$A$1:$I$89,3,0)*0.475*44/12</f>
        <v>14.049357618937552</v>
      </c>
      <c r="BR36" s="21">
        <f>EXP(-LN(2)/2)*BR35+(1-EXP(-LN(2)/2))/(LN(2)/2)*BL36*BO36*VLOOKUP('Données projet'!$B$11,Paramètres!$A$1:$I$89,3,0)*0.475*44/12</f>
        <v>7.7567291298373204</v>
      </c>
      <c r="BS36" s="22">
        <f t="shared" si="9"/>
        <v>24.194435985430566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15.7</v>
      </c>
      <c r="BY36" s="12">
        <f>IF('Données projet'!$A$114&gt;35,BY35+BX36-CG35,IF(A36&lt;'Données projet'!$A$114,$BV$205^A36,IF(A36='Données projet'!$A$114,'Données projet'!$B$114,BY35+BX36-CG35)))</f>
        <v>187.10000000000002</v>
      </c>
      <c r="BZ36" s="13">
        <f>BY36*VLOOKUP('Données projet'!$B$12,Paramètres!$A$1:$I$89,3,0)*VLOOKUP('Données projet'!$B$12,Paramètres!$A$1:$I$89,5,0)</f>
        <v>111.88580000000003</v>
      </c>
      <c r="CA36" s="13">
        <f t="shared" si="39"/>
        <v>29.774853250315406</v>
      </c>
      <c r="CB36" s="20">
        <f t="shared" si="10"/>
        <v>246.72563774429935</v>
      </c>
      <c r="CC36" s="59">
        <f t="shared" si="11"/>
        <v>540.05897107763269</v>
      </c>
      <c r="CD36" s="59">
        <f ca="1">AVERAGE(OFFSET($CC$3,0,0,'Données projet'!$E$12+1,1))-AVERAGE(OFFSET($H$3,0,0,'Données projet'!$E$12+1,1))</f>
        <v>270.30888762640245</v>
      </c>
      <c r="CE36" s="59">
        <f t="shared" si="40"/>
        <v>202.23783851977691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2.018323298582275</v>
      </c>
      <c r="CL36" s="21">
        <f>EXP(-LN(2)/25)*CL35+(1-EXP(-LN(2)/25))/(LN(2)/25)*Calculateur!CG36*Calculateur!CI36*VLOOKUP('Données projet'!$B$12,Paramètres!$A$1:$I$89,3,0)*0.475*44/12</f>
        <v>11.313898721957965</v>
      </c>
      <c r="CM36" s="21">
        <f>EXP(-LN(2)/2)*CM35+(1-EXP(-LN(2)/2))/(LN(2)/2)*CG36*CJ36*VLOOKUP('Données projet'!$B$12,Paramètres!$A$1:$I$89,3,0)*0.475*44/12</f>
        <v>6.5381244666581342</v>
      </c>
      <c r="CN36" s="22">
        <f t="shared" si="12"/>
        <v>19.870346487198375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12.1</v>
      </c>
      <c r="CT36" s="12">
        <f>IF('Données projet'!$A$140&gt;35,CT35+CS36-DB35,IF(A36&lt;'Données projet'!$A$140,$CQ$205^A36,IF(A36='Données projet'!$A$140,'Données projet'!$B$140,CT35+CS36-DB35)))</f>
        <v>178.29999999999998</v>
      </c>
      <c r="CU36" s="17">
        <f>CT36*VLOOKUP('Données projet'!$B$13,Paramètres!$A$1:$I$89,3,0)*VLOOKUP('Données projet'!$B$13,Paramètres!$A$1:$I$89,5,0)</f>
        <v>119.60364</v>
      </c>
      <c r="CV36" s="13">
        <f t="shared" si="41"/>
        <v>31.58253704018756</v>
      </c>
      <c r="CW36" s="20">
        <f t="shared" si="13"/>
        <v>263.31592501165994</v>
      </c>
      <c r="CX36" s="59">
        <f t="shared" si="14"/>
        <v>556.64925834499331</v>
      </c>
      <c r="CY36" s="59">
        <f ca="1">AVERAGE(OFFSET($CX$3,0,0,'Données projet'!$E$13+1,1))-AVERAGE(OFFSET($H$3,0,0,'Données projet'!$E$13+1,1))</f>
        <v>207.93042467236967</v>
      </c>
      <c r="CZ36" s="59">
        <f t="shared" si="42"/>
        <v>250.70954318710835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2.5924566491371204</v>
      </c>
      <c r="DG36" s="21">
        <f>EXP(-LN(2)/25)*DG35+(1-EXP(-LN(2)/25))/(LN(2)/25)*Calculateur!DB36*Calculateur!DD36*VLOOKUP('Données projet'!$B$13,Paramètres!$A$1:$I$89,3,0)*0.475*44/12</f>
        <v>15.920020705739798</v>
      </c>
      <c r="DH36" s="21">
        <f>EXP(-LN(2)/2)*DH35+(1-EXP(-LN(2)/2))/(LN(2)/2)*DB36*DE36*VLOOKUP('Données projet'!$B$13,Paramètres!$A$1:$I$89,3,0)*0.475*44/12</f>
        <v>7.1658927228619191</v>
      </c>
      <c r="DI36" s="22">
        <f t="shared" si="15"/>
        <v>25.678370077738837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10.199999999999999</v>
      </c>
      <c r="DO36" s="12">
        <f>IF('Données projet'!$A$166&gt;35,DO35+DN36-DW35,IF(A36&lt;'Données projet'!$A$166,$DL$205^A36,IF(A36='Données projet'!$A$166,'Données projet'!$B$166,DO35+DN36-DW35)))</f>
        <v>148.59999999999994</v>
      </c>
      <c r="DP36" s="17">
        <f>DO36*VLOOKUP('Données projet'!$B$14,Paramètres!$A$1:$I$89,3,0)*VLOOKUP('Données projet'!$B$14,Paramètres!$A$1:$I$89,5,0)</f>
        <v>99.680879999999959</v>
      </c>
      <c r="DQ36" s="13">
        <f t="shared" si="43"/>
        <v>26.885957471977871</v>
      </c>
      <c r="DR36" s="20">
        <f t="shared" si="16"/>
        <v>220.43724193036135</v>
      </c>
      <c r="DS36" s="59">
        <f t="shared" si="17"/>
        <v>513.7705752636947</v>
      </c>
      <c r="DT36" s="59">
        <f ca="1">AVERAGE(OFFSET($DS$3,0,0,'Données projet'!$E$14+1,1))-AVERAGE(OFFSET($H$3,0,0,'Données projet'!$E$14+1,1))</f>
        <v>156.63226020379989</v>
      </c>
      <c r="DU36" s="59">
        <f t="shared" si="44"/>
        <v>196.0481096619543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7.9779906319453771</v>
      </c>
      <c r="EC36" s="21">
        <f>EXP(-LN(2)/2)*EC35+(1-EXP(-LN(2)/2))/(LN(2)/2)*DW36*DZ36*VLOOKUP('Données projet'!$B$14,Paramètres!$A$1:$I$89,3,0)*0.475*44/12</f>
        <v>3.207956366541016</v>
      </c>
      <c r="ED36" s="22">
        <f t="shared" si="18"/>
        <v>11.185946998486394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5.3369963369963358</v>
      </c>
      <c r="EJ36" s="12">
        <f>IF('Données projet'!$A$192&gt;35,EJ35+EI36-ER35,IF(A36&lt;'Données projet'!$A$192,$EG$205^A36,IF(A36='Données projet'!$A$192,'Données projet'!$B$192,EJ35+EI36-ER35)))</f>
        <v>103.71611721611721</v>
      </c>
      <c r="EK36" s="17">
        <f>EJ36*VLOOKUP('Données projet'!$B$15,Paramètres!$A$1:$I$89,3,0)*VLOOKUP('Données projet'!$B$15,Paramètres!$A$1:$I$89,5,0)</f>
        <v>105.16814285714285</v>
      </c>
      <c r="EL36" s="13">
        <f t="shared" si="45"/>
        <v>28.189602262365472</v>
      </c>
      <c r="EM36" s="20">
        <f t="shared" si="19"/>
        <v>232.264739416477</v>
      </c>
      <c r="EN36" s="59">
        <f t="shared" si="20"/>
        <v>525.59807274981029</v>
      </c>
      <c r="EO36" s="59">
        <f ca="1">AVERAGE(OFFSET($EN$3,0,0,'Données projet'!$E$15+1,1))-AVERAGE(OFFSET($H$3,0,0,'Données projet'!$E$15+1,1))</f>
        <v>190.21499310415584</v>
      </c>
      <c r="EP36" s="59">
        <f t="shared" si="46"/>
        <v>136.15730566500173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1.6541666666666663</v>
      </c>
      <c r="FE36" s="12">
        <f>IF('Données projet'!$A$218&gt;35,FE35+FD36-FM35,IF(A36&lt;'Données projet'!$A$218,$FB$205^A36,IF(A36='Données projet'!$A$218,'Données projet'!$B$218,FE35+FD36-FM35)))</f>
        <v>41.045833333333348</v>
      </c>
      <c r="FF36" s="17">
        <f>FE36*VLOOKUP('Données projet'!$B$16,Paramètres!$A$1:$I$89,3,0)*VLOOKUP('Données projet'!$B$16,Paramètres!$A$1:$I$89,5,0)</f>
        <v>47.284800000000011</v>
      </c>
      <c r="FG36" s="13">
        <f t="shared" si="47"/>
        <v>13.910285129606862</v>
      </c>
      <c r="FH36" s="20">
        <f t="shared" si="22"/>
        <v>106.5814399340653</v>
      </c>
      <c r="FI36" s="59">
        <f t="shared" si="23"/>
        <v>399.91477326739863</v>
      </c>
      <c r="FJ36" s="59">
        <f ca="1">AVERAGE(OFFSET($FI$3,0,0,'Données projet'!$E$16+1,1))-AVERAGE(OFFSET($H$3,0,0,'Données projet'!$E$16+1,1))</f>
        <v>14.847345852478327</v>
      </c>
      <c r="FK36" s="59">
        <f t="shared" si="48"/>
        <v>46.764428272166299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1.6331247223912557</v>
      </c>
      <c r="FS36" s="21">
        <f>EXP(-LN(2)/2)*FS35+(1-EXP(-LN(2)/2))/(LN(2)/2)*FM36*FP36*VLOOKUP('Données projet'!$B$16,Paramètres!$A$1:$I$89,3,0)*0.475*44/12</f>
        <v>0.69755924660634028</v>
      </c>
      <c r="FT36" s="22">
        <f t="shared" si="24"/>
        <v>2.330683968997596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8.0564102564102562</v>
      </c>
      <c r="N37" s="13">
        <f>IF('Données projet'!$A$36&gt;35,N36+M37-V36,IF(A37&lt;'Données projet'!$A$36,$K$205^A37,IF(A37='Données projet'!$A$36,'Données projet'!$B$36,N36+M37-V36)))</f>
        <v>154.1102564102564</v>
      </c>
      <c r="O37" s="13">
        <f>N37*VLOOKUP('Données projet'!$B$9,Paramètres!$A$1:$I$89,3,0)*VLOOKUP('Données projet'!$B$9,Paramètres!$A$1:$I$89,5,0)</f>
        <v>139.43895999999998</v>
      </c>
      <c r="P37" s="13">
        <f t="shared" si="33"/>
        <v>36.168449088081644</v>
      </c>
      <c r="Q37" s="20">
        <f t="shared" si="53"/>
        <v>305.84957082840884</v>
      </c>
      <c r="R37" s="59">
        <f t="shared" si="0"/>
        <v>599.18290416174216</v>
      </c>
      <c r="S37" s="59">
        <f ca="1">AVERAGE(OFFSET($R$3,0,0,'Données projet'!$E$9+1,1))-AVERAGE(OFFSET($H$3,0,0,'Données projet'!$E$9+1,1))</f>
        <v>221.7429870520005</v>
      </c>
      <c r="T37" s="59">
        <f t="shared" si="34"/>
        <v>182.2029938397186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12.1</v>
      </c>
      <c r="AI37" s="13">
        <f>IF('Données projet'!$A$62&gt;35,AI36+AH37-AQ36,IF(A37&lt;'Données projet'!$A$62,$AF$205^A37,IF(A37='Données projet'!$A$62,'Données projet'!$B$62,AI36+AH37-AQ36)))</f>
        <v>190.39999999999998</v>
      </c>
      <c r="AJ37" s="13">
        <f>AI37*VLOOKUP('Données projet'!$B$10,Paramètres!$A$1:$I$89,3,0)*VLOOKUP('Données projet'!$B$10,Paramètres!$A$1:$I$89,5,0)</f>
        <v>151.48223999999999</v>
      </c>
      <c r="AK37" s="13">
        <f t="shared" si="35"/>
        <v>38.915236966075291</v>
      </c>
      <c r="AL37" s="20">
        <f t="shared" si="4"/>
        <v>331.60893904924779</v>
      </c>
      <c r="AM37" s="59">
        <f t="shared" si="5"/>
        <v>624.94227238258111</v>
      </c>
      <c r="AN37" s="59">
        <f ca="1">AVERAGE(OFFSET($AM$3,0,0,'Données projet'!$E$10+1,1))-AVERAGE(OFFSET($H$3,0,0,'Données projet'!$E$10+1,1))</f>
        <v>260.20517190557814</v>
      </c>
      <c r="AO37" s="59">
        <f t="shared" si="36"/>
        <v>307.22009971147133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3.0144797193020492</v>
      </c>
      <c r="AV37" s="21">
        <f>EXP(-LN(2)/25)*AV36+(1-EXP(-LN(2)/25))/(LN(2)/25)*Calculateur!AQ37*Calculateur!AS37*VLOOKUP('Données projet'!$B$10,Paramètres!$A$1:$I$89,3,0)*0.475*44/12</f>
        <v>18.36555888417525</v>
      </c>
      <c r="AW37" s="21">
        <f>EXP(-LN(2)/2)*AW36+(1-EXP(-LN(2)/2))/(LN(2)/2)*AQ37*AT37*VLOOKUP('Données projet'!$B$10,Paramètres!$A$1:$I$89,3,0)*0.475*44/12</f>
        <v>6.0097585631893216</v>
      </c>
      <c r="AX37" s="21">
        <f t="shared" si="6"/>
        <v>27.389797166666622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18.2</v>
      </c>
      <c r="BD37" s="12">
        <f>IF('Données projet'!$A$88&gt;35,BD36+BC37-BL36,IF(A37&lt;'Données projet'!$A$88,$BA$205^A37,IF(A37='Données projet'!$A$88,'Données projet'!$B$88,BD36+BC37-BL36)))</f>
        <v>231.8</v>
      </c>
      <c r="BE37" s="13">
        <f>BD37*VLOOKUP('Données projet'!$B$11,Paramètres!$A$1:$I$89,3,0)*VLOOKUP('Données projet'!$B$11,Paramètres!$A$1:$I$89,5,0)</f>
        <v>138.61640000000003</v>
      </c>
      <c r="BF37" s="13">
        <f t="shared" si="37"/>
        <v>35.97985917844175</v>
      </c>
      <c r="BG37" s="20">
        <f t="shared" si="7"/>
        <v>304.08848473578604</v>
      </c>
      <c r="BH37" s="59">
        <f t="shared" si="8"/>
        <v>597.42181806911935</v>
      </c>
      <c r="BI37" s="59">
        <f ca="1">AVERAGE(OFFSET($BH$3,0,0,'Données projet'!$E$11+1,1))-AVERAGE(OFFSET($H$3,0,0,'Données projet'!$E$11+1,1))</f>
        <v>316.58509520829671</v>
      </c>
      <c r="BJ37" s="59">
        <f t="shared" si="38"/>
        <v>240.71332110643596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2.3415151648740666</v>
      </c>
      <c r="BQ37" s="21">
        <f>EXP(-LN(2)/25)*BQ36+(1-EXP(-LN(2)/25))/(LN(2)/25)*Calculateur!BL37*Calculateur!BN37*VLOOKUP('Données projet'!$B$11,Paramètres!$A$1:$I$89,3,0)*0.475*44/12</f>
        <v>13.665177196024098</v>
      </c>
      <c r="BR37" s="21">
        <f>EXP(-LN(2)/2)*BR36+(1-EXP(-LN(2)/2))/(LN(2)/2)*BL37*BO37*VLOOKUP('Données projet'!$B$11,Paramètres!$A$1:$I$89,3,0)*0.475*44/12</f>
        <v>5.4848357675351975</v>
      </c>
      <c r="BS37" s="22">
        <f t="shared" si="9"/>
        <v>21.491528128433362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15.7</v>
      </c>
      <c r="BY37" s="12">
        <f>IF('Données projet'!$A$114&gt;35,BY36+BX37-CG36,IF(A37&lt;'Données projet'!$A$114,$BV$205^A37,IF(A37='Données projet'!$A$114,'Données projet'!$B$114,BY36+BX37-CG36)))</f>
        <v>202.8</v>
      </c>
      <c r="BZ37" s="13">
        <f>BY37*VLOOKUP('Données projet'!$B$12,Paramètres!$A$1:$I$89,3,0)*VLOOKUP('Données projet'!$B$12,Paramètres!$A$1:$I$89,5,0)</f>
        <v>121.27440000000001</v>
      </c>
      <c r="CA37" s="13">
        <f t="shared" si="39"/>
        <v>31.972049173215385</v>
      </c>
      <c r="CB37" s="20">
        <f t="shared" si="10"/>
        <v>266.90423231001682</v>
      </c>
      <c r="CC37" s="59">
        <f t="shared" si="11"/>
        <v>560.23756564335008</v>
      </c>
      <c r="CD37" s="59">
        <f ca="1">AVERAGE(OFFSET($CC$3,0,0,'Données projet'!$E$12+1,1))-AVERAGE(OFFSET($H$3,0,0,'Données projet'!$E$12+1,1))</f>
        <v>270.30888762640245</v>
      </c>
      <c r="CE37" s="59">
        <f t="shared" si="40"/>
        <v>202.23783851977691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1.978745209752732</v>
      </c>
      <c r="CL37" s="21">
        <f>EXP(-LN(2)/25)*CL36+(1-EXP(-LN(2)/25))/(LN(2)/25)*Calculateur!CG37*Calculateur!CI37*VLOOKUP('Données projet'!$B$12,Paramètres!$A$1:$I$89,3,0)*0.475*44/12</f>
        <v>11.004519566433949</v>
      </c>
      <c r="CM37" s="21">
        <f>EXP(-LN(2)/2)*CM36+(1-EXP(-LN(2)/2))/(LN(2)/2)*CG37*CJ37*VLOOKUP('Données projet'!$B$12,Paramètres!$A$1:$I$89,3,0)*0.475*44/12</f>
        <v>4.623152146615646</v>
      </c>
      <c r="CN37" s="22">
        <f t="shared" si="12"/>
        <v>17.606416922802328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12.1</v>
      </c>
      <c r="CT37" s="12">
        <f>IF('Données projet'!$A$140&gt;35,CT36+CS37-DB36,IF(A37&lt;'Données projet'!$A$140,$CQ$205^A37,IF(A37='Données projet'!$A$140,'Données projet'!$B$140,CT36+CS37-DB36)))</f>
        <v>190.39999999999998</v>
      </c>
      <c r="CU37" s="17">
        <f>CT37*VLOOKUP('Données projet'!$B$13,Paramètres!$A$1:$I$89,3,0)*VLOOKUP('Données projet'!$B$13,Paramètres!$A$1:$I$89,5,0)</f>
        <v>127.72031999999999</v>
      </c>
      <c r="CV37" s="13">
        <f t="shared" si="41"/>
        <v>33.469051060164404</v>
      </c>
      <c r="CW37" s="20">
        <f t="shared" si="13"/>
        <v>280.73815459645294</v>
      </c>
      <c r="CX37" s="59">
        <f t="shared" si="14"/>
        <v>574.07148792978626</v>
      </c>
      <c r="CY37" s="59">
        <f ca="1">AVERAGE(OFFSET($CX$3,0,0,'Données projet'!$E$13+1,1))-AVERAGE(OFFSET($H$3,0,0,'Données projet'!$E$13+1,1))</f>
        <v>207.93042467236967</v>
      </c>
      <c r="CZ37" s="59">
        <f t="shared" si="42"/>
        <v>250.70954318710835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2.5416201554899627</v>
      </c>
      <c r="DG37" s="21">
        <f>EXP(-LN(2)/25)*DG36+(1-EXP(-LN(2)/25))/(LN(2)/25)*Calculateur!DB37*Calculateur!DD37*VLOOKUP('Données projet'!$B$13,Paramètres!$A$1:$I$89,3,0)*0.475*44/12</f>
        <v>15.48468690234384</v>
      </c>
      <c r="DH37" s="21">
        <f>EXP(-LN(2)/2)*DH36+(1-EXP(-LN(2)/2))/(LN(2)/2)*DB37*DE37*VLOOKUP('Données projet'!$B$13,Paramètres!$A$1:$I$89,3,0)*0.475*44/12</f>
        <v>5.0670513375909962</v>
      </c>
      <c r="DI37" s="22">
        <f t="shared" si="15"/>
        <v>23.093358395424801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10.199999999999999</v>
      </c>
      <c r="DO37" s="12">
        <f>IF('Données projet'!$A$166&gt;35,DO36+DN37-DW36,IF(A37&lt;'Données projet'!$A$166,$DL$205^A37,IF(A37='Données projet'!$A$166,'Données projet'!$B$166,DO36+DN37-DW36)))</f>
        <v>158.79999999999993</v>
      </c>
      <c r="DP37" s="17">
        <f>DO37*VLOOKUP('Données projet'!$B$14,Paramètres!$A$1:$I$89,3,0)*VLOOKUP('Données projet'!$B$14,Paramètres!$A$1:$I$89,5,0)</f>
        <v>106.52303999999995</v>
      </c>
      <c r="DQ37" s="13">
        <f t="shared" si="43"/>
        <v>28.510260627094947</v>
      </c>
      <c r="DR37" s="20">
        <f t="shared" si="16"/>
        <v>235.18299859219027</v>
      </c>
      <c r="DS37" s="59">
        <f t="shared" si="17"/>
        <v>528.51633192552356</v>
      </c>
      <c r="DT37" s="59">
        <f ca="1">AVERAGE(OFFSET($DS$3,0,0,'Données projet'!$E$14+1,1))-AVERAGE(OFFSET($H$3,0,0,'Données projet'!$E$14+1,1))</f>
        <v>156.63226020379989</v>
      </c>
      <c r="DU37" s="59">
        <f t="shared" si="44"/>
        <v>196.0481096619543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7.7598320585705371</v>
      </c>
      <c r="EC37" s="21">
        <f>EXP(-LN(2)/2)*EC36+(1-EXP(-LN(2)/2))/(LN(2)/2)*DW37*DZ37*VLOOKUP('Données projet'!$B$14,Paramètres!$A$1:$I$89,3,0)*0.475*44/12</f>
        <v>2.2683677005317104</v>
      </c>
      <c r="ED37" s="22">
        <f t="shared" si="18"/>
        <v>10.028199759102247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5.3369963369963358</v>
      </c>
      <c r="EJ37" s="12">
        <f>IF('Données projet'!$A$192&gt;35,EJ36+EI37-ER36,IF(A37&lt;'Données projet'!$A$192,$EG$205^A37,IF(A37='Données projet'!$A$192,'Données projet'!$B$192,EJ36+EI37-ER36)))</f>
        <v>109.05311355311355</v>
      </c>
      <c r="EK37" s="17">
        <f>EJ37*VLOOKUP('Données projet'!$B$15,Paramètres!$A$1:$I$89,3,0)*VLOOKUP('Données projet'!$B$15,Paramètres!$A$1:$I$89,5,0)</f>
        <v>110.57985714285715</v>
      </c>
      <c r="EL37" s="13">
        <f t="shared" si="45"/>
        <v>29.467561605850825</v>
      </c>
      <c r="EM37" s="20">
        <f t="shared" si="19"/>
        <v>243.91592098733301</v>
      </c>
      <c r="EN37" s="59">
        <f t="shared" si="20"/>
        <v>537.2492543206663</v>
      </c>
      <c r="EO37" s="59">
        <f ca="1">AVERAGE(OFFSET($EN$3,0,0,'Données projet'!$E$15+1,1))-AVERAGE(OFFSET($H$3,0,0,'Données projet'!$E$15+1,1))</f>
        <v>190.21499310415584</v>
      </c>
      <c r="EP37" s="59">
        <f t="shared" si="46"/>
        <v>136.15730566500173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1.6541666666666663</v>
      </c>
      <c r="FE37" s="12">
        <f>IF('Données projet'!$A$218&gt;35,FE36+FD37-FM36,IF(A37&lt;'Données projet'!$A$218,$FB$205^A37,IF(A37='Données projet'!$A$218,'Données projet'!$B$218,FE36+FD37-FM36)))</f>
        <v>42.700000000000017</v>
      </c>
      <c r="FF37" s="17">
        <f>FE37*VLOOKUP('Données projet'!$B$16,Paramètres!$A$1:$I$89,3,0)*VLOOKUP('Données projet'!$B$16,Paramètres!$A$1:$I$89,5,0)</f>
        <v>49.190400000000011</v>
      </c>
      <c r="FG37" s="13">
        <f t="shared" si="47"/>
        <v>14.404478701238494</v>
      </c>
      <c r="FH37" s="20">
        <f t="shared" si="22"/>
        <v>110.76108040465705</v>
      </c>
      <c r="FI37" s="59">
        <f t="shared" si="23"/>
        <v>404.09441373799035</v>
      </c>
      <c r="FJ37" s="59">
        <f ca="1">AVERAGE(OFFSET($FI$3,0,0,'Données projet'!$E$16+1,1))-AVERAGE(OFFSET($H$3,0,0,'Données projet'!$E$16+1,1))</f>
        <v>14.847345852478327</v>
      </c>
      <c r="FK37" s="59">
        <f t="shared" si="48"/>
        <v>46.764428272166299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1.5884668409751703</v>
      </c>
      <c r="FS37" s="21">
        <f>EXP(-LN(2)/2)*FS36+(1-EXP(-LN(2)/2))/(LN(2)/2)*FM37*FP37*VLOOKUP('Données projet'!$B$16,Paramètres!$A$1:$I$89,3,0)*0.475*44/12</f>
        <v>0.49324887355472241</v>
      </c>
      <c r="FT37" s="22">
        <f t="shared" si="24"/>
        <v>2.0817157145298926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162.16666666666666</v>
      </c>
      <c r="L38" s="12">
        <f>VLOOKUP(A38,'Données projet'!$A$35:$I$55,9,0)</f>
        <v>8.0564102564102562</v>
      </c>
      <c r="M38" s="12">
        <f t="array" ref="M38">INDEX(L:L,MIN(IF(ISNUMBER(L38:L234),ROW(L38:L234),"")))</f>
        <v>8.0564102564102562</v>
      </c>
      <c r="N38" s="13">
        <f>IF('Données projet'!$A$36&gt;35,N37+M38-V37,IF(A38&lt;'Données projet'!$A$36,$K$205^A38,IF(A38='Données projet'!$A$36,'Données projet'!$B$36,N37+M38-V37)))</f>
        <v>162.16666666666666</v>
      </c>
      <c r="O38" s="13">
        <f>N38*VLOOKUP('Données projet'!$B$9,Paramètres!$A$1:$I$89,3,0)*VLOOKUP('Données projet'!$B$9,Paramètres!$A$1:$I$89,5,0)</f>
        <v>146.72839999999999</v>
      </c>
      <c r="P38" s="13">
        <f t="shared" si="33"/>
        <v>37.834151268675086</v>
      </c>
      <c r="Q38" s="20">
        <f t="shared" si="53"/>
        <v>321.44644345960904</v>
      </c>
      <c r="R38" s="59">
        <f t="shared" si="0"/>
        <v>614.77977679294236</v>
      </c>
      <c r="S38" s="59">
        <f ca="1">AVERAGE(OFFSET($R$3,0,0,'Données projet'!$E$9+1,1))-AVERAGE(OFFSET($H$3,0,0,'Données projet'!$E$9+1,1))</f>
        <v>221.7429870520005</v>
      </c>
      <c r="T38" s="59">
        <f t="shared" si="34"/>
        <v>182.2029938397186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60.602564102564102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12.1</v>
      </c>
      <c r="AI38" s="13">
        <f>IF('Données projet'!$A$62&gt;35,AI37+AH38-AQ37,IF(A38&lt;'Données projet'!$A$62,$AF$205^A38,IF(A38='Données projet'!$A$62,'Données projet'!$B$62,AI37+AH38-AQ37)))</f>
        <v>202.49999999999997</v>
      </c>
      <c r="AJ38" s="13">
        <f>AI38*VLOOKUP('Données projet'!$B$10,Paramètres!$A$1:$I$89,3,0)*VLOOKUP('Données projet'!$B$10,Paramètres!$A$1:$I$89,5,0)</f>
        <v>161.10899999999998</v>
      </c>
      <c r="AK38" s="13">
        <f t="shared" si="35"/>
        <v>41.092552806229541</v>
      </c>
      <c r="AL38" s="20">
        <f t="shared" si="4"/>
        <v>352.16770447084974</v>
      </c>
      <c r="AM38" s="59">
        <f t="shared" si="5"/>
        <v>645.50103780418306</v>
      </c>
      <c r="AN38" s="59">
        <f ca="1">AVERAGE(OFFSET($AM$3,0,0,'Données projet'!$E$10+1,1))-AVERAGE(OFFSET($H$3,0,0,'Données projet'!$E$10+1,1))</f>
        <v>260.20517190557814</v>
      </c>
      <c r="AO38" s="59">
        <f t="shared" si="36"/>
        <v>307.22009971147133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2.9553676106576132</v>
      </c>
      <c r="AV38" s="21">
        <f>EXP(-LN(2)/25)*AV37+(1-EXP(-LN(2)/25))/(LN(2)/25)*Calculateur!AQ38*Calculateur!AS38*VLOOKUP('Données projet'!$B$10,Paramètres!$A$1:$I$89,3,0)*0.475*44/12</f>
        <v>17.863351710684711</v>
      </c>
      <c r="AW38" s="21">
        <f>EXP(-LN(2)/2)*AW37+(1-EXP(-LN(2)/2))/(LN(2)/2)*AQ38*AT38*VLOOKUP('Données projet'!$B$10,Paramètres!$A$1:$I$89,3,0)*0.475*44/12</f>
        <v>4.2495410333250918</v>
      </c>
      <c r="AX38" s="21">
        <f t="shared" si="6"/>
        <v>25.068260354667416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18.2</v>
      </c>
      <c r="BD38" s="12">
        <f>IF('Données projet'!$A$88&gt;35,BD37+BC38-BL37,IF(A38&lt;'Données projet'!$A$88,$BA$205^A38,IF(A38='Données projet'!$A$88,'Données projet'!$B$88,BD37+BC38-BL37)))</f>
        <v>250</v>
      </c>
      <c r="BE38" s="13">
        <f>BD38*VLOOKUP('Données projet'!$B$11,Paramètres!$A$1:$I$89,3,0)*VLOOKUP('Données projet'!$B$11,Paramètres!$A$1:$I$89,5,0)</f>
        <v>149.5</v>
      </c>
      <c r="BF38" s="13">
        <f t="shared" si="37"/>
        <v>38.464936755681478</v>
      </c>
      <c r="BG38" s="20">
        <f t="shared" si="7"/>
        <v>327.3722648494786</v>
      </c>
      <c r="BH38" s="59">
        <f t="shared" si="8"/>
        <v>620.70559818281185</v>
      </c>
      <c r="BI38" s="59">
        <f ca="1">AVERAGE(OFFSET($BH$3,0,0,'Données projet'!$E$11+1,1))-AVERAGE(OFFSET($H$3,0,0,'Données projet'!$E$11+1,1))</f>
        <v>316.58509520829671</v>
      </c>
      <c r="BJ38" s="59">
        <f t="shared" si="38"/>
        <v>240.71332110643596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2.2955994806741153</v>
      </c>
      <c r="BQ38" s="21">
        <f>EXP(-LN(2)/25)*BQ37+(1-EXP(-LN(2)/25))/(LN(2)/25)*Calculateur!BL38*Calculateur!BN38*VLOOKUP('Données projet'!$B$11,Paramètres!$A$1:$I$89,3,0)*0.475*44/12</f>
        <v>13.291502206978382</v>
      </c>
      <c r="BR38" s="21">
        <f>EXP(-LN(2)/2)*BR37+(1-EXP(-LN(2)/2))/(LN(2)/2)*BL38*BO38*VLOOKUP('Données projet'!$B$11,Paramètres!$A$1:$I$89,3,0)*0.475*44/12</f>
        <v>3.8783645649186607</v>
      </c>
      <c r="BS38" s="22">
        <f t="shared" si="9"/>
        <v>19.465466252571158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15.7</v>
      </c>
      <c r="BY38" s="12">
        <f>IF('Données projet'!$A$114&gt;35,BY37+BX38-CG37,IF(A38&lt;'Données projet'!$A$114,$BV$205^A38,IF(A38='Données projet'!$A$114,'Données projet'!$B$114,BY37+BX38-CG37)))</f>
        <v>218.5</v>
      </c>
      <c r="BZ38" s="13">
        <f>BY38*VLOOKUP('Données projet'!$B$12,Paramètres!$A$1:$I$89,3,0)*VLOOKUP('Données projet'!$B$12,Paramètres!$A$1:$I$89,5,0)</f>
        <v>130.66300000000001</v>
      </c>
      <c r="CA38" s="13">
        <f t="shared" si="39"/>
        <v>34.149513779485744</v>
      </c>
      <c r="CB38" s="20">
        <f t="shared" si="10"/>
        <v>287.04846149927101</v>
      </c>
      <c r="CC38" s="59">
        <f t="shared" si="11"/>
        <v>580.38179483260433</v>
      </c>
      <c r="CD38" s="59">
        <f ca="1">AVERAGE(OFFSET($CC$3,0,0,'Données projet'!$E$12+1,1))-AVERAGE(OFFSET($H$3,0,0,'Données projet'!$E$12+1,1))</f>
        <v>270.30888762640245</v>
      </c>
      <c r="CE38" s="59">
        <f t="shared" si="40"/>
        <v>202.23783851977691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1.9399432231048859</v>
      </c>
      <c r="CL38" s="21">
        <f>EXP(-LN(2)/25)*CL37+(1-EXP(-LN(2)/25))/(LN(2)/25)*Calculateur!CG38*Calculateur!CI38*VLOOKUP('Données projet'!$B$12,Paramètres!$A$1:$I$89,3,0)*0.475*44/12</f>
        <v>10.70360040018728</v>
      </c>
      <c r="CM38" s="21">
        <f>EXP(-LN(2)/2)*CM37+(1-EXP(-LN(2)/2))/(LN(2)/2)*CG38*CJ38*VLOOKUP('Données projet'!$B$12,Paramètres!$A$1:$I$89,3,0)*0.475*44/12</f>
        <v>3.2690622333290671</v>
      </c>
      <c r="CN38" s="22">
        <f t="shared" si="12"/>
        <v>15.912605856621234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12.1</v>
      </c>
      <c r="CT38" s="12">
        <f>IF('Données projet'!$A$140&gt;35,CT37+CS38-DB37,IF(A38&lt;'Données projet'!$A$140,$CQ$205^A38,IF(A38='Données projet'!$A$140,'Données projet'!$B$140,CT37+CS38-DB37)))</f>
        <v>202.49999999999997</v>
      </c>
      <c r="CU38" s="17">
        <f>CT38*VLOOKUP('Données projet'!$B$13,Paramètres!$A$1:$I$89,3,0)*VLOOKUP('Données projet'!$B$13,Paramètres!$A$1:$I$89,5,0)</f>
        <v>135.83699999999999</v>
      </c>
      <c r="CV38" s="13">
        <f t="shared" si="41"/>
        <v>35.34165163283356</v>
      </c>
      <c r="CW38" s="20">
        <f t="shared" si="13"/>
        <v>298.13615159385171</v>
      </c>
      <c r="CX38" s="59">
        <f t="shared" si="14"/>
        <v>591.46948492718502</v>
      </c>
      <c r="CY38" s="59">
        <f ca="1">AVERAGE(OFFSET($CX$3,0,0,'Données projet'!$E$13+1,1))-AVERAGE(OFFSET($H$3,0,0,'Données projet'!$E$13+1,1))</f>
        <v>207.93042467236967</v>
      </c>
      <c r="CZ38" s="59">
        <f t="shared" si="42"/>
        <v>250.70954318710835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2.4917805344760264</v>
      </c>
      <c r="DG38" s="21">
        <f>EXP(-LN(2)/25)*DG37+(1-EXP(-LN(2)/25))/(LN(2)/25)*Calculateur!DB38*Calculateur!DD38*VLOOKUP('Données projet'!$B$13,Paramètres!$A$1:$I$89,3,0)*0.475*44/12</f>
        <v>15.061257324694955</v>
      </c>
      <c r="DH38" s="21">
        <f>EXP(-LN(2)/2)*DH37+(1-EXP(-LN(2)/2))/(LN(2)/2)*DB38*DE38*VLOOKUP('Données projet'!$B$13,Paramètres!$A$1:$I$89,3,0)*0.475*44/12</f>
        <v>3.5829463614309596</v>
      </c>
      <c r="DI38" s="22">
        <f t="shared" si="15"/>
        <v>21.135984220601941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10.199999999999999</v>
      </c>
      <c r="DO38" s="12">
        <f>IF('Données projet'!$A$166&gt;35,DO37+DN38-DW37,IF(A38&lt;'Données projet'!$A$166,$DL$205^A38,IF(A38='Données projet'!$A$166,'Données projet'!$B$166,DO37+DN38-DW37)))</f>
        <v>168.99999999999991</v>
      </c>
      <c r="DP38" s="17">
        <f>DO38*VLOOKUP('Données projet'!$B$14,Paramètres!$A$1:$I$89,3,0)*VLOOKUP('Données projet'!$B$14,Paramètres!$A$1:$I$89,5,0)</f>
        <v>113.36519999999994</v>
      </c>
      <c r="DQ38" s="13">
        <f t="shared" si="43"/>
        <v>30.122456058687586</v>
      </c>
      <c r="DR38" s="20">
        <f t="shared" si="16"/>
        <v>249.90766763554743</v>
      </c>
      <c r="DS38" s="59">
        <f t="shared" si="17"/>
        <v>543.24100096888071</v>
      </c>
      <c r="DT38" s="59">
        <f ca="1">AVERAGE(OFFSET($DS$3,0,0,'Données projet'!$E$14+1,1))-AVERAGE(OFFSET($H$3,0,0,'Données projet'!$E$14+1,1))</f>
        <v>156.63226020379989</v>
      </c>
      <c r="DU38" s="59">
        <f t="shared" si="44"/>
        <v>196.0481096619543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7.5476390428570932</v>
      </c>
      <c r="EC38" s="21">
        <f>EXP(-LN(2)/2)*EC37+(1-EXP(-LN(2)/2))/(LN(2)/2)*DW38*DZ38*VLOOKUP('Données projet'!$B$14,Paramètres!$A$1:$I$89,3,0)*0.475*44/12</f>
        <v>1.6039781832705082</v>
      </c>
      <c r="ED38" s="22">
        <f t="shared" si="18"/>
        <v>9.1516172261276019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5.3369963369963358</v>
      </c>
      <c r="EJ38" s="12">
        <f>IF('Données projet'!$A$192&gt;35,EJ37+EI38-ER37,IF(A38&lt;'Données projet'!$A$192,$EG$205^A38,IF(A38='Données projet'!$A$192,'Données projet'!$B$192,EJ37+EI38-ER37)))</f>
        <v>114.39010989010988</v>
      </c>
      <c r="EK38" s="17">
        <f>EJ38*VLOOKUP('Données projet'!$B$15,Paramètres!$A$1:$I$89,3,0)*VLOOKUP('Données projet'!$B$15,Paramètres!$A$1:$I$89,5,0)</f>
        <v>115.99157142857143</v>
      </c>
      <c r="EL38" s="13">
        <f t="shared" si="45"/>
        <v>30.738258626956586</v>
      </c>
      <c r="EM38" s="20">
        <f t="shared" si="19"/>
        <v>255.55445401337798</v>
      </c>
      <c r="EN38" s="59">
        <f t="shared" si="20"/>
        <v>548.88778734671132</v>
      </c>
      <c r="EO38" s="59">
        <f ca="1">AVERAGE(OFFSET($EN$3,0,0,'Données projet'!$E$15+1,1))-AVERAGE(OFFSET($H$3,0,0,'Données projet'!$E$15+1,1))</f>
        <v>190.21499310415584</v>
      </c>
      <c r="EP38" s="59">
        <f t="shared" si="46"/>
        <v>136.15730566500173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1.6541666666666663</v>
      </c>
      <c r="FE38" s="12">
        <f>IF('Données projet'!$A$218&gt;35,FE37+FD38-FM37,IF(A38&lt;'Données projet'!$A$218,$FB$205^A38,IF(A38='Données projet'!$A$218,'Données projet'!$B$218,FE37+FD38-FM37)))</f>
        <v>44.354166666666686</v>
      </c>
      <c r="FF38" s="17">
        <f>FE38*VLOOKUP('Données projet'!$B$16,Paramètres!$A$1:$I$89,3,0)*VLOOKUP('Données projet'!$B$16,Paramètres!$A$1:$I$89,5,0)</f>
        <v>51.096000000000025</v>
      </c>
      <c r="FG38" s="13">
        <f t="shared" si="47"/>
        <v>14.896448259440648</v>
      </c>
      <c r="FH38" s="20">
        <f t="shared" si="22"/>
        <v>114.93684738519251</v>
      </c>
      <c r="FI38" s="59">
        <f t="shared" si="23"/>
        <v>408.27018071852581</v>
      </c>
      <c r="FJ38" s="59">
        <f ca="1">AVERAGE(OFFSET($FI$3,0,0,'Données projet'!$E$16+1,1))-AVERAGE(OFFSET($H$3,0,0,'Données projet'!$E$16+1,1))</f>
        <v>14.847345852478327</v>
      </c>
      <c r="FK38" s="59">
        <f t="shared" si="48"/>
        <v>46.764428272166299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1.5450301316748636</v>
      </c>
      <c r="FS38" s="21">
        <f>EXP(-LN(2)/2)*FS37+(1-EXP(-LN(2)/2))/(LN(2)/2)*FM38*FP38*VLOOKUP('Données projet'!$B$16,Paramètres!$A$1:$I$89,3,0)*0.475*44/12</f>
        <v>0.34877962330317019</v>
      </c>
      <c r="FT38" s="22">
        <f t="shared" si="24"/>
        <v>1.8938097549780337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9.3141025641025674</v>
      </c>
      <c r="N39" s="13">
        <f>IF('Données projet'!$A$36&gt;35,N38+M39-V38,IF(A39&lt;'Données projet'!$A$36,$K$205^A39,IF(A39='Données projet'!$A$36,'Données projet'!$B$36,N38+M39-V38)))</f>
        <v>110.87820512820512</v>
      </c>
      <c r="O39" s="13">
        <f>N39*VLOOKUP('Données projet'!$B$9,Paramètres!$A$1:$I$89,3,0)*VLOOKUP('Données projet'!$B$9,Paramètres!$A$1:$I$89,5,0)</f>
        <v>100.32259999999999</v>
      </c>
      <c r="P39" s="13">
        <f t="shared" si="33"/>
        <v>27.038838137326771</v>
      </c>
      <c r="Q39" s="20">
        <f t="shared" si="53"/>
        <v>221.82117142251073</v>
      </c>
      <c r="R39" s="59">
        <f t="shared" si="0"/>
        <v>515.15450475584407</v>
      </c>
      <c r="S39" s="59">
        <f ca="1">AVERAGE(OFFSET($R$3,0,0,'Données projet'!$E$9+1,1))-AVERAGE(OFFSET($H$3,0,0,'Données projet'!$E$9+1,1))</f>
        <v>221.7429870520005</v>
      </c>
      <c r="T39" s="59">
        <f t="shared" si="34"/>
        <v>182.2029938397186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12.1</v>
      </c>
      <c r="AI39" s="13">
        <f>IF('Données projet'!$A$62&gt;35,AI38+AH39-AQ38,IF(A39&lt;'Données projet'!$A$62,$AF$205^A39,IF(A39='Données projet'!$A$62,'Données projet'!$B$62,AI38+AH39-AQ38)))</f>
        <v>214.59999999999997</v>
      </c>
      <c r="AJ39" s="13">
        <f>AI39*VLOOKUP('Données projet'!$B$10,Paramètres!$A$1:$I$89,3,0)*VLOOKUP('Données projet'!$B$10,Paramètres!$A$1:$I$89,5,0)</f>
        <v>170.73575999999997</v>
      </c>
      <c r="AK39" s="13">
        <f t="shared" si="35"/>
        <v>43.254767908658785</v>
      </c>
      <c r="AL39" s="20">
        <f t="shared" si="4"/>
        <v>372.70016944091395</v>
      </c>
      <c r="AM39" s="59">
        <f t="shared" si="5"/>
        <v>666.03350277424727</v>
      </c>
      <c r="AN39" s="59">
        <f ca="1">AVERAGE(OFFSET($AM$3,0,0,'Données projet'!$E$10+1,1))-AVERAGE(OFFSET($H$3,0,0,'Données projet'!$E$10+1,1))</f>
        <v>260.20517190557814</v>
      </c>
      <c r="AO39" s="59">
        <f t="shared" si="36"/>
        <v>307.22009971147133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2.8974146544088684</v>
      </c>
      <c r="AV39" s="21">
        <f>EXP(-LN(2)/25)*AV38+(1-EXP(-LN(2)/25))/(LN(2)/25)*Calculateur!AQ39*Calculateur!AS39*VLOOKUP('Données projet'!$B$10,Paramètres!$A$1:$I$89,3,0)*0.475*44/12</f>
        <v>17.374877418763198</v>
      </c>
      <c r="AW39" s="21">
        <f>EXP(-LN(2)/2)*AW38+(1-EXP(-LN(2)/2))/(LN(2)/2)*AQ39*AT39*VLOOKUP('Données projet'!$B$10,Paramètres!$A$1:$I$89,3,0)*0.475*44/12</f>
        <v>3.0048792815946608</v>
      </c>
      <c r="AX39" s="21">
        <f t="shared" si="6"/>
        <v>23.277171354766729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18.2</v>
      </c>
      <c r="BD39" s="12">
        <f>IF('Données projet'!$A$88&gt;35,BD38+BC39-BL38,IF(A39&lt;'Données projet'!$A$88,$BA$205^A39,IF(A39='Données projet'!$A$88,'Données projet'!$B$88,BD38+BC39-BL38)))</f>
        <v>268.2</v>
      </c>
      <c r="BE39" s="13">
        <f>BD39*VLOOKUP('Données projet'!$B$11,Paramètres!$A$1:$I$89,3,0)*VLOOKUP('Données projet'!$B$11,Paramètres!$A$1:$I$89,5,0)</f>
        <v>160.3836</v>
      </c>
      <c r="BF39" s="13">
        <f t="shared" si="37"/>
        <v>40.929025395397886</v>
      </c>
      <c r="BG39" s="20">
        <f t="shared" si="7"/>
        <v>350.61948923031804</v>
      </c>
      <c r="BH39" s="59">
        <f t="shared" si="8"/>
        <v>643.95282256365135</v>
      </c>
      <c r="BI39" s="59">
        <f ca="1">AVERAGE(OFFSET($BH$3,0,0,'Données projet'!$E$11+1,1))-AVERAGE(OFFSET($H$3,0,0,'Données projet'!$E$11+1,1))</f>
        <v>316.58509520829671</v>
      </c>
      <c r="BJ39" s="59">
        <f t="shared" si="38"/>
        <v>240.71332110643596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2.2505841750355233</v>
      </c>
      <c r="BQ39" s="21">
        <f>EXP(-LN(2)/25)*BQ38+(1-EXP(-LN(2)/25))/(LN(2)/25)*Calculateur!BL39*Calculateur!BN39*VLOOKUP('Données projet'!$B$11,Paramètres!$A$1:$I$89,3,0)*0.475*44/12</f>
        <v>12.928045380158835</v>
      </c>
      <c r="BR39" s="21">
        <f>EXP(-LN(2)/2)*BR38+(1-EXP(-LN(2)/2))/(LN(2)/2)*BL39*BO39*VLOOKUP('Données projet'!$B$11,Paramètres!$A$1:$I$89,3,0)*0.475*44/12</f>
        <v>2.7424178837675992</v>
      </c>
      <c r="BS39" s="22">
        <f t="shared" si="9"/>
        <v>17.921047438961956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15.7</v>
      </c>
      <c r="BY39" s="12">
        <f>IF('Données projet'!$A$114&gt;35,BY38+BX39-CG38,IF(A39&lt;'Données projet'!$A$114,$BV$205^A39,IF(A39='Données projet'!$A$114,'Données projet'!$B$114,BY38+BX39-CG38)))</f>
        <v>234.2</v>
      </c>
      <c r="BZ39" s="13">
        <f>BY39*VLOOKUP('Données projet'!$B$12,Paramètres!$A$1:$I$89,3,0)*VLOOKUP('Données projet'!$B$12,Paramètres!$A$1:$I$89,5,0)</f>
        <v>140.05160000000001</v>
      </c>
      <c r="CA39" s="13">
        <f t="shared" si="39"/>
        <v>36.308826076884721</v>
      </c>
      <c r="CB39" s="20">
        <f t="shared" si="10"/>
        <v>307.16107541724091</v>
      </c>
      <c r="CC39" s="59">
        <f t="shared" si="11"/>
        <v>600.49440875057417</v>
      </c>
      <c r="CD39" s="59">
        <f ca="1">AVERAGE(OFFSET($CC$3,0,0,'Données projet'!$E$12+1,1))-AVERAGE(OFFSET($H$3,0,0,'Données projet'!$E$12+1,1))</f>
        <v>270.30888762640245</v>
      </c>
      <c r="CE39" s="59">
        <f t="shared" si="40"/>
        <v>202.23783851977691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1.901902119748329</v>
      </c>
      <c r="CL39" s="21">
        <f>EXP(-LN(2)/25)*CL38+(1-EXP(-LN(2)/25))/(LN(2)/25)*Calculateur!CG39*Calculateur!CI39*VLOOKUP('Données projet'!$B$12,Paramètres!$A$1:$I$89,3,0)*0.475*44/12</f>
        <v>10.410909884366278</v>
      </c>
      <c r="CM39" s="21">
        <f>EXP(-LN(2)/2)*CM38+(1-EXP(-LN(2)/2))/(LN(2)/2)*CG39*CJ39*VLOOKUP('Données projet'!$B$12,Paramètres!$A$1:$I$89,3,0)*0.475*44/12</f>
        <v>2.311576073307823</v>
      </c>
      <c r="CN39" s="22">
        <f t="shared" si="12"/>
        <v>14.624388077422429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12.1</v>
      </c>
      <c r="CT39" s="12">
        <f>IF('Données projet'!$A$140&gt;35,CT38+CS39-DB38,IF(A39&lt;'Données projet'!$A$140,$CQ$205^A39,IF(A39='Données projet'!$A$140,'Données projet'!$B$140,CT38+CS39-DB38)))</f>
        <v>214.59999999999997</v>
      </c>
      <c r="CU39" s="17">
        <f>CT39*VLOOKUP('Données projet'!$B$13,Paramètres!$A$1:$I$89,3,0)*VLOOKUP('Données projet'!$B$13,Paramètres!$A$1:$I$89,5,0)</f>
        <v>143.95367999999996</v>
      </c>
      <c r="CV39" s="13">
        <f t="shared" si="41"/>
        <v>37.20126481543732</v>
      </c>
      <c r="CW39" s="20">
        <f t="shared" si="13"/>
        <v>315.51152888688659</v>
      </c>
      <c r="CX39" s="59">
        <f t="shared" si="14"/>
        <v>608.84486222021997</v>
      </c>
      <c r="CY39" s="59">
        <f ca="1">AVERAGE(OFFSET($CX$3,0,0,'Données projet'!$E$13+1,1))-AVERAGE(OFFSET($H$3,0,0,'Données projet'!$E$13+1,1))</f>
        <v>207.93042467236967</v>
      </c>
      <c r="CZ39" s="59">
        <f t="shared" si="42"/>
        <v>250.70954318710835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2.4429182380310062</v>
      </c>
      <c r="DG39" s="21">
        <f>EXP(-LN(2)/25)*DG38+(1-EXP(-LN(2)/25))/(LN(2)/25)*Calculateur!DB39*Calculateur!DD39*VLOOKUP('Données projet'!$B$13,Paramètres!$A$1:$I$89,3,0)*0.475*44/12</f>
        <v>14.649406451114071</v>
      </c>
      <c r="DH39" s="21">
        <f>EXP(-LN(2)/2)*DH38+(1-EXP(-LN(2)/2))/(LN(2)/2)*DB39*DE39*VLOOKUP('Données projet'!$B$13,Paramètres!$A$1:$I$89,3,0)*0.475*44/12</f>
        <v>2.5335256687954981</v>
      </c>
      <c r="DI39" s="22">
        <f t="shared" si="15"/>
        <v>19.625850357940575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10.199999999999999</v>
      </c>
      <c r="DO39" s="12">
        <f>IF('Données projet'!$A$166&gt;35,DO38+DN39-DW38,IF(A39&lt;'Données projet'!$A$166,$DL$205^A39,IF(A39='Données projet'!$A$166,'Données projet'!$B$166,DO38+DN39-DW38)))</f>
        <v>179.1999999999999</v>
      </c>
      <c r="DP39" s="17">
        <f>DO39*VLOOKUP('Données projet'!$B$14,Paramètres!$A$1:$I$89,3,0)*VLOOKUP('Données projet'!$B$14,Paramètres!$A$1:$I$89,5,0)</f>
        <v>120.20735999999994</v>
      </c>
      <c r="DQ39" s="13">
        <f t="shared" si="43"/>
        <v>31.72335774813088</v>
      </c>
      <c r="DR39" s="20">
        <f t="shared" si="16"/>
        <v>264.61266674466111</v>
      </c>
      <c r="DS39" s="59">
        <f t="shared" si="17"/>
        <v>557.94600007799443</v>
      </c>
      <c r="DT39" s="59">
        <f ca="1">AVERAGE(OFFSET($DS$3,0,0,'Données projet'!$E$14+1,1))-AVERAGE(OFFSET($H$3,0,0,'Données projet'!$E$14+1,1))</f>
        <v>156.63226020379989</v>
      </c>
      <c r="DU39" s="59">
        <f t="shared" si="44"/>
        <v>196.0481096619543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7.3412484563170795</v>
      </c>
      <c r="EC39" s="21">
        <f>EXP(-LN(2)/2)*EC38+(1-EXP(-LN(2)/2))/(LN(2)/2)*DW39*DZ39*VLOOKUP('Données projet'!$B$14,Paramètres!$A$1:$I$89,3,0)*0.475*44/12</f>
        <v>1.1341838502658554</v>
      </c>
      <c r="ED39" s="22">
        <f t="shared" si="18"/>
        <v>8.4754323065829347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5.3369963369963358</v>
      </c>
      <c r="EJ39" s="12">
        <f>IF('Données projet'!$A$192&gt;35,EJ38+EI39-ER38,IF(A39&lt;'Données projet'!$A$192,$EG$205^A39,IF(A39='Données projet'!$A$192,'Données projet'!$B$192,EJ38+EI39-ER38)))</f>
        <v>119.72710622710622</v>
      </c>
      <c r="EK39" s="17">
        <f>EJ39*VLOOKUP('Données projet'!$B$15,Paramètres!$A$1:$I$89,3,0)*VLOOKUP('Données projet'!$B$15,Paramètres!$A$1:$I$89,5,0)</f>
        <v>121.40328571428572</v>
      </c>
      <c r="EL39" s="13">
        <f t="shared" si="45"/>
        <v>32.002070852076919</v>
      </c>
      <c r="EM39" s="20">
        <f t="shared" si="19"/>
        <v>267.18099601974819</v>
      </c>
      <c r="EN39" s="59">
        <f t="shared" si="20"/>
        <v>560.51432935308151</v>
      </c>
      <c r="EO39" s="59">
        <f ca="1">AVERAGE(OFFSET($EN$3,0,0,'Données projet'!$E$15+1,1))-AVERAGE(OFFSET($H$3,0,0,'Données projet'!$E$15+1,1))</f>
        <v>190.21499310415584</v>
      </c>
      <c r="EP39" s="59">
        <f t="shared" si="46"/>
        <v>136.15730566500173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1.6541666666666663</v>
      </c>
      <c r="FE39" s="12">
        <f>IF('Données projet'!$A$218&gt;35,FE38+FD39-FM38,IF(A39&lt;'Données projet'!$A$218,$FB$205^A39,IF(A39='Données projet'!$A$218,'Données projet'!$B$218,FE38+FD39-FM38)))</f>
        <v>46.008333333333354</v>
      </c>
      <c r="FF39" s="17">
        <f>FE39*VLOOKUP('Données projet'!$B$16,Paramètres!$A$1:$I$89,3,0)*VLOOKUP('Données projet'!$B$16,Paramètres!$A$1:$I$89,5,0)</f>
        <v>53.001600000000025</v>
      </c>
      <c r="FG39" s="13">
        <f t="shared" si="47"/>
        <v>15.386286245226238</v>
      </c>
      <c r="FH39" s="20">
        <f t="shared" si="22"/>
        <v>119.10890187710241</v>
      </c>
      <c r="FI39" s="59">
        <f t="shared" si="23"/>
        <v>412.44223521043574</v>
      </c>
      <c r="FJ39" s="59">
        <f ca="1">AVERAGE(OFFSET($FI$3,0,0,'Données projet'!$E$16+1,1))-AVERAGE(OFFSET($H$3,0,0,'Données projet'!$E$16+1,1))</f>
        <v>14.847345852478327</v>
      </c>
      <c r="FK39" s="59">
        <f t="shared" si="48"/>
        <v>46.764428272166299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1.5027812014746109</v>
      </c>
      <c r="FS39" s="21">
        <f>EXP(-LN(2)/2)*FS38+(1-EXP(-LN(2)/2))/(LN(2)/2)*FM39*FP39*VLOOKUP('Données projet'!$B$16,Paramètres!$A$1:$I$89,3,0)*0.475*44/12</f>
        <v>0.24662443677736126</v>
      </c>
      <c r="FT39" s="22">
        <f t="shared" si="24"/>
        <v>1.7494056382519723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9.3141025641025674</v>
      </c>
      <c r="N40" s="13">
        <f>IF('Données projet'!$A$36&gt;35,N39+M40-V39,IF(A40&lt;'Données projet'!$A$36,$K$205^A40,IF(A40='Données projet'!$A$36,'Données projet'!$B$36,N39+M40-V39)))</f>
        <v>120.19230769230769</v>
      </c>
      <c r="O40" s="13">
        <f>N40*VLOOKUP('Données projet'!$B$9,Paramètres!$A$1:$I$89,3,0)*VLOOKUP('Données projet'!$B$9,Paramètres!$A$1:$I$89,5,0)</f>
        <v>108.74999999999999</v>
      </c>
      <c r="P40" s="13">
        <f t="shared" si="33"/>
        <v>29.036279216217448</v>
      </c>
      <c r="Q40" s="20">
        <f t="shared" si="53"/>
        <v>239.97776963491199</v>
      </c>
      <c r="R40" s="59">
        <f t="shared" si="0"/>
        <v>533.31110296824534</v>
      </c>
      <c r="S40" s="59">
        <f ca="1">AVERAGE(OFFSET($R$3,0,0,'Données projet'!$E$9+1,1))-AVERAGE(OFFSET($H$3,0,0,'Données projet'!$E$9+1,1))</f>
        <v>221.7429870520005</v>
      </c>
      <c r="T40" s="59">
        <f t="shared" si="34"/>
        <v>182.2029938397186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12.1</v>
      </c>
      <c r="AI40" s="13">
        <f>IF('Données projet'!$A$62&gt;35,AI39+AH40-AQ39,IF(A40&lt;'Données projet'!$A$62,$AF$205^A40,IF(A40='Données projet'!$A$62,'Données projet'!$B$62,AI39+AH40-AQ39)))</f>
        <v>226.69999999999996</v>
      </c>
      <c r="AJ40" s="13">
        <f>AI40*VLOOKUP('Données projet'!$B$10,Paramètres!$A$1:$I$89,3,0)*VLOOKUP('Données projet'!$B$10,Paramètres!$A$1:$I$89,5,0)</f>
        <v>180.36251999999996</v>
      </c>
      <c r="AK40" s="13">
        <f t="shared" si="35"/>
        <v>45.402830740762262</v>
      </c>
      <c r="AL40" s="20">
        <f t="shared" si="4"/>
        <v>393.20798587349418</v>
      </c>
      <c r="AM40" s="59">
        <f t="shared" si="5"/>
        <v>686.54131920682744</v>
      </c>
      <c r="AN40" s="59">
        <f ca="1">AVERAGE(OFFSET($AM$3,0,0,'Données projet'!$E$10+1,1))-AVERAGE(OFFSET($H$3,0,0,'Données projet'!$E$10+1,1))</f>
        <v>260.20517190557814</v>
      </c>
      <c r="AO40" s="59">
        <f t="shared" si="36"/>
        <v>307.22009971147133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2.8405981202843482</v>
      </c>
      <c r="AV40" s="21">
        <f>EXP(-LN(2)/25)*AV39+(1-EXP(-LN(2)/25))/(LN(2)/25)*Calculateur!AQ40*Calculateur!AS40*VLOOKUP('Données projet'!$B$10,Paramètres!$A$1:$I$89,3,0)*0.475*44/12</f>
        <v>16.899760482042026</v>
      </c>
      <c r="AW40" s="21">
        <f>EXP(-LN(2)/2)*AW39+(1-EXP(-LN(2)/2))/(LN(2)/2)*AQ40*AT40*VLOOKUP('Données projet'!$B$10,Paramètres!$A$1:$I$89,3,0)*0.475*44/12</f>
        <v>2.1247705166625459</v>
      </c>
      <c r="AX40" s="21">
        <f t="shared" si="6"/>
        <v>21.865129118988921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18.2</v>
      </c>
      <c r="BD40" s="12">
        <f>IF('Données projet'!$A$88&gt;35,BD39+BC40-BL39,IF(A40&lt;'Données projet'!$A$88,$BA$205^A40,IF(A40='Données projet'!$A$88,'Données projet'!$B$88,BD39+BC40-BL39)))</f>
        <v>286.39999999999998</v>
      </c>
      <c r="BE40" s="13">
        <f>BD40*VLOOKUP('Données projet'!$B$11,Paramètres!$A$1:$I$89,3,0)*VLOOKUP('Données projet'!$B$11,Paramètres!$A$1:$I$89,5,0)</f>
        <v>171.2672</v>
      </c>
      <c r="BF40" s="13">
        <f t="shared" si="37"/>
        <v>43.373711445811836</v>
      </c>
      <c r="BG40" s="20">
        <f t="shared" si="7"/>
        <v>373.83292076812228</v>
      </c>
      <c r="BH40" s="59">
        <f t="shared" si="8"/>
        <v>667.16625410145559</v>
      </c>
      <c r="BI40" s="59">
        <f ca="1">AVERAGE(OFFSET($BH$3,0,0,'Données projet'!$E$11+1,1))-AVERAGE(OFFSET($H$3,0,0,'Données projet'!$E$11+1,1))</f>
        <v>316.58509520829671</v>
      </c>
      <c r="BJ40" s="59">
        <f t="shared" si="38"/>
        <v>240.71332110643596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2.2064515920838788</v>
      </c>
      <c r="BQ40" s="21">
        <f>EXP(-LN(2)/25)*BQ39+(1-EXP(-LN(2)/25))/(LN(2)/25)*Calculateur!BL40*Calculateur!BN40*VLOOKUP('Données projet'!$B$11,Paramètres!$A$1:$I$89,3,0)*0.475*44/12</f>
        <v>12.574527299382032</v>
      </c>
      <c r="BR40" s="21">
        <f>EXP(-LN(2)/2)*BR39+(1-EXP(-LN(2)/2))/(LN(2)/2)*BL40*BO40*VLOOKUP('Données projet'!$B$11,Paramètres!$A$1:$I$89,3,0)*0.475*44/12</f>
        <v>1.9391822824593306</v>
      </c>
      <c r="BS40" s="22">
        <f t="shared" si="9"/>
        <v>16.720161173925241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15.7</v>
      </c>
      <c r="BY40" s="12">
        <f>IF('Données projet'!$A$114&gt;35,BY39+BX40-CG39,IF(A40&lt;'Données projet'!$A$114,$BV$205^A40,IF(A40='Données projet'!$A$114,'Données projet'!$B$114,BY39+BX40-CG39)))</f>
        <v>249.89999999999998</v>
      </c>
      <c r="BZ40" s="13">
        <f>BY40*VLOOKUP('Données projet'!$B$12,Paramètres!$A$1:$I$89,3,0)*VLOOKUP('Données projet'!$B$12,Paramètres!$A$1:$I$89,5,0)</f>
        <v>149.4402</v>
      </c>
      <c r="CA40" s="13">
        <f t="shared" si="39"/>
        <v>38.451341391894722</v>
      </c>
      <c r="CB40" s="20">
        <f t="shared" si="10"/>
        <v>327.24443459088332</v>
      </c>
      <c r="CC40" s="59">
        <f t="shared" si="11"/>
        <v>620.57776792421669</v>
      </c>
      <c r="CD40" s="59">
        <f ca="1">AVERAGE(OFFSET($CC$3,0,0,'Données projet'!$E$12+1,1))-AVERAGE(OFFSET($H$3,0,0,'Données projet'!$E$12+1,1))</f>
        <v>270.30888762640245</v>
      </c>
      <c r="CE40" s="59">
        <f t="shared" si="40"/>
        <v>202.23783851977691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1.8646069792258124</v>
      </c>
      <c r="CL40" s="21">
        <f>EXP(-LN(2)/25)*CL39+(1-EXP(-LN(2)/25))/(LN(2)/25)*Calculateur!CG40*Calculateur!CI40*VLOOKUP('Données projet'!$B$12,Paramètres!$A$1:$I$89,3,0)*0.475*44/12</f>
        <v>10.126223006092326</v>
      </c>
      <c r="CM40" s="21">
        <f>EXP(-LN(2)/2)*CM39+(1-EXP(-LN(2)/2))/(LN(2)/2)*CG40*CJ40*VLOOKUP('Données projet'!$B$12,Paramètres!$A$1:$I$89,3,0)*0.475*44/12</f>
        <v>1.6345311166645335</v>
      </c>
      <c r="CN40" s="22">
        <f t="shared" si="12"/>
        <v>13.625361101982671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12.1</v>
      </c>
      <c r="CT40" s="12">
        <f>IF('Données projet'!$A$140&gt;35,CT39+CS40-DB39,IF(A40&lt;'Données projet'!$A$140,$CQ$205^A40,IF(A40='Données projet'!$A$140,'Données projet'!$B$140,CT39+CS40-DB39)))</f>
        <v>226.69999999999996</v>
      </c>
      <c r="CU40" s="17">
        <f>CT40*VLOOKUP('Données projet'!$B$13,Paramètres!$A$1:$I$89,3,0)*VLOOKUP('Données projet'!$B$13,Paramètres!$A$1:$I$89,5,0)</f>
        <v>152.07035999999997</v>
      </c>
      <c r="CV40" s="13">
        <f t="shared" si="41"/>
        <v>39.048706337399189</v>
      </c>
      <c r="CW40" s="20">
        <f t="shared" si="13"/>
        <v>332.86570720430353</v>
      </c>
      <c r="CX40" s="59">
        <f t="shared" si="14"/>
        <v>626.19904053763685</v>
      </c>
      <c r="CY40" s="59">
        <f ca="1">AVERAGE(OFFSET($CX$3,0,0,'Données projet'!$E$13+1,1))-AVERAGE(OFFSET($H$3,0,0,'Données projet'!$E$13+1,1))</f>
        <v>207.93042467236967</v>
      </c>
      <c r="CZ40" s="59">
        <f t="shared" si="42"/>
        <v>250.70954318710835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2.3950141014162147</v>
      </c>
      <c r="DG40" s="21">
        <f>EXP(-LN(2)/25)*DG39+(1-EXP(-LN(2)/25))/(LN(2)/25)*Calculateur!DB40*Calculateur!DD40*VLOOKUP('Données projet'!$B$13,Paramètres!$A$1:$I$89,3,0)*0.475*44/12</f>
        <v>14.248817661329554</v>
      </c>
      <c r="DH40" s="21">
        <f>EXP(-LN(2)/2)*DH39+(1-EXP(-LN(2)/2))/(LN(2)/2)*DB40*DE40*VLOOKUP('Données projet'!$B$13,Paramètres!$A$1:$I$89,3,0)*0.475*44/12</f>
        <v>1.7914731807154798</v>
      </c>
      <c r="DI40" s="22">
        <f t="shared" si="15"/>
        <v>18.435304943461247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10.199999999999999</v>
      </c>
      <c r="DO40" s="12">
        <f>IF('Données projet'!$A$166&gt;35,DO39+DN40-DW39,IF(A40&lt;'Données projet'!$A$166,$DL$205^A40,IF(A40='Données projet'!$A$166,'Données projet'!$B$166,DO39+DN40-DW39)))</f>
        <v>189.39999999999989</v>
      </c>
      <c r="DP40" s="17">
        <f>DO40*VLOOKUP('Données projet'!$B$14,Paramètres!$A$1:$I$89,3,0)*VLOOKUP('Données projet'!$B$14,Paramètres!$A$1:$I$89,5,0)</f>
        <v>127.04951999999993</v>
      </c>
      <c r="DQ40" s="13">
        <f t="shared" si="43"/>
        <v>33.313681779925446</v>
      </c>
      <c r="DR40" s="20">
        <f t="shared" si="16"/>
        <v>279.29924310003668</v>
      </c>
      <c r="DS40" s="59">
        <f t="shared" si="17"/>
        <v>572.63257643336999</v>
      </c>
      <c r="DT40" s="59">
        <f ca="1">AVERAGE(OFFSET($DS$3,0,0,'Données projet'!$E$14+1,1))-AVERAGE(OFFSET($H$3,0,0,'Données projet'!$E$14+1,1))</f>
        <v>156.63226020379989</v>
      </c>
      <c r="DU40" s="59">
        <f t="shared" si="44"/>
        <v>196.0481096619543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7.1405016312196112</v>
      </c>
      <c r="EC40" s="21">
        <f>EXP(-LN(2)/2)*EC39+(1-EXP(-LN(2)/2))/(LN(2)/2)*DW40*DZ40*VLOOKUP('Données projet'!$B$14,Paramètres!$A$1:$I$89,3,0)*0.475*44/12</f>
        <v>0.80198909163525423</v>
      </c>
      <c r="ED40" s="22">
        <f t="shared" si="18"/>
        <v>7.9424907228548651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5.3369963369963358</v>
      </c>
      <c r="EJ40" s="12">
        <f>IF('Données projet'!$A$192&gt;35,EJ39+EI40-ER39,IF(A40&lt;'Données projet'!$A$192,$EG$205^A40,IF(A40='Données projet'!$A$192,'Données projet'!$B$192,EJ39+EI40-ER39)))</f>
        <v>125.06410256410255</v>
      </c>
      <c r="EK40" s="17">
        <f>EJ40*VLOOKUP('Données projet'!$B$15,Paramètres!$A$1:$I$89,3,0)*VLOOKUP('Données projet'!$B$15,Paramètres!$A$1:$I$89,5,0)</f>
        <v>126.81499999999998</v>
      </c>
      <c r="EL40" s="13">
        <f t="shared" si="45"/>
        <v>33.259340247246584</v>
      </c>
      <c r="EM40" s="20">
        <f t="shared" si="19"/>
        <v>278.79614259728777</v>
      </c>
      <c r="EN40" s="59">
        <f t="shared" si="20"/>
        <v>572.12947593062108</v>
      </c>
      <c r="EO40" s="59">
        <f ca="1">AVERAGE(OFFSET($EN$3,0,0,'Données projet'!$E$15+1,1))-AVERAGE(OFFSET($H$3,0,0,'Données projet'!$E$15+1,1))</f>
        <v>190.21499310415584</v>
      </c>
      <c r="EP40" s="59">
        <f t="shared" si="46"/>
        <v>136.15730566500173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1.6541666666666663</v>
      </c>
      <c r="FE40" s="12">
        <f>IF('Données projet'!$A$218&gt;35,FE39+FD40-FM39,IF(A40&lt;'Données projet'!$A$218,$FB$205^A40,IF(A40='Données projet'!$A$218,'Données projet'!$B$218,FE39+FD40-FM39)))</f>
        <v>47.662500000000023</v>
      </c>
      <c r="FF40" s="17">
        <f>FE40*VLOOKUP('Données projet'!$B$16,Paramètres!$A$1:$I$89,3,0)*VLOOKUP('Données projet'!$B$16,Paramètres!$A$1:$I$89,5,0)</f>
        <v>54.907200000000024</v>
      </c>
      <c r="FG40" s="13">
        <f t="shared" si="47"/>
        <v>15.874078075646024</v>
      </c>
      <c r="FH40" s="20">
        <f t="shared" si="22"/>
        <v>123.27739264841686</v>
      </c>
      <c r="FI40" s="59">
        <f t="shared" si="23"/>
        <v>416.61072598175019</v>
      </c>
      <c r="FJ40" s="59">
        <f ca="1">AVERAGE(OFFSET($FI$3,0,0,'Données projet'!$E$16+1,1))-AVERAGE(OFFSET($H$3,0,0,'Données projet'!$E$16+1,1))</f>
        <v>14.847345852478327</v>
      </c>
      <c r="FK40" s="59">
        <f t="shared" si="48"/>
        <v>46.764428272166299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1.461687570492459</v>
      </c>
      <c r="FS40" s="21">
        <f>EXP(-LN(2)/2)*FS39+(1-EXP(-LN(2)/2))/(LN(2)/2)*FM40*FP40*VLOOKUP('Données projet'!$B$16,Paramètres!$A$1:$I$89,3,0)*0.475*44/12</f>
        <v>0.17438981165158512</v>
      </c>
      <c r="FT40" s="22">
        <f t="shared" si="24"/>
        <v>1.6360773821440442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9.3141025641025674</v>
      </c>
      <c r="N41" s="13">
        <f>IF('Données projet'!$A$36&gt;35,N40+M41-V40,IF(A41&lt;'Données projet'!$A$36,$K$205^A41,IF(A41='Données projet'!$A$36,'Données projet'!$B$36,N40+M41-V40)))</f>
        <v>129.50641025641025</v>
      </c>
      <c r="O41" s="13">
        <f>N41*VLOOKUP('Données projet'!$B$9,Paramètres!$A$1:$I$89,3,0)*VLOOKUP('Données projet'!$B$9,Paramètres!$A$1:$I$89,5,0)</f>
        <v>117.17739999999998</v>
      </c>
      <c r="P41" s="13">
        <f t="shared" si="33"/>
        <v>31.015764986886897</v>
      </c>
      <c r="Q41" s="20">
        <f t="shared" si="53"/>
        <v>258.10309568549462</v>
      </c>
      <c r="R41" s="59">
        <f t="shared" si="0"/>
        <v>551.43642901882799</v>
      </c>
      <c r="S41" s="59">
        <f ca="1">AVERAGE(OFFSET($R$3,0,0,'Données projet'!$E$9+1,1))-AVERAGE(OFFSET($H$3,0,0,'Données projet'!$E$9+1,1))</f>
        <v>221.7429870520005</v>
      </c>
      <c r="T41" s="59">
        <f t="shared" si="34"/>
        <v>182.2029938397186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12.1</v>
      </c>
      <c r="AI41" s="13">
        <f>IF('Données projet'!$A$62&gt;35,AI40+AH41-AQ40,IF(A41&lt;'Données projet'!$A$62,$AF$205^A41,IF(A41='Données projet'!$A$62,'Données projet'!$B$62,AI40+AH41-AQ40)))</f>
        <v>238.79999999999995</v>
      </c>
      <c r="AJ41" s="13">
        <f>AI41*VLOOKUP('Données projet'!$B$10,Paramètres!$A$1:$I$89,3,0)*VLOOKUP('Données projet'!$B$10,Paramètres!$A$1:$I$89,5,0)</f>
        <v>189.98927999999998</v>
      </c>
      <c r="AK41" s="13">
        <f t="shared" si="35"/>
        <v>47.537582803650189</v>
      </c>
      <c r="AL41" s="20">
        <f t="shared" si="4"/>
        <v>413.69261938302407</v>
      </c>
      <c r="AM41" s="59">
        <f t="shared" si="5"/>
        <v>707.02595271635732</v>
      </c>
      <c r="AN41" s="59">
        <f ca="1">AVERAGE(OFFSET($AM$3,0,0,'Données projet'!$E$10+1,1))-AVERAGE(OFFSET($H$3,0,0,'Données projet'!$E$10+1,1))</f>
        <v>260.20517190557814</v>
      </c>
      <c r="AO41" s="59">
        <f t="shared" si="36"/>
        <v>307.22009971147133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2.7848957237393459</v>
      </c>
      <c r="AV41" s="21">
        <f>EXP(-LN(2)/25)*AV40+(1-EXP(-LN(2)/25))/(LN(2)/25)*Calculateur!AQ41*Calculateur!AS41*VLOOKUP('Données projet'!$B$10,Paramètres!$A$1:$I$89,3,0)*0.475*44/12</f>
        <v>16.437635642940808</v>
      </c>
      <c r="AW41" s="21">
        <f>EXP(-LN(2)/2)*AW40+(1-EXP(-LN(2)/2))/(LN(2)/2)*AQ41*AT41*VLOOKUP('Données projet'!$B$10,Paramètres!$A$1:$I$89,3,0)*0.475*44/12</f>
        <v>1.5024396407973304</v>
      </c>
      <c r="AX41" s="21">
        <f t="shared" si="6"/>
        <v>20.724971007477485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18.2</v>
      </c>
      <c r="BD41" s="12">
        <f>IF('Données projet'!$A$88&gt;35,BD40+BC41-BL40,IF(A41&lt;'Données projet'!$A$88,$BA$205^A41,IF(A41='Données projet'!$A$88,'Données projet'!$B$88,BD40+BC41-BL40)))</f>
        <v>304.59999999999997</v>
      </c>
      <c r="BE41" s="13">
        <f>BD41*VLOOKUP('Données projet'!$B$11,Paramètres!$A$1:$I$89,3,0)*VLOOKUP('Données projet'!$B$11,Paramètres!$A$1:$I$89,5,0)</f>
        <v>182.15079999999998</v>
      </c>
      <c r="BF41" s="13">
        <f t="shared" si="37"/>
        <v>45.800368240506849</v>
      </c>
      <c r="BG41" s="20">
        <f t="shared" si="7"/>
        <v>397.01495135221603</v>
      </c>
      <c r="BH41" s="59">
        <f t="shared" si="8"/>
        <v>690.34828468554929</v>
      </c>
      <c r="BI41" s="59">
        <f ca="1">AVERAGE(OFFSET($BH$3,0,0,'Données projet'!$E$11+1,1))-AVERAGE(OFFSET($H$3,0,0,'Données projet'!$E$11+1,1))</f>
        <v>316.58509520829671</v>
      </c>
      <c r="BJ41" s="59">
        <f t="shared" si="38"/>
        <v>240.71332110643596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2.1631844221656982</v>
      </c>
      <c r="BQ41" s="21">
        <f>EXP(-LN(2)/25)*BQ40+(1-EXP(-LN(2)/25))/(LN(2)/25)*Calculateur!BL41*Calculateur!BN41*VLOOKUP('Données projet'!$B$11,Paramètres!$A$1:$I$89,3,0)*0.475*44/12</f>
        <v>12.23067618911478</v>
      </c>
      <c r="BR41" s="21">
        <f>EXP(-LN(2)/2)*BR40+(1-EXP(-LN(2)/2))/(LN(2)/2)*BL41*BO41*VLOOKUP('Données projet'!$B$11,Paramètres!$A$1:$I$89,3,0)*0.475*44/12</f>
        <v>1.3712089418837998</v>
      </c>
      <c r="BS41" s="22">
        <f t="shared" si="9"/>
        <v>15.765069553164277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15.7</v>
      </c>
      <c r="BY41" s="12">
        <f>IF('Données projet'!$A$114&gt;35,BY40+BX41-CG40,IF(A41&lt;'Données projet'!$A$114,$BV$205^A41,IF(A41='Données projet'!$A$114,'Données projet'!$B$114,BY40+BX41-CG40)))</f>
        <v>265.59999999999997</v>
      </c>
      <c r="BZ41" s="13">
        <f>BY41*VLOOKUP('Données projet'!$B$12,Paramètres!$A$1:$I$89,3,0)*VLOOKUP('Données projet'!$B$12,Paramètres!$A$1:$I$89,5,0)</f>
        <v>158.8288</v>
      </c>
      <c r="CA41" s="13">
        <f t="shared" si="39"/>
        <v>40.578235128063156</v>
      </c>
      <c r="CB41" s="20">
        <f t="shared" si="10"/>
        <v>347.30058618137667</v>
      </c>
      <c r="CC41" s="59">
        <f t="shared" si="11"/>
        <v>640.63391951470999</v>
      </c>
      <c r="CD41" s="59">
        <f ca="1">AVERAGE(OFFSET($CC$3,0,0,'Données projet'!$E$12+1,1))-AVERAGE(OFFSET($H$3,0,0,'Données projet'!$E$12+1,1))</f>
        <v>270.30888762640245</v>
      </c>
      <c r="CE41" s="59">
        <f t="shared" si="40"/>
        <v>202.23783851977691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1.8280431736611527</v>
      </c>
      <c r="CL41" s="21">
        <f>EXP(-LN(2)/25)*CL40+(1-EXP(-LN(2)/25))/(LN(2)/25)*Calculateur!CG41*Calculateur!CI41*VLOOKUP('Données projet'!$B$12,Paramètres!$A$1:$I$89,3,0)*0.475*44/12</f>
        <v>9.8493209054758069</v>
      </c>
      <c r="CM41" s="21">
        <f>EXP(-LN(2)/2)*CM40+(1-EXP(-LN(2)/2))/(LN(2)/2)*CG41*CJ41*VLOOKUP('Données projet'!$B$12,Paramètres!$A$1:$I$89,3,0)*0.475*44/12</f>
        <v>1.1557880366539115</v>
      </c>
      <c r="CN41" s="22">
        <f t="shared" si="12"/>
        <v>12.83315211579087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12.1</v>
      </c>
      <c r="CT41" s="12">
        <f>IF('Données projet'!$A$140&gt;35,CT40+CS41-DB40,IF(A41&lt;'Données projet'!$A$140,$CQ$205^A41,IF(A41='Données projet'!$A$140,'Données projet'!$B$140,CT40+CS41-DB40)))</f>
        <v>238.79999999999995</v>
      </c>
      <c r="CU41" s="17">
        <f>CT41*VLOOKUP('Données projet'!$B$13,Paramètres!$A$1:$I$89,3,0)*VLOOKUP('Données projet'!$B$13,Paramètres!$A$1:$I$89,5,0)</f>
        <v>160.18703999999997</v>
      </c>
      <c r="CV41" s="13">
        <f t="shared" si="41"/>
        <v>40.884699931781583</v>
      </c>
      <c r="CW41" s="20">
        <f t="shared" si="13"/>
        <v>350.1999470478529</v>
      </c>
      <c r="CX41" s="59">
        <f t="shared" si="14"/>
        <v>643.53328038118616</v>
      </c>
      <c r="CY41" s="59">
        <f ca="1">AVERAGE(OFFSET($CX$3,0,0,'Données projet'!$E$13+1,1))-AVERAGE(OFFSET($H$3,0,0,'Données projet'!$E$13+1,1))</f>
        <v>207.93042467236967</v>
      </c>
      <c r="CZ41" s="59">
        <f t="shared" si="42"/>
        <v>250.70954318710835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2.3480493357018011</v>
      </c>
      <c r="DG41" s="21">
        <f>EXP(-LN(2)/25)*DG40+(1-EXP(-LN(2)/25))/(LN(2)/25)*Calculateur!DB41*Calculateur!DD41*VLOOKUP('Données projet'!$B$13,Paramètres!$A$1:$I$89,3,0)*0.475*44/12</f>
        <v>13.859182993067742</v>
      </c>
      <c r="DH41" s="21">
        <f>EXP(-LN(2)/2)*DH40+(1-EXP(-LN(2)/2))/(LN(2)/2)*DB41*DE41*VLOOKUP('Données projet'!$B$13,Paramètres!$A$1:$I$89,3,0)*0.475*44/12</f>
        <v>1.2667628343977491</v>
      </c>
      <c r="DI41" s="22">
        <f t="shared" si="15"/>
        <v>17.473995163167292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10.199999999999999</v>
      </c>
      <c r="DO41" s="12">
        <f>IF('Données projet'!$A$166&gt;35,DO40+DN41-DW40,IF(A41&lt;'Données projet'!$A$166,$DL$205^A41,IF(A41='Données projet'!$A$166,'Données projet'!$B$166,DO40+DN41-DW40)))</f>
        <v>199.59999999999988</v>
      </c>
      <c r="DP41" s="17">
        <f>DO41*VLOOKUP('Données projet'!$B$14,Paramètres!$A$1:$I$89,3,0)*VLOOKUP('Données projet'!$B$14,Paramètres!$A$1:$I$89,5,0)</f>
        <v>133.89167999999992</v>
      </c>
      <c r="DQ41" s="13">
        <f t="shared" si="43"/>
        <v>34.894062754078419</v>
      </c>
      <c r="DR41" s="20">
        <f t="shared" si="16"/>
        <v>293.96850196335311</v>
      </c>
      <c r="DS41" s="59">
        <f t="shared" si="17"/>
        <v>587.30183529668648</v>
      </c>
      <c r="DT41" s="59">
        <f ca="1">AVERAGE(OFFSET($DS$3,0,0,'Données projet'!$E$14+1,1))-AVERAGE(OFFSET($H$3,0,0,'Données projet'!$E$14+1,1))</f>
        <v>156.63226020379989</v>
      </c>
      <c r="DU41" s="59">
        <f t="shared" si="44"/>
        <v>196.0481096619543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6.9452442386112496</v>
      </c>
      <c r="EC41" s="21">
        <f>EXP(-LN(2)/2)*EC40+(1-EXP(-LN(2)/2))/(LN(2)/2)*DW41*DZ41*VLOOKUP('Données projet'!$B$14,Paramètres!$A$1:$I$89,3,0)*0.475*44/12</f>
        <v>0.56709192513292772</v>
      </c>
      <c r="ED41" s="22">
        <f t="shared" si="18"/>
        <v>7.5123361637441777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5.3369963369963358</v>
      </c>
      <c r="EJ41" s="12">
        <f>IF('Données projet'!$A$192&gt;35,EJ40+EI41-ER40,IF(A41&lt;'Données projet'!$A$192,$EG$205^A41,IF(A41='Données projet'!$A$192,'Données projet'!$B$192,EJ40+EI41-ER40)))</f>
        <v>130.40109890109889</v>
      </c>
      <c r="EK41" s="17">
        <f>EJ41*VLOOKUP('Données projet'!$B$15,Paramètres!$A$1:$I$89,3,0)*VLOOKUP('Données projet'!$B$15,Paramètres!$A$1:$I$89,5,0)</f>
        <v>132.22671428571428</v>
      </c>
      <c r="EL41" s="13">
        <f t="shared" si="45"/>
        <v>34.510377941523238</v>
      </c>
      <c r="EM41" s="20">
        <f t="shared" si="19"/>
        <v>290.4004356291054</v>
      </c>
      <c r="EN41" s="59">
        <f t="shared" si="20"/>
        <v>583.73376896243872</v>
      </c>
      <c r="EO41" s="59">
        <f ca="1">AVERAGE(OFFSET($EN$3,0,0,'Données projet'!$E$15+1,1))-AVERAGE(OFFSET($H$3,0,0,'Données projet'!$E$15+1,1))</f>
        <v>190.21499310415584</v>
      </c>
      <c r="EP41" s="59">
        <f t="shared" si="46"/>
        <v>136.15730566500173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1.6541666666666663</v>
      </c>
      <c r="FE41" s="12">
        <f>IF('Données projet'!$A$218&gt;35,FE40+FD41-FM40,IF(A41&lt;'Données projet'!$A$218,$FB$205^A41,IF(A41='Données projet'!$A$218,'Données projet'!$B$218,FE40+FD41-FM40)))</f>
        <v>49.316666666666691</v>
      </c>
      <c r="FF41" s="17">
        <f>FE41*VLOOKUP('Données projet'!$B$16,Paramètres!$A$1:$I$89,3,0)*VLOOKUP('Données projet'!$B$16,Paramètres!$A$1:$I$89,5,0)</f>
        <v>56.812800000000024</v>
      </c>
      <c r="FG41" s="13">
        <f t="shared" si="47"/>
        <v>16.359902902572667</v>
      </c>
      <c r="FH41" s="20">
        <f t="shared" si="22"/>
        <v>127.44245755531409</v>
      </c>
      <c r="FI41" s="59">
        <f t="shared" si="23"/>
        <v>420.77579088864741</v>
      </c>
      <c r="FJ41" s="59">
        <f ca="1">AVERAGE(OFFSET($FI$3,0,0,'Données projet'!$E$16+1,1))-AVERAGE(OFFSET($H$3,0,0,'Données projet'!$E$16+1,1))</f>
        <v>14.847345852478327</v>
      </c>
      <c r="FK41" s="59">
        <f t="shared" si="48"/>
        <v>46.764428272166299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1.4217176470105342</v>
      </c>
      <c r="FS41" s="21">
        <f>EXP(-LN(2)/2)*FS40+(1-EXP(-LN(2)/2))/(LN(2)/2)*FM41*FP41*VLOOKUP('Données projet'!$B$16,Paramètres!$A$1:$I$89,3,0)*0.475*44/12</f>
        <v>0.12331221838868064</v>
      </c>
      <c r="FT41" s="22">
        <f t="shared" si="24"/>
        <v>1.5450298653992147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9.3141025641025674</v>
      </c>
      <c r="N42" s="13">
        <f>IF('Données projet'!$A$36&gt;35,N41+M42-V41,IF(A42&lt;'Données projet'!$A$36,$K$205^A42,IF(A42='Données projet'!$A$36,'Données projet'!$B$36,N41+M42-V41)))</f>
        <v>138.82051282051282</v>
      </c>
      <c r="O42" s="13">
        <f>N42*VLOOKUP('Données projet'!$B$9,Paramètres!$A$1:$I$89,3,0)*VLOOKUP('Données projet'!$B$9,Paramètres!$A$1:$I$89,5,0)</f>
        <v>125.6048</v>
      </c>
      <c r="P42" s="13">
        <f t="shared" si="33"/>
        <v>32.978733659615138</v>
      </c>
      <c r="Q42" s="20">
        <f t="shared" si="53"/>
        <v>276.19965445716304</v>
      </c>
      <c r="R42" s="59">
        <f t="shared" si="0"/>
        <v>569.53298779049635</v>
      </c>
      <c r="S42" s="59">
        <f ca="1">AVERAGE(OFFSET($R$3,0,0,'Données projet'!$E$9+1,1))-AVERAGE(OFFSET($H$3,0,0,'Données projet'!$E$9+1,1))</f>
        <v>221.7429870520005</v>
      </c>
      <c r="T42" s="59">
        <f t="shared" si="34"/>
        <v>182.2029938397186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12.1</v>
      </c>
      <c r="AI42" s="13">
        <f>IF('Données projet'!$A$62&gt;35,AI41+AH42-AQ41,IF(A42&lt;'Données projet'!$A$62,$AF$205^A42,IF(A42='Données projet'!$A$62,'Données projet'!$B$62,AI41+AH42-AQ41)))</f>
        <v>250.89999999999995</v>
      </c>
      <c r="AJ42" s="13">
        <f>AI42*VLOOKUP('Données projet'!$B$10,Paramètres!$A$1:$I$89,3,0)*VLOOKUP('Données projet'!$B$10,Paramètres!$A$1:$I$89,5,0)</f>
        <v>199.61603999999997</v>
      </c>
      <c r="AK42" s="13">
        <f t="shared" si="35"/>
        <v>49.659775503665841</v>
      </c>
      <c r="AL42" s="20">
        <f t="shared" si="4"/>
        <v>434.15537866888457</v>
      </c>
      <c r="AM42" s="59">
        <f t="shared" si="5"/>
        <v>727.48871200221788</v>
      </c>
      <c r="AN42" s="59">
        <f ca="1">AVERAGE(OFFSET($AM$3,0,0,'Données projet'!$E$10+1,1))-AVERAGE(OFFSET($H$3,0,0,'Données projet'!$E$10+1,1))</f>
        <v>260.20517190557814</v>
      </c>
      <c r="AO42" s="59">
        <f t="shared" si="36"/>
        <v>307.22009971147133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2.7302856172154844</v>
      </c>
      <c r="AV42" s="21">
        <f>EXP(-LN(2)/25)*AV41+(1-EXP(-LN(2)/25))/(LN(2)/25)*Calculateur!AQ42*Calculateur!AS42*VLOOKUP('Données projet'!$B$10,Paramètres!$A$1:$I$89,3,0)*0.475*44/12</f>
        <v>15.988147631866902</v>
      </c>
      <c r="AW42" s="21">
        <f>EXP(-LN(2)/2)*AW41+(1-EXP(-LN(2)/2))/(LN(2)/2)*AQ42*AT42*VLOOKUP('Données projet'!$B$10,Paramètres!$A$1:$I$89,3,0)*0.475*44/12</f>
        <v>1.062385258331273</v>
      </c>
      <c r="AX42" s="21">
        <f t="shared" si="6"/>
        <v>19.78081850741366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18.2</v>
      </c>
      <c r="BD42" s="12">
        <f>IF('Données projet'!$A$88&gt;35,BD41+BC42-BL41,IF(A42&lt;'Données projet'!$A$88,$BA$205^A42,IF(A42='Données projet'!$A$88,'Données projet'!$B$88,BD41+BC42-BL41)))</f>
        <v>322.79999999999995</v>
      </c>
      <c r="BE42" s="13">
        <f>BD42*VLOOKUP('Données projet'!$B$11,Paramètres!$A$1:$I$89,3,0)*VLOOKUP('Données projet'!$B$11,Paramètres!$A$1:$I$89,5,0)</f>
        <v>193.03440000000001</v>
      </c>
      <c r="BF42" s="13">
        <f t="shared" si="37"/>
        <v>48.210195726438577</v>
      </c>
      <c r="BG42" s="20">
        <f t="shared" si="7"/>
        <v>420.16767089021386</v>
      </c>
      <c r="BH42" s="59">
        <f t="shared" si="8"/>
        <v>713.50100422354717</v>
      </c>
      <c r="BI42" s="59">
        <f ca="1">AVERAGE(OFFSET($BH$3,0,0,'Données projet'!$E$11+1,1))-AVERAGE(OFFSET($H$3,0,0,'Données projet'!$E$11+1,1))</f>
        <v>316.58509520829671</v>
      </c>
      <c r="BJ42" s="59">
        <f t="shared" si="38"/>
        <v>240.71332110643596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2.1207656950592453</v>
      </c>
      <c r="BQ42" s="21">
        <f>EXP(-LN(2)/25)*BQ41+(1-EXP(-LN(2)/25))/(LN(2)/25)*Calculateur!BL42*Calculateur!BN42*VLOOKUP('Données projet'!$B$11,Paramètres!$A$1:$I$89,3,0)*0.475*44/12</f>
        <v>11.896227705540129</v>
      </c>
      <c r="BR42" s="21">
        <f>EXP(-LN(2)/2)*BR41+(1-EXP(-LN(2)/2))/(LN(2)/2)*BL42*BO42*VLOOKUP('Données projet'!$B$11,Paramètres!$A$1:$I$89,3,0)*0.475*44/12</f>
        <v>0.9695911412296655</v>
      </c>
      <c r="BS42" s="22">
        <f t="shared" si="9"/>
        <v>14.986584541829041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15.7</v>
      </c>
      <c r="BY42" s="12">
        <f>IF('Données projet'!$A$114&gt;35,BY41+BX42-CG41,IF(A42&lt;'Données projet'!$A$114,$BV$205^A42,IF(A42='Données projet'!$A$114,'Données projet'!$B$114,BY41+BX42-CG41)))</f>
        <v>281.29999999999995</v>
      </c>
      <c r="BZ42" s="13">
        <f>BY42*VLOOKUP('Données projet'!$B$12,Paramètres!$A$1:$I$89,3,0)*VLOOKUP('Données projet'!$B$12,Paramètres!$A$1:$I$89,5,0)</f>
        <v>168.2174</v>
      </c>
      <c r="CA42" s="13">
        <f t="shared" si="39"/>
        <v>42.690535879167591</v>
      </c>
      <c r="CB42" s="20">
        <f t="shared" si="10"/>
        <v>367.33132165621686</v>
      </c>
      <c r="CC42" s="59">
        <f t="shared" si="11"/>
        <v>660.66465498955017</v>
      </c>
      <c r="CD42" s="59">
        <f ca="1">AVERAGE(OFFSET($CC$3,0,0,'Données projet'!$E$12+1,1))-AVERAGE(OFFSET($H$3,0,0,'Données projet'!$E$12+1,1))</f>
        <v>270.30888762640245</v>
      </c>
      <c r="CE42" s="59">
        <f t="shared" si="40"/>
        <v>202.23783851977691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1.7921963620218966</v>
      </c>
      <c r="CL42" s="21">
        <f>EXP(-LN(2)/25)*CL41+(1-EXP(-LN(2)/25))/(LN(2)/25)*Calculateur!CG42*Calculateur!CI42*VLOOKUP('Données projet'!$B$12,Paramètres!$A$1:$I$89,3,0)*0.475*44/12</f>
        <v>9.5799907073622954</v>
      </c>
      <c r="CM42" s="21">
        <f>EXP(-LN(2)/2)*CM41+(1-EXP(-LN(2)/2))/(LN(2)/2)*CG42*CJ42*VLOOKUP('Données projet'!$B$12,Paramètres!$A$1:$I$89,3,0)*0.475*44/12</f>
        <v>0.81726555833226677</v>
      </c>
      <c r="CN42" s="22">
        <f t="shared" si="12"/>
        <v>12.189452627716459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12.1</v>
      </c>
      <c r="CT42" s="12">
        <f>IF('Données projet'!$A$140&gt;35,CT41+CS42-DB41,IF(A42&lt;'Données projet'!$A$140,$CQ$205^A42,IF(A42='Données projet'!$A$140,'Données projet'!$B$140,CT41+CS42-DB41)))</f>
        <v>250.89999999999995</v>
      </c>
      <c r="CU42" s="17">
        <f>CT42*VLOOKUP('Données projet'!$B$13,Paramètres!$A$1:$I$89,3,0)*VLOOKUP('Données projet'!$B$13,Paramètres!$A$1:$I$89,5,0)</f>
        <v>168.30371999999997</v>
      </c>
      <c r="CV42" s="13">
        <f t="shared" si="41"/>
        <v>42.709891845639163</v>
      </c>
      <c r="CW42" s="20">
        <f t="shared" si="13"/>
        <v>367.51537396448816</v>
      </c>
      <c r="CX42" s="59">
        <f t="shared" si="14"/>
        <v>660.84870729782142</v>
      </c>
      <c r="CY42" s="59">
        <f ca="1">AVERAGE(OFFSET($CX$3,0,0,'Données projet'!$E$13+1,1))-AVERAGE(OFFSET($H$3,0,0,'Données projet'!$E$13+1,1))</f>
        <v>207.93042467236967</v>
      </c>
      <c r="CZ42" s="59">
        <f t="shared" si="42"/>
        <v>250.70954318710835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2.3020055203973686</v>
      </c>
      <c r="DG42" s="21">
        <f>EXP(-LN(2)/25)*DG41+(1-EXP(-LN(2)/25))/(LN(2)/25)*Calculateur!DB42*Calculateur!DD42*VLOOKUP('Données projet'!$B$13,Paramètres!$A$1:$I$89,3,0)*0.475*44/12</f>
        <v>13.480202905299548</v>
      </c>
      <c r="DH42" s="21">
        <f>EXP(-LN(2)/2)*DH41+(1-EXP(-LN(2)/2))/(LN(2)/2)*DB42*DE42*VLOOKUP('Données projet'!$B$13,Paramètres!$A$1:$I$89,3,0)*0.475*44/12</f>
        <v>0.89573659035773989</v>
      </c>
      <c r="DI42" s="22">
        <f t="shared" si="15"/>
        <v>16.677945016054657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10.199999999999999</v>
      </c>
      <c r="DO42" s="12">
        <f>IF('Données projet'!$A$166&gt;35,DO41+DN42-DW41,IF(A42&lt;'Données projet'!$A$166,$DL$205^A42,IF(A42='Données projet'!$A$166,'Données projet'!$B$166,DO41+DN42-DW41)))</f>
        <v>209.79999999999987</v>
      </c>
      <c r="DP42" s="17">
        <f>DO42*VLOOKUP('Données projet'!$B$14,Paramètres!$A$1:$I$89,3,0)*VLOOKUP('Données projet'!$B$14,Paramètres!$A$1:$I$89,5,0)</f>
        <v>140.7338399999999</v>
      </c>
      <c r="DQ42" s="13">
        <f t="shared" si="43"/>
        <v>36.465066748163046</v>
      </c>
      <c r="DR42" s="20">
        <f t="shared" si="16"/>
        <v>308.62142925305045</v>
      </c>
      <c r="DS42" s="59">
        <f t="shared" si="17"/>
        <v>601.95476258638382</v>
      </c>
      <c r="DT42" s="59">
        <f ca="1">AVERAGE(OFFSET($DS$3,0,0,'Données projet'!$E$14+1,1))-AVERAGE(OFFSET($H$3,0,0,'Données projet'!$E$14+1,1))</f>
        <v>156.63226020379989</v>
      </c>
      <c r="DU42" s="59">
        <f t="shared" si="44"/>
        <v>196.0481096619543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6.7553261696719042</v>
      </c>
      <c r="EC42" s="21">
        <f>EXP(-LN(2)/2)*EC41+(1-EXP(-LN(2)/2))/(LN(2)/2)*DW42*DZ42*VLOOKUP('Données projet'!$B$14,Paramètres!$A$1:$I$89,3,0)*0.475*44/12</f>
        <v>0.40099454581762711</v>
      </c>
      <c r="ED42" s="22">
        <f t="shared" si="18"/>
        <v>7.1563207154895316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5.3369963369963358</v>
      </c>
      <c r="EJ42" s="12">
        <f>IF('Données projet'!$A$192&gt;35,EJ41+EI42-ER41,IF(A42&lt;'Données projet'!$A$192,$EG$205^A42,IF(A42='Données projet'!$A$192,'Données projet'!$B$192,EJ41+EI42-ER41)))</f>
        <v>135.73809523809524</v>
      </c>
      <c r="EK42" s="17">
        <f>EJ42*VLOOKUP('Données projet'!$B$15,Paramètres!$A$1:$I$89,3,0)*VLOOKUP('Données projet'!$B$15,Paramètres!$A$1:$I$89,5,0)</f>
        <v>137.63842857142859</v>
      </c>
      <c r="EL42" s="13">
        <f t="shared" si="45"/>
        <v>35.755468155325104</v>
      </c>
      <c r="EM42" s="20">
        <f t="shared" si="19"/>
        <v>301.99437013242931</v>
      </c>
      <c r="EN42" s="59">
        <f t="shared" si="20"/>
        <v>595.32770346576262</v>
      </c>
      <c r="EO42" s="59">
        <f ca="1">AVERAGE(OFFSET($EN$3,0,0,'Données projet'!$E$15+1,1))-AVERAGE(OFFSET($H$3,0,0,'Données projet'!$E$15+1,1))</f>
        <v>190.21499310415584</v>
      </c>
      <c r="EP42" s="59">
        <f t="shared" si="46"/>
        <v>136.15730566500173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1.6541666666666663</v>
      </c>
      <c r="FE42" s="12">
        <f>IF('Données projet'!$A$218&gt;35,FE41+FD42-FM41,IF(A42&lt;'Données projet'!$A$218,$FB$205^A42,IF(A42='Données projet'!$A$218,'Données projet'!$B$218,FE41+FD42-FM41)))</f>
        <v>50.97083333333336</v>
      </c>
      <c r="FF42" s="17">
        <f>FE42*VLOOKUP('Données projet'!$B$16,Paramètres!$A$1:$I$89,3,0)*VLOOKUP('Données projet'!$B$16,Paramètres!$A$1:$I$89,5,0)</f>
        <v>58.718400000000024</v>
      </c>
      <c r="FG42" s="13">
        <f t="shared" si="47"/>
        <v>16.843834266821339</v>
      </c>
      <c r="FH42" s="20">
        <f t="shared" si="22"/>
        <v>131.60422468138054</v>
      </c>
      <c r="FI42" s="59">
        <f t="shared" si="23"/>
        <v>424.93755801471389</v>
      </c>
      <c r="FJ42" s="59">
        <f ca="1">AVERAGE(OFFSET($FI$3,0,0,'Données projet'!$E$16+1,1))-AVERAGE(OFFSET($H$3,0,0,'Données projet'!$E$16+1,1))</f>
        <v>14.847345852478327</v>
      </c>
      <c r="FK42" s="59">
        <f t="shared" si="48"/>
        <v>46.764428272166299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1.3828407031881493</v>
      </c>
      <c r="FS42" s="21">
        <f>EXP(-LN(2)/2)*FS41+(1-EXP(-LN(2)/2))/(LN(2)/2)*FM42*FP42*VLOOKUP('Données projet'!$B$16,Paramètres!$A$1:$I$89,3,0)*0.475*44/12</f>
        <v>8.7194905825792576E-2</v>
      </c>
      <c r="FT42" s="22">
        <f t="shared" si="24"/>
        <v>1.4700356090139419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9.3141025641025674</v>
      </c>
      <c r="N43" s="13">
        <f>IF('Données projet'!$A$36&gt;35,N42+M43-V42,IF(A43&lt;'Données projet'!$A$36,$K$205^A43,IF(A43='Données projet'!$A$36,'Données projet'!$B$36,N42+M43-V42)))</f>
        <v>148.13461538461539</v>
      </c>
      <c r="O43" s="13">
        <f>N43*VLOOKUP('Données projet'!$B$9,Paramètres!$A$1:$I$89,3,0)*VLOOKUP('Données projet'!$B$9,Paramètres!$A$1:$I$89,5,0)</f>
        <v>134.03220000000002</v>
      </c>
      <c r="P43" s="13">
        <f t="shared" si="33"/>
        <v>34.926419532696755</v>
      </c>
      <c r="Q43" s="20">
        <f t="shared" si="53"/>
        <v>294.26959568611358</v>
      </c>
      <c r="R43" s="59">
        <f t="shared" si="0"/>
        <v>587.60292901944695</v>
      </c>
      <c r="S43" s="59">
        <f ca="1">AVERAGE(OFFSET($R$3,0,0,'Données projet'!$E$9+1,1))-AVERAGE(OFFSET($H$3,0,0,'Données projet'!$E$9+1,1))</f>
        <v>221.7429870520005</v>
      </c>
      <c r="T43" s="59">
        <f t="shared" si="34"/>
        <v>182.2029938397186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263</v>
      </c>
      <c r="AG43" s="12">
        <f>VLOOKUP(A43,'Données projet'!$A$61:$I$81,9,0)</f>
        <v>12.1</v>
      </c>
      <c r="AH43" s="12">
        <f t="array" ref="AH43">INDEX(AG:AG,MIN(IF(ISNUMBER(AG43:AG239),ROW(AG43:AG239),"")))</f>
        <v>12.1</v>
      </c>
      <c r="AI43" s="13">
        <f>IF('Données projet'!$A$62&gt;35,AI42+AH43-AQ42,IF(A43&lt;'Données projet'!$A$62,$AF$205^A43,IF(A43='Données projet'!$A$62,'Données projet'!$B$62,AI42+AH43-AQ42)))</f>
        <v>262.99999999999994</v>
      </c>
      <c r="AJ43" s="13">
        <f>AI43*VLOOKUP('Données projet'!$B$10,Paramètres!$A$1:$I$89,3,0)*VLOOKUP('Données projet'!$B$10,Paramètres!$A$1:$I$89,5,0)</f>
        <v>209.24279999999996</v>
      </c>
      <c r="AK43" s="13">
        <f t="shared" si="35"/>
        <v>51.770083677016814</v>
      </c>
      <c r="AL43" s="20">
        <f t="shared" si="4"/>
        <v>454.59743907080411</v>
      </c>
      <c r="AM43" s="59">
        <f t="shared" si="5"/>
        <v>747.93077240413743</v>
      </c>
      <c r="AN43" s="59">
        <f ca="1">AVERAGE(OFFSET($AM$3,0,0,'Données projet'!$E$10+1,1))-AVERAGE(OFFSET($H$3,0,0,'Données projet'!$E$10+1,1))</f>
        <v>260.20517190557814</v>
      </c>
      <c r="AO43" s="59">
        <f t="shared" si="36"/>
        <v>307.22009971147133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2.6767463815716797</v>
      </c>
      <c r="AV43" s="21">
        <f>EXP(-LN(2)/25)*AV42+(1-EXP(-LN(2)/25))/(LN(2)/25)*Calculateur!AQ43*Calculateur!AS43*VLOOKUP('Données projet'!$B$10,Paramètres!$A$1:$I$89,3,0)*0.475*44/12</f>
        <v>15.550950894093358</v>
      </c>
      <c r="AW43" s="21">
        <f>EXP(-LN(2)/2)*AW42+(1-EXP(-LN(2)/2))/(LN(2)/2)*AQ43*AT43*VLOOKUP('Données projet'!$B$10,Paramètres!$A$1:$I$89,3,0)*0.475*44/12</f>
        <v>0.75121982039866519</v>
      </c>
      <c r="AX43" s="21">
        <f t="shared" si="6"/>
        <v>18.9789170960637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341</v>
      </c>
      <c r="BB43" s="12">
        <f>VLOOKUP(A43,'Données projet'!$A$87:$I$107,9,0)</f>
        <v>18.2</v>
      </c>
      <c r="BC43" s="12">
        <f t="array" ref="BC43">INDEX(BB:BB,MIN(IF(ISNUMBER(BB43:BB239),ROW(BB43:BB239),"")))</f>
        <v>18.2</v>
      </c>
      <c r="BD43" s="12">
        <f>IF('Données projet'!$A$88&gt;35,BD42+BC43-BL42,IF(A43&lt;'Données projet'!$A$88,$BA$205^A43,IF(A43='Données projet'!$A$88,'Données projet'!$B$88,BD42+BC43-BL42)))</f>
        <v>340.99999999999994</v>
      </c>
      <c r="BE43" s="13">
        <f>BD43*VLOOKUP('Données projet'!$B$11,Paramètres!$A$1:$I$89,3,0)*VLOOKUP('Données projet'!$B$11,Paramètres!$A$1:$I$89,5,0)</f>
        <v>203.91799999999998</v>
      </c>
      <c r="BF43" s="13">
        <f t="shared" si="37"/>
        <v>50.604250898161411</v>
      </c>
      <c r="BG43" s="20">
        <f t="shared" si="7"/>
        <v>443.29292031429776</v>
      </c>
      <c r="BH43" s="59">
        <f t="shared" si="8"/>
        <v>736.62625364763107</v>
      </c>
      <c r="BI43" s="59">
        <f ca="1">AVERAGE(OFFSET($BH$3,0,0,'Données projet'!$E$11+1,1))-AVERAGE(OFFSET($H$3,0,0,'Données projet'!$E$11+1,1))</f>
        <v>316.58509520829671</v>
      </c>
      <c r="BJ43" s="59">
        <f t="shared" si="38"/>
        <v>240.71332110643596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95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2.079178773318481</v>
      </c>
      <c r="BQ43" s="21">
        <f>EXP(-LN(2)/25)*BQ42+(1-EXP(-LN(2)/25))/(LN(2)/25)*Calculateur!BL43*Calculateur!BN43*VLOOKUP('Données projet'!$B$11,Paramètres!$A$1:$I$89,3,0)*0.475*44/12</f>
        <v>11.570924733336708</v>
      </c>
      <c r="BR43" s="21">
        <f>EXP(-LN(2)/2)*BR42+(1-EXP(-LN(2)/2))/(LN(2)/2)*BL43*BO43*VLOOKUP('Données projet'!$B$11,Paramètres!$A$1:$I$89,3,0)*0.475*44/12</f>
        <v>0.68560447094190002</v>
      </c>
      <c r="BS43" s="22">
        <f t="shared" si="9"/>
        <v>14.335707977597089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297</v>
      </c>
      <c r="BW43" s="12">
        <f>VLOOKUP(A43,'Données projet'!$A$113:$I$133,9,0)</f>
        <v>15.7</v>
      </c>
      <c r="BX43" s="12">
        <f t="array" ref="BX43">INDEX(BW:BW,MIN(IF(ISNUMBER(BW43:BW239),ROW(BW43:BW239),"")))</f>
        <v>15.7</v>
      </c>
      <c r="BY43" s="12">
        <f>IF('Données projet'!$A$114&gt;35,BY42+BX43-CG42,IF(A43&lt;'Données projet'!$A$114,$BV$205^A43,IF(A43='Données projet'!$A$114,'Données projet'!$B$114,BY42+BX43-CG42)))</f>
        <v>296.99999999999994</v>
      </c>
      <c r="BZ43" s="13">
        <f>BY43*VLOOKUP('Données projet'!$B$12,Paramètres!$A$1:$I$89,3,0)*VLOOKUP('Données projet'!$B$12,Paramètres!$A$1:$I$89,5,0)</f>
        <v>177.60599999999997</v>
      </c>
      <c r="CA43" s="13">
        <f t="shared" si="39"/>
        <v>44.789150937858665</v>
      </c>
      <c r="CB43" s="20">
        <f t="shared" si="10"/>
        <v>387.33822121677048</v>
      </c>
      <c r="CC43" s="59">
        <f t="shared" si="11"/>
        <v>680.67155455010379</v>
      </c>
      <c r="CD43" s="59">
        <f ca="1">AVERAGE(OFFSET($CC$3,0,0,'Données projet'!$E$12+1,1))-AVERAGE(OFFSET($H$3,0,0,'Données projet'!$E$12+1,1))</f>
        <v>270.30888762640245</v>
      </c>
      <c r="CE43" s="59">
        <f t="shared" si="40"/>
        <v>202.23783851977691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79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1.7570524844944901</v>
      </c>
      <c r="CL43" s="21">
        <f>EXP(-LN(2)/25)*CL42+(1-EXP(-LN(2)/25))/(LN(2)/25)*Calculateur!CG43*Calculateur!CI43*VLOOKUP('Données projet'!$B$12,Paramètres!$A$1:$I$89,3,0)*0.475*44/12</f>
        <v>9.318025357679657</v>
      </c>
      <c r="CM43" s="21">
        <f>EXP(-LN(2)/2)*CM42+(1-EXP(-LN(2)/2))/(LN(2)/2)*CG43*CJ43*VLOOKUP('Données projet'!$B$12,Paramètres!$A$1:$I$89,3,0)*0.475*44/12</f>
        <v>0.57789401832695575</v>
      </c>
      <c r="CN43" s="22">
        <f t="shared" si="12"/>
        <v>11.652971860501104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12.1</v>
      </c>
      <c r="CS43" s="12">
        <f t="array" ref="CS43">INDEX(CR:CR,MIN(IF(ISNUMBER(CR43:CR239),ROW(CR43:CR239),"")))</f>
        <v>12.1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176.42039999999997</v>
      </c>
      <c r="CV43" s="13">
        <f t="shared" si="41"/>
        <v>44.5248624718784</v>
      </c>
      <c r="CW43" s="20">
        <f t="shared" si="13"/>
        <v>384.81299880518822</v>
      </c>
      <c r="CX43" s="59">
        <f t="shared" si="14"/>
        <v>678.14633213852153</v>
      </c>
      <c r="CY43" s="59">
        <f ca="1">AVERAGE(OFFSET($CX$3,0,0,'Données projet'!$E$13+1,1))-AVERAGE(OFFSET($H$3,0,0,'Données projet'!$E$13+1,1))</f>
        <v>207.93042467236967</v>
      </c>
      <c r="CZ43" s="59">
        <f t="shared" si="42"/>
        <v>250.70954318710835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70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2.2568645962271017</v>
      </c>
      <c r="DG43" s="21">
        <f>EXP(-LN(2)/25)*DG42+(1-EXP(-LN(2)/25))/(LN(2)/25)*Calculateur!DB43*Calculateur!DD43*VLOOKUP('Données projet'!$B$13,Paramètres!$A$1:$I$89,3,0)*0.475*44/12</f>
        <v>13.111586047961071</v>
      </c>
      <c r="DH43" s="21">
        <f>EXP(-LN(2)/2)*DH42+(1-EXP(-LN(2)/2))/(LN(2)/2)*DB43*DE43*VLOOKUP('Données projet'!$B$13,Paramètres!$A$1:$I$89,3,0)*0.475*44/12</f>
        <v>0.63338141719887453</v>
      </c>
      <c r="DI43" s="22">
        <f t="shared" si="15"/>
        <v>16.001832061387049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220</v>
      </c>
      <c r="DM43" s="12">
        <f>VLOOKUP(A43,'Données projet'!$A$165:$I$185,9,0)</f>
        <v>10.199999999999999</v>
      </c>
      <c r="DN43" s="12">
        <f t="array" ref="DN43">INDEX(DM:DM,MIN(IF(ISNUMBER(DM43:DM239),ROW(DM43:DM239),"")))</f>
        <v>10.199999999999999</v>
      </c>
      <c r="DO43" s="12">
        <f>IF('Données projet'!$A$166&gt;35,DO42+DN43-DW42,IF(A43&lt;'Données projet'!$A$166,$DL$205^A43,IF(A43='Données projet'!$A$166,'Données projet'!$B$166,DO42+DN43-DW42)))</f>
        <v>219.99999999999986</v>
      </c>
      <c r="DP43" s="17">
        <f>DO43*VLOOKUP('Données projet'!$B$14,Paramètres!$A$1:$I$89,3,0)*VLOOKUP('Données projet'!$B$14,Paramètres!$A$1:$I$89,5,0)</f>
        <v>147.57599999999991</v>
      </c>
      <c r="DQ43" s="13">
        <f t="shared" si="43"/>
        <v>38.027201687128048</v>
      </c>
      <c r="DR43" s="20">
        <f t="shared" si="16"/>
        <v>323.25890960508121</v>
      </c>
      <c r="DS43" s="59">
        <f t="shared" si="17"/>
        <v>616.59224293841453</v>
      </c>
      <c r="DT43" s="59">
        <f ca="1">AVERAGE(OFFSET($DS$3,0,0,'Données projet'!$E$14+1,1))-AVERAGE(OFFSET($H$3,0,0,'Données projet'!$E$14+1,1))</f>
        <v>156.63226020379989</v>
      </c>
      <c r="DU43" s="59">
        <f t="shared" si="44"/>
        <v>196.0481096619543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56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6.5706014203150627</v>
      </c>
      <c r="EC43" s="21">
        <f>EXP(-LN(2)/2)*EC42+(1-EXP(-LN(2)/2))/(LN(2)/2)*DW43*DZ43*VLOOKUP('Données projet'!$B$14,Paramètres!$A$1:$I$89,3,0)*0.475*44/12</f>
        <v>0.28354596256646386</v>
      </c>
      <c r="ED43" s="22">
        <f t="shared" si="18"/>
        <v>6.8541473828815267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5.3369963369963358</v>
      </c>
      <c r="EJ43" s="12">
        <f>IF('Données projet'!$A$192&gt;35,EJ42+EI43-ER42,IF(A43&lt;'Données projet'!$A$192,$EG$205^A43,IF(A43='Données projet'!$A$192,'Données projet'!$B$192,EJ42+EI43-ER42)))</f>
        <v>141.07509157509156</v>
      </c>
      <c r="EK43" s="17">
        <f>EJ43*VLOOKUP('Données projet'!$B$15,Paramètres!$A$1:$I$89,3,0)*VLOOKUP('Données projet'!$B$15,Paramètres!$A$1:$I$89,5,0)</f>
        <v>143.05014285714284</v>
      </c>
      <c r="EL43" s="13">
        <f t="shared" si="45"/>
        <v>36.994871493561163</v>
      </c>
      <c r="EM43" s="20">
        <f t="shared" si="19"/>
        <v>313.57839999414279</v>
      </c>
      <c r="EN43" s="59">
        <f t="shared" si="20"/>
        <v>606.9117333274761</v>
      </c>
      <c r="EO43" s="59">
        <f ca="1">AVERAGE(OFFSET($EN$3,0,0,'Données projet'!$E$15+1,1))-AVERAGE(OFFSET($H$3,0,0,'Données projet'!$E$15+1,1))</f>
        <v>190.21499310415584</v>
      </c>
      <c r="EP43" s="59">
        <f t="shared" si="46"/>
        <v>136.15730566500173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52.625</v>
      </c>
      <c r="FC43" s="12">
        <f>VLOOKUP(A43,'Données projet'!$A$217:$I$237,9,0)</f>
        <v>1.6541666666666663</v>
      </c>
      <c r="FD43" s="12">
        <f t="array" ref="FD43">INDEX(FC:FC,MIN(IF(ISNUMBER(FC43:FC239),ROW(FC43:FC239),"")))</f>
        <v>1.6541666666666663</v>
      </c>
      <c r="FE43" s="12">
        <f>IF('Données projet'!$A$218&gt;35,FE42+FD43-FM42,IF(A43&lt;'Données projet'!$A$218,$FB$205^A43,IF(A43='Données projet'!$A$218,'Données projet'!$B$218,FE42+FD43-FM42)))</f>
        <v>52.625000000000028</v>
      </c>
      <c r="FF43" s="17">
        <f>FE43*VLOOKUP('Données projet'!$B$16,Paramètres!$A$1:$I$89,3,0)*VLOOKUP('Données projet'!$B$16,Paramètres!$A$1:$I$89,5,0)</f>
        <v>60.624000000000024</v>
      </c>
      <c r="FG43" s="13">
        <f t="shared" si="47"/>
        <v>17.325940664971604</v>
      </c>
      <c r="FH43" s="20">
        <f t="shared" si="22"/>
        <v>135.76281332482557</v>
      </c>
      <c r="FI43" s="59">
        <f t="shared" si="23"/>
        <v>429.09614665815889</v>
      </c>
      <c r="FJ43" s="59">
        <f ca="1">AVERAGE(OFFSET($FI$3,0,0,'Données projet'!$E$16+1,1))-AVERAGE(OFFSET($H$3,0,0,'Données projet'!$E$16+1,1))</f>
        <v>14.847345852478327</v>
      </c>
      <c r="FK43" s="59">
        <f t="shared" si="48"/>
        <v>46.764428272166299</v>
      </c>
      <c r="FL43" s="15">
        <f>IF(ISNA(VLOOKUP(A43,'Données projet'!$A$217:$I$237,3,0)),0,VLOOKUP(A43,'Données projet'!$A$217:$I$237,3,0))</f>
        <v>4</v>
      </c>
      <c r="FM43" s="15">
        <f>IF(ISNA(VLOOKUP(A43,'Données projet'!$A$217:$I$237,4,0)),0,VLOOKUP(A43,'Données projet'!$A$217:$I$237,4,0))</f>
        <v>6.833333333333333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1.3450268514390373</v>
      </c>
      <c r="FS43" s="21">
        <f>EXP(-LN(2)/2)*FS42+(1-EXP(-LN(2)/2))/(LN(2)/2)*FM43*FP43*VLOOKUP('Données projet'!$B$16,Paramètres!$A$1:$I$89,3,0)*0.475*44/12</f>
        <v>6.1656109194340336E-2</v>
      </c>
      <c r="FT43" s="22">
        <f t="shared" si="24"/>
        <v>1.4066829606333777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157.44871794871796</v>
      </c>
      <c r="L44" s="12">
        <f>VLOOKUP(A44,'Données projet'!$A$35:$I$55,9,0)</f>
        <v>9.3141025641025674</v>
      </c>
      <c r="M44" s="12">
        <f t="array" ref="M44">INDEX(L:L,MIN(IF(ISNUMBER(L44:L240),ROW(L44:L240),"")))</f>
        <v>9.3141025641025674</v>
      </c>
      <c r="N44" s="13">
        <f>IF('Données projet'!$A$36&gt;35,N43+M44-V43,IF(A44&lt;'Données projet'!$A$36,$K$205^A44,IF(A44='Données projet'!$A$36,'Données projet'!$B$36,N43+M44-V43)))</f>
        <v>157.44871794871796</v>
      </c>
      <c r="O44" s="13">
        <f>N44*VLOOKUP('Données projet'!$B$9,Paramètres!$A$1:$I$89,3,0)*VLOOKUP('Données projet'!$B$9,Paramètres!$A$1:$I$89,5,0)</f>
        <v>142.45959999999999</v>
      </c>
      <c r="P44" s="13">
        <f t="shared" si="33"/>
        <v>36.859892915688405</v>
      </c>
      <c r="Q44" s="20">
        <f t="shared" si="53"/>
        <v>312.31478349482393</v>
      </c>
      <c r="R44" s="59">
        <f t="shared" si="0"/>
        <v>605.6481168281573</v>
      </c>
      <c r="S44" s="59">
        <f ca="1">AVERAGE(OFFSET($R$3,0,0,'Données projet'!$E$9+1,1))-AVERAGE(OFFSET($H$3,0,0,'Données projet'!$E$9+1,1))</f>
        <v>221.7429870520005</v>
      </c>
      <c r="T44" s="59">
        <f t="shared" si="34"/>
        <v>182.2029938397186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38.512820512820511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9.1999999999999993</v>
      </c>
      <c r="AI44" s="13">
        <f>IF('Données projet'!$A$62&gt;35,AI43+AH44-AQ43,IF(A44&lt;'Données projet'!$A$62,$AF$205^A44,IF(A44='Données projet'!$A$62,'Données projet'!$B$62,AI43+AH44-AQ43)))</f>
        <v>202.19999999999993</v>
      </c>
      <c r="AJ44" s="13">
        <f>AI44*VLOOKUP('Données projet'!$B$10,Paramètres!$A$1:$I$89,3,0)*VLOOKUP('Données projet'!$B$10,Paramètres!$A$1:$I$89,5,0)</f>
        <v>160.87031999999996</v>
      </c>
      <c r="AK44" s="13">
        <f t="shared" si="35"/>
        <v>41.038756492063129</v>
      </c>
      <c r="AL44" s="20">
        <f t="shared" si="4"/>
        <v>351.65830822367656</v>
      </c>
      <c r="AM44" s="59">
        <f t="shared" si="5"/>
        <v>644.99164155700987</v>
      </c>
      <c r="AN44" s="59">
        <f ca="1">AVERAGE(OFFSET($AM$3,0,0,'Données projet'!$E$10+1,1))-AVERAGE(OFFSET($H$3,0,0,'Données projet'!$E$10+1,1))</f>
        <v>260.20517190557814</v>
      </c>
      <c r="AO44" s="59">
        <f t="shared" si="36"/>
        <v>307.22009971147133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2.6242570176831408</v>
      </c>
      <c r="AV44" s="21">
        <f>EXP(-LN(2)/25)*AV43+(1-EXP(-LN(2)/25))/(LN(2)/25)*Calculateur!AQ44*Calculateur!AS44*VLOOKUP('Données projet'!$B$10,Paramètres!$A$1:$I$89,3,0)*0.475*44/12</f>
        <v>15.12570932410541</v>
      </c>
      <c r="AW44" s="21">
        <f>EXP(-LN(2)/2)*AW43+(1-EXP(-LN(2)/2))/(LN(2)/2)*AQ44*AT44*VLOOKUP('Données projet'!$B$10,Paramètres!$A$1:$I$89,3,0)*0.475*44/12</f>
        <v>0.53119262916563648</v>
      </c>
      <c r="AX44" s="21">
        <f t="shared" si="6"/>
        <v>18.281158970954188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18.899999999999999</v>
      </c>
      <c r="BD44" s="12">
        <f>IF('Données projet'!$A$88&gt;35,BD43+BC44-BL43,IF(A44&lt;'Données projet'!$A$88,$BA$205^A44,IF(A44='Données projet'!$A$88,'Données projet'!$B$88,BD43+BC44-BL43)))</f>
        <v>264.89999999999992</v>
      </c>
      <c r="BE44" s="13">
        <f>BD44*VLOOKUP('Données projet'!$B$11,Paramètres!$A$1:$I$89,3,0)*VLOOKUP('Données projet'!$B$11,Paramètres!$A$1:$I$89,5,0)</f>
        <v>158.41019999999997</v>
      </c>
      <c r="BF44" s="13">
        <f t="shared" si="37"/>
        <v>40.483723442869469</v>
      </c>
      <c r="BG44" s="20">
        <f t="shared" si="7"/>
        <v>346.40691666299762</v>
      </c>
      <c r="BH44" s="59">
        <f t="shared" si="8"/>
        <v>639.74024999633093</v>
      </c>
      <c r="BI44" s="59">
        <f ca="1">AVERAGE(OFFSET($BH$3,0,0,'Données projet'!$E$11+1,1))-AVERAGE(OFFSET($H$3,0,0,'Données projet'!$E$11+1,1))</f>
        <v>316.58509520829671</v>
      </c>
      <c r="BJ44" s="59">
        <f t="shared" si="38"/>
        <v>240.71332110643596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2.0384073457475353</v>
      </c>
      <c r="BQ44" s="21">
        <f>EXP(-LN(2)/25)*BQ43+(1-EXP(-LN(2)/25))/(LN(2)/25)*Calculateur!BL44*Calculateur!BN44*VLOOKUP('Données projet'!$B$11,Paramètres!$A$1:$I$89,3,0)*0.475*44/12</f>
        <v>11.25451718801513</v>
      </c>
      <c r="BR44" s="21">
        <f>EXP(-LN(2)/2)*BR43+(1-EXP(-LN(2)/2))/(LN(2)/2)*BL44*BO44*VLOOKUP('Données projet'!$B$11,Paramètres!$A$1:$I$89,3,0)*0.475*44/12</f>
        <v>0.4847955706148328</v>
      </c>
      <c r="BS44" s="22">
        <f t="shared" si="9"/>
        <v>13.777720104377497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16.2</v>
      </c>
      <c r="BY44" s="12">
        <f>IF('Données projet'!$A$114&gt;35,BY43+BX44-CG43,IF(A44&lt;'Données projet'!$A$114,$BV$205^A44,IF(A44='Données projet'!$A$114,'Données projet'!$B$114,BY43+BX44-CG43)))</f>
        <v>234.19999999999993</v>
      </c>
      <c r="BZ44" s="13">
        <f>BY44*VLOOKUP('Données projet'!$B$12,Paramètres!$A$1:$I$89,3,0)*VLOOKUP('Données projet'!$B$12,Paramètres!$A$1:$I$89,5,0)</f>
        <v>140.05159999999998</v>
      </c>
      <c r="CA44" s="13">
        <f t="shared" si="39"/>
        <v>36.308826076884692</v>
      </c>
      <c r="CB44" s="20">
        <f t="shared" si="10"/>
        <v>307.1610754172408</v>
      </c>
      <c r="CC44" s="59">
        <f t="shared" si="11"/>
        <v>600.49440875057417</v>
      </c>
      <c r="CD44" s="59">
        <f ca="1">AVERAGE(OFFSET($CC$3,0,0,'Données projet'!$E$12+1,1))-AVERAGE(OFFSET($H$3,0,0,'Données projet'!$E$12+1,1))</f>
        <v>270.30888762640245</v>
      </c>
      <c r="CE44" s="59">
        <f t="shared" si="40"/>
        <v>202.23783851977691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1.7225977569697475</v>
      </c>
      <c r="CL44" s="21">
        <f>EXP(-LN(2)/25)*CL43+(1-EXP(-LN(2)/25))/(LN(2)/25)*Calculateur!CG44*Calculateur!CI44*VLOOKUP('Données projet'!$B$12,Paramètres!$A$1:$I$89,3,0)*0.475*44/12</f>
        <v>9.0632234642602505</v>
      </c>
      <c r="CM44" s="21">
        <f>EXP(-LN(2)/2)*CM43+(1-EXP(-LN(2)/2))/(LN(2)/2)*CG44*CJ44*VLOOKUP('Données projet'!$B$12,Paramètres!$A$1:$I$89,3,0)*0.475*44/12</f>
        <v>0.40863277916613339</v>
      </c>
      <c r="CN44" s="22">
        <f t="shared" si="12"/>
        <v>11.194454000396131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9.1999999999999993</v>
      </c>
      <c r="CT44" s="12">
        <f>IF('Données projet'!$A$140&gt;35,CT43+CS44-DB43,IF(A44&lt;'Données projet'!$A$140,$CQ$205^A44,IF(A44='Données projet'!$A$140,'Données projet'!$B$140,CT43+CS44-DB43)))</f>
        <v>202.19999999999993</v>
      </c>
      <c r="CU44" s="17">
        <f>CT44*VLOOKUP('Données projet'!$B$13,Paramètres!$A$1:$I$89,3,0)*VLOOKUP('Données projet'!$B$13,Paramètres!$A$1:$I$89,5,0)</f>
        <v>135.63575999999995</v>
      </c>
      <c r="CV44" s="13">
        <f t="shared" si="41"/>
        <v>35.295384110750781</v>
      </c>
      <c r="CW44" s="20">
        <f t="shared" si="13"/>
        <v>297.70507599289084</v>
      </c>
      <c r="CX44" s="59">
        <f t="shared" si="14"/>
        <v>591.03840932622415</v>
      </c>
      <c r="CY44" s="59">
        <f ca="1">AVERAGE(OFFSET($CX$3,0,0,'Données projet'!$E$13+1,1))-AVERAGE(OFFSET($H$3,0,0,'Données projet'!$E$13+1,1))</f>
        <v>207.93042467236967</v>
      </c>
      <c r="CZ44" s="59">
        <f t="shared" si="42"/>
        <v>250.70954318710835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2.2126088580465688</v>
      </c>
      <c r="DG44" s="21">
        <f>EXP(-LN(2)/25)*DG43+(1-EXP(-LN(2)/25))/(LN(2)/25)*Calculateur!DB44*Calculateur!DD44*VLOOKUP('Données projet'!$B$13,Paramètres!$A$1:$I$89,3,0)*0.475*44/12</f>
        <v>12.753049037971232</v>
      </c>
      <c r="DH44" s="21">
        <f>EXP(-LN(2)/2)*DH43+(1-EXP(-LN(2)/2))/(LN(2)/2)*DB44*DE44*VLOOKUP('Données projet'!$B$13,Paramètres!$A$1:$I$89,3,0)*0.475*44/12</f>
        <v>0.44786829517886995</v>
      </c>
      <c r="DI44" s="22">
        <f t="shared" si="15"/>
        <v>15.41352619119667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7.7</v>
      </c>
      <c r="DO44" s="12">
        <f>IF('Données projet'!$A$166&gt;35,DO43+DN44-DW43,IF(A44&lt;'Données projet'!$A$166,$DL$205^A44,IF(A44='Données projet'!$A$166,'Données projet'!$B$166,DO43+DN44-DW43)))</f>
        <v>171.69999999999985</v>
      </c>
      <c r="DP44" s="17">
        <f>DO44*VLOOKUP('Données projet'!$B$14,Paramètres!$A$1:$I$89,3,0)*VLOOKUP('Données projet'!$B$14,Paramètres!$A$1:$I$89,5,0)</f>
        <v>115.1763599999999</v>
      </c>
      <c r="DQ44" s="13">
        <f t="shared" si="43"/>
        <v>30.547292267481989</v>
      </c>
      <c r="DR44" s="20">
        <f t="shared" si="16"/>
        <v>253.80202769919762</v>
      </c>
      <c r="DS44" s="59">
        <f t="shared" si="17"/>
        <v>547.13536103253091</v>
      </c>
      <c r="DT44" s="59">
        <f ca="1">AVERAGE(OFFSET($DS$3,0,0,'Données projet'!$E$14+1,1))-AVERAGE(OFFSET($H$3,0,0,'Données projet'!$E$14+1,1))</f>
        <v>156.63226020379989</v>
      </c>
      <c r="DU44" s="59">
        <f t="shared" si="44"/>
        <v>196.0481096619543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6.390927978943636</v>
      </c>
      <c r="EC44" s="21">
        <f>EXP(-LN(2)/2)*EC43+(1-EXP(-LN(2)/2))/(LN(2)/2)*DW44*DZ44*VLOOKUP('Données projet'!$B$14,Paramètres!$A$1:$I$89,3,0)*0.475*44/12</f>
        <v>0.20049727290881356</v>
      </c>
      <c r="ED44" s="22">
        <f t="shared" si="18"/>
        <v>6.5914252518524492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5.3369963369963358</v>
      </c>
      <c r="EJ44" s="12">
        <f>IF('Données projet'!$A$192&gt;35,EJ43+EI44-ER43,IF(A44&lt;'Données projet'!$A$192,$EG$205^A44,IF(A44='Données projet'!$A$192,'Données projet'!$B$192,EJ43+EI44-ER43)))</f>
        <v>146.41208791208788</v>
      </c>
      <c r="EK44" s="17">
        <f>EJ44*VLOOKUP('Données projet'!$B$15,Paramètres!$A$1:$I$89,3,0)*VLOOKUP('Données projet'!$B$15,Paramètres!$A$1:$I$89,5,0)</f>
        <v>148.46185714285713</v>
      </c>
      <c r="EL44" s="13">
        <f t="shared" si="45"/>
        <v>38.228827726420505</v>
      </c>
      <c r="EM44" s="20">
        <f t="shared" si="19"/>
        <v>325.15294281399184</v>
      </c>
      <c r="EN44" s="59">
        <f t="shared" si="20"/>
        <v>618.48627614732516</v>
      </c>
      <c r="EO44" s="59">
        <f ca="1">AVERAGE(OFFSET($EN$3,0,0,'Données projet'!$E$15+1,1))-AVERAGE(OFFSET($H$3,0,0,'Données projet'!$E$15+1,1))</f>
        <v>190.21499310415584</v>
      </c>
      <c r="EP44" s="59">
        <f t="shared" si="46"/>
        <v>136.15730566500173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1.5708333333333335</v>
      </c>
      <c r="FE44" s="12">
        <f>IF('Données projet'!$A$218&gt;35,FE43+FD44-FM43,IF(A44&lt;'Données projet'!$A$218,$FB$205^A44,IF(A44='Données projet'!$A$218,'Données projet'!$B$218,FE43+FD44-FM43)))</f>
        <v>47.362500000000026</v>
      </c>
      <c r="FF44" s="17">
        <f>FE44*VLOOKUP('Données projet'!$B$16,Paramètres!$A$1:$I$89,3,0)*VLOOKUP('Données projet'!$B$16,Paramètres!$A$1:$I$89,5,0)</f>
        <v>54.561600000000027</v>
      </c>
      <c r="FG44" s="13">
        <f t="shared" si="47"/>
        <v>15.785760305885923</v>
      </c>
      <c r="FH44" s="20">
        <f t="shared" si="22"/>
        <v>122.52165253275138</v>
      </c>
      <c r="FI44" s="59">
        <f t="shared" si="23"/>
        <v>415.85498586608469</v>
      </c>
      <c r="FJ44" s="59">
        <f ca="1">AVERAGE(OFFSET($FI$3,0,0,'Données projet'!$E$16+1,1))-AVERAGE(OFFSET($H$3,0,0,'Données projet'!$E$16+1,1))</f>
        <v>14.847345852478327</v>
      </c>
      <c r="FK44" s="59">
        <f t="shared" si="48"/>
        <v>46.764428272166299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1.3082470214545487</v>
      </c>
      <c r="FS44" s="21">
        <f>EXP(-LN(2)/2)*FS43+(1-EXP(-LN(2)/2))/(LN(2)/2)*FM44*FP44*VLOOKUP('Données projet'!$B$16,Paramètres!$A$1:$I$89,3,0)*0.475*44/12</f>
        <v>4.3597452912896295E-2</v>
      </c>
      <c r="FT44" s="22">
        <f t="shared" si="24"/>
        <v>1.3518444743674451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9.3452380952380913</v>
      </c>
      <c r="N45" s="13">
        <f>IF('Données projet'!$A$36&gt;35,N44+M45-V44,IF(A45&lt;'Données projet'!$A$36,$K$205^A45,IF(A45='Données projet'!$A$36,'Données projet'!$B$36,N44+M45-V44)))</f>
        <v>128.28113553113553</v>
      </c>
      <c r="O45" s="13">
        <f>N45*VLOOKUP('Données projet'!$B$9,Paramètres!$A$1:$I$89,3,0)*VLOOKUP('Données projet'!$B$9,Paramètres!$A$1:$I$89,5,0)</f>
        <v>116.06877142857142</v>
      </c>
      <c r="P45" s="13">
        <f t="shared" si="33"/>
        <v>30.756334905160415</v>
      </c>
      <c r="Q45" s="20">
        <f t="shared" si="53"/>
        <v>255.72039353124964</v>
      </c>
      <c r="R45" s="59">
        <f t="shared" si="0"/>
        <v>549.05372686458293</v>
      </c>
      <c r="S45" s="59">
        <f ca="1">AVERAGE(OFFSET($R$3,0,0,'Données projet'!$E$9+1,1))-AVERAGE(OFFSET($H$3,0,0,'Données projet'!$E$9+1,1))</f>
        <v>221.7429870520005</v>
      </c>
      <c r="T45" s="59">
        <f t="shared" si="34"/>
        <v>182.2029938397186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9.1999999999999993</v>
      </c>
      <c r="AI45" s="13">
        <f>IF('Données projet'!$A$62&gt;35,AI44+AH45-AQ44,IF(A45&lt;'Données projet'!$A$62,$AF$205^A45,IF(A45='Données projet'!$A$62,'Données projet'!$B$62,AI44+AH45-AQ44)))</f>
        <v>211.39999999999992</v>
      </c>
      <c r="AJ45" s="13">
        <f>AI45*VLOOKUP('Données projet'!$B$10,Paramètres!$A$1:$I$89,3,0)*VLOOKUP('Données projet'!$B$10,Paramètres!$A$1:$I$89,5,0)</f>
        <v>168.18983999999995</v>
      </c>
      <c r="AK45" s="13">
        <f t="shared" si="35"/>
        <v>42.684355718695357</v>
      </c>
      <c r="AL45" s="20">
        <f t="shared" si="4"/>
        <v>367.27255754339438</v>
      </c>
      <c r="AM45" s="59">
        <f t="shared" si="5"/>
        <v>660.6058908767277</v>
      </c>
      <c r="AN45" s="59">
        <f ca="1">AVERAGE(OFFSET($AM$3,0,0,'Données projet'!$E$10+1,1))-AVERAGE(OFFSET($H$3,0,0,'Données projet'!$E$10+1,1))</f>
        <v>260.20517190557814</v>
      </c>
      <c r="AO45" s="59">
        <f t="shared" si="36"/>
        <v>307.22009971147133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2.572796938205105</v>
      </c>
      <c r="AV45" s="21">
        <f>EXP(-LN(2)/25)*AV44+(1-EXP(-LN(2)/25))/(LN(2)/25)*Calculateur!AQ45*Calculateur!AS45*VLOOKUP('Données projet'!$B$10,Paramètres!$A$1:$I$89,3,0)*0.475*44/12</f>
        <v>14.712096007211263</v>
      </c>
      <c r="AW45" s="21">
        <f>EXP(-LN(2)/2)*AW44+(1-EXP(-LN(2)/2))/(LN(2)/2)*AQ45*AT45*VLOOKUP('Données projet'!$B$10,Paramètres!$A$1:$I$89,3,0)*0.475*44/12</f>
        <v>0.3756099101993326</v>
      </c>
      <c r="AX45" s="21">
        <f t="shared" si="6"/>
        <v>17.6605028556157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18.899999999999999</v>
      </c>
      <c r="BD45" s="12">
        <f>IF('Données projet'!$A$88&gt;35,BD44+BC45-BL44,IF(A45&lt;'Données projet'!$A$88,$BA$205^A45,IF(A45='Données projet'!$A$88,'Données projet'!$B$88,BD44+BC45-BL44)))</f>
        <v>283.7999999999999</v>
      </c>
      <c r="BE45" s="13">
        <f>BD45*VLOOKUP('Données projet'!$B$11,Paramètres!$A$1:$I$89,3,0)*VLOOKUP('Données projet'!$B$11,Paramètres!$A$1:$I$89,5,0)</f>
        <v>169.71239999999995</v>
      </c>
      <c r="BF45" s="13">
        <f t="shared" si="37"/>
        <v>43.025604406382911</v>
      </c>
      <c r="BG45" s="20">
        <f t="shared" si="7"/>
        <v>370.51869100778345</v>
      </c>
      <c r="BH45" s="59">
        <f t="shared" si="8"/>
        <v>663.8520243411167</v>
      </c>
      <c r="BI45" s="59">
        <f ca="1">AVERAGE(OFFSET($BH$3,0,0,'Données projet'!$E$11+1,1))-AVERAGE(OFFSET($H$3,0,0,'Données projet'!$E$11+1,1))</f>
        <v>316.58509520829671</v>
      </c>
      <c r="BJ45" s="59">
        <f t="shared" si="38"/>
        <v>240.71332110643596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1.9984354210031408</v>
      </c>
      <c r="BQ45" s="21">
        <f>EXP(-LN(2)/25)*BQ44+(1-EXP(-LN(2)/25))/(LN(2)/25)*Calculateur!BL45*Calculateur!BN45*VLOOKUP('Données projet'!$B$11,Paramètres!$A$1:$I$89,3,0)*0.475*44/12</f>
        <v>10.94676182365952</v>
      </c>
      <c r="BR45" s="21">
        <f>EXP(-LN(2)/2)*BR44+(1-EXP(-LN(2)/2))/(LN(2)/2)*BL45*BO45*VLOOKUP('Données projet'!$B$11,Paramètres!$A$1:$I$89,3,0)*0.475*44/12</f>
        <v>0.34280223547095007</v>
      </c>
      <c r="BS45" s="22">
        <f t="shared" si="9"/>
        <v>13.28799948013361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16.2</v>
      </c>
      <c r="BY45" s="12">
        <f>IF('Données projet'!$A$114&gt;35,BY44+BX45-CG44,IF(A45&lt;'Données projet'!$A$114,$BV$205^A45,IF(A45='Données projet'!$A$114,'Données projet'!$B$114,BY44+BX45-CG44)))</f>
        <v>250.39999999999992</v>
      </c>
      <c r="BZ45" s="13">
        <f>BY45*VLOOKUP('Données projet'!$B$12,Paramètres!$A$1:$I$89,3,0)*VLOOKUP('Données projet'!$B$12,Paramètres!$A$1:$I$89,5,0)</f>
        <v>149.73919999999995</v>
      </c>
      <c r="CA45" s="13">
        <f t="shared" si="39"/>
        <v>38.51931188379853</v>
      </c>
      <c r="CB45" s="20">
        <f t="shared" si="10"/>
        <v>327.88357486428237</v>
      </c>
      <c r="CC45" s="59">
        <f t="shared" si="11"/>
        <v>621.21690819761568</v>
      </c>
      <c r="CD45" s="59">
        <f ca="1">AVERAGE(OFFSET($CC$3,0,0,'Données projet'!$E$12+1,1))-AVERAGE(OFFSET($H$3,0,0,'Données projet'!$E$12+1,1))</f>
        <v>270.30888762640245</v>
      </c>
      <c r="CE45" s="59">
        <f t="shared" si="40"/>
        <v>202.23783851977691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1.6888186656364563</v>
      </c>
      <c r="CL45" s="21">
        <f>EXP(-LN(2)/25)*CL44+(1-EXP(-LN(2)/25))/(LN(2)/25)*Calculateur!CG45*Calculateur!CI45*VLOOKUP('Données projet'!$B$12,Paramètres!$A$1:$I$89,3,0)*0.475*44/12</f>
        <v>8.8153891420158459</v>
      </c>
      <c r="CM45" s="21">
        <f>EXP(-LN(2)/2)*CM44+(1-EXP(-LN(2)/2))/(LN(2)/2)*CG45*CJ45*VLOOKUP('Données projet'!$B$12,Paramètres!$A$1:$I$89,3,0)*0.475*44/12</f>
        <v>0.28894700916347787</v>
      </c>
      <c r="CN45" s="22">
        <f t="shared" si="12"/>
        <v>10.793154816815779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9.1999999999999993</v>
      </c>
      <c r="CT45" s="12">
        <f>IF('Données projet'!$A$140&gt;35,CT44+CS45-DB44,IF(A45&lt;'Données projet'!$A$140,$CQ$205^A45,IF(A45='Données projet'!$A$140,'Données projet'!$B$140,CT44+CS45-DB44)))</f>
        <v>211.39999999999992</v>
      </c>
      <c r="CU45" s="17">
        <f>CT45*VLOOKUP('Données projet'!$B$13,Paramètres!$A$1:$I$89,3,0)*VLOOKUP('Données projet'!$B$13,Paramètres!$A$1:$I$89,5,0)</f>
        <v>141.80711999999994</v>
      </c>
      <c r="CV45" s="13">
        <f t="shared" si="41"/>
        <v>36.710681789362752</v>
      </c>
      <c r="CW45" s="20">
        <f t="shared" si="13"/>
        <v>310.91850478314001</v>
      </c>
      <c r="CX45" s="59">
        <f t="shared" si="14"/>
        <v>604.25183811647332</v>
      </c>
      <c r="CY45" s="59">
        <f ca="1">AVERAGE(OFFSET($CX$3,0,0,'Données projet'!$E$13+1,1))-AVERAGE(OFFSET($H$3,0,0,'Données projet'!$E$13+1,1))</f>
        <v>207.93042467236967</v>
      </c>
      <c r="CZ45" s="59">
        <f t="shared" si="42"/>
        <v>250.70954318710835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2.1692209478984212</v>
      </c>
      <c r="DG45" s="21">
        <f>EXP(-LN(2)/25)*DG44+(1-EXP(-LN(2)/25))/(LN(2)/25)*Calculateur!DB45*Calculateur!DD45*VLOOKUP('Données projet'!$B$13,Paramètres!$A$1:$I$89,3,0)*0.475*44/12</f>
        <v>12.404316241374207</v>
      </c>
      <c r="DH45" s="21">
        <f>EXP(-LN(2)/2)*DH44+(1-EXP(-LN(2)/2))/(LN(2)/2)*DB45*DE45*VLOOKUP('Données projet'!$B$13,Paramètres!$A$1:$I$89,3,0)*0.475*44/12</f>
        <v>0.31669070859943727</v>
      </c>
      <c r="DI45" s="22">
        <f t="shared" si="15"/>
        <v>14.890227897872066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7.7</v>
      </c>
      <c r="DO45" s="12">
        <f>IF('Données projet'!$A$166&gt;35,DO44+DN45-DW44,IF(A45&lt;'Données projet'!$A$166,$DL$205^A45,IF(A45='Données projet'!$A$166,'Données projet'!$B$166,DO44+DN45-DW44)))</f>
        <v>179.39999999999984</v>
      </c>
      <c r="DP45" s="17">
        <f>DO45*VLOOKUP('Données projet'!$B$14,Paramètres!$A$1:$I$89,3,0)*VLOOKUP('Données projet'!$B$14,Paramètres!$A$1:$I$89,5,0)</f>
        <v>120.34151999999989</v>
      </c>
      <c r="DQ45" s="13">
        <f t="shared" si="43"/>
        <v>31.754640046026022</v>
      </c>
      <c r="DR45" s="20">
        <f t="shared" si="16"/>
        <v>264.90081208016181</v>
      </c>
      <c r="DS45" s="59">
        <f t="shared" si="17"/>
        <v>558.23414541349507</v>
      </c>
      <c r="DT45" s="59">
        <f ca="1">AVERAGE(OFFSET($DS$3,0,0,'Données projet'!$E$14+1,1))-AVERAGE(OFFSET($H$3,0,0,'Données projet'!$E$14+1,1))</f>
        <v>156.63226020379989</v>
      </c>
      <c r="DU45" s="59">
        <f t="shared" si="44"/>
        <v>196.0481096619543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6.2161677172751268</v>
      </c>
      <c r="EC45" s="21">
        <f>EXP(-LN(2)/2)*EC44+(1-EXP(-LN(2)/2))/(LN(2)/2)*DW45*DZ45*VLOOKUP('Données projet'!$B$14,Paramètres!$A$1:$I$89,3,0)*0.475*44/12</f>
        <v>0.14177298128323193</v>
      </c>
      <c r="ED45" s="22">
        <f t="shared" si="18"/>
        <v>6.3579406985583589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5.3369963369963358</v>
      </c>
      <c r="EJ45" s="12">
        <f>IF('Données projet'!$A$192&gt;35,EJ44+EI45-ER44,IF(A45&lt;'Données projet'!$A$192,$EG$205^A45,IF(A45='Données projet'!$A$192,'Données projet'!$B$192,EJ44+EI45-ER44)))</f>
        <v>151.74908424908421</v>
      </c>
      <c r="EK45" s="17">
        <f>EJ45*VLOOKUP('Données projet'!$B$15,Paramètres!$A$1:$I$89,3,0)*VLOOKUP('Données projet'!$B$15,Paramètres!$A$1:$I$89,5,0)</f>
        <v>153.87357142857138</v>
      </c>
      <c r="EL45" s="13">
        <f t="shared" si="45"/>
        <v>39.457558153305143</v>
      </c>
      <c r="EM45" s="20">
        <f t="shared" si="19"/>
        <v>336.71838402176826</v>
      </c>
      <c r="EN45" s="59">
        <f t="shared" si="20"/>
        <v>630.05171735510157</v>
      </c>
      <c r="EO45" s="59">
        <f ca="1">AVERAGE(OFFSET($EN$3,0,0,'Données projet'!$E$15+1,1))-AVERAGE(OFFSET($H$3,0,0,'Données projet'!$E$15+1,1))</f>
        <v>190.21499310415584</v>
      </c>
      <c r="EP45" s="59">
        <f t="shared" si="46"/>
        <v>136.15730566500173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1.5708333333333335</v>
      </c>
      <c r="FE45" s="12">
        <f>IF('Données projet'!$A$218&gt;35,FE44+FD45-FM44,IF(A45&lt;'Données projet'!$A$218,$FB$205^A45,IF(A45='Données projet'!$A$218,'Données projet'!$B$218,FE44+FD45-FM44)))</f>
        <v>48.933333333333358</v>
      </c>
      <c r="FF45" s="17">
        <f>FE45*VLOOKUP('Données projet'!$B$16,Paramètres!$A$1:$I$89,3,0)*VLOOKUP('Données projet'!$B$16,Paramètres!$A$1:$I$89,5,0)</f>
        <v>56.371200000000023</v>
      </c>
      <c r="FG45" s="13">
        <f t="shared" si="47"/>
        <v>16.247489966010928</v>
      </c>
      <c r="FH45" s="20">
        <f t="shared" si="22"/>
        <v>126.4775516908024</v>
      </c>
      <c r="FI45" s="59">
        <f t="shared" si="23"/>
        <v>419.8108850241357</v>
      </c>
      <c r="FJ45" s="59">
        <f ca="1">AVERAGE(OFFSET($FI$3,0,0,'Données projet'!$E$16+1,1))-AVERAGE(OFFSET($H$3,0,0,'Données projet'!$E$16+1,1))</f>
        <v>14.847345852478327</v>
      </c>
      <c r="FK45" s="59">
        <f t="shared" si="48"/>
        <v>46.764428272166299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1.2724729378551534</v>
      </c>
      <c r="FS45" s="21">
        <f>EXP(-LN(2)/2)*FS44+(1-EXP(-LN(2)/2))/(LN(2)/2)*FM45*FP45*VLOOKUP('Données projet'!$B$16,Paramètres!$A$1:$I$89,3,0)*0.475*44/12</f>
        <v>3.0828054597170172E-2</v>
      </c>
      <c r="FT45" s="22">
        <f t="shared" si="24"/>
        <v>1.3033009924523236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9.3452380952380913</v>
      </c>
      <c r="N46" s="13">
        <f>IF('Données projet'!$A$36&gt;35,N45+M46-V45,IF(A46&lt;'Données projet'!$A$36,$K$205^A46,IF(A46='Données projet'!$A$36,'Données projet'!$B$36,N45+M46-V45)))</f>
        <v>137.62637362637363</v>
      </c>
      <c r="O46" s="13">
        <f>N46*VLOOKUP('Données projet'!$B$9,Paramètres!$A$1:$I$89,3,0)*VLOOKUP('Données projet'!$B$9,Paramètres!$A$1:$I$89,5,0)</f>
        <v>124.52434285714287</v>
      </c>
      <c r="P46" s="13">
        <f t="shared" si="33"/>
        <v>32.72794432679062</v>
      </c>
      <c r="Q46" s="20">
        <f t="shared" si="53"/>
        <v>273.88106684535086</v>
      </c>
      <c r="R46" s="59">
        <f t="shared" si="0"/>
        <v>567.21440017868417</v>
      </c>
      <c r="S46" s="59">
        <f ca="1">AVERAGE(OFFSET($R$3,0,0,'Données projet'!$E$9+1,1))-AVERAGE(OFFSET($H$3,0,0,'Données projet'!$E$9+1,1))</f>
        <v>221.7429870520005</v>
      </c>
      <c r="T46" s="59">
        <f t="shared" si="34"/>
        <v>182.2029938397186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9.1999999999999993</v>
      </c>
      <c r="AI46" s="13">
        <f>IF('Données projet'!$A$62&gt;35,AI45+AH46-AQ45,IF(A46&lt;'Données projet'!$A$62,$AF$205^A46,IF(A46='Données projet'!$A$62,'Données projet'!$B$62,AI45+AH46-AQ45)))</f>
        <v>220.59999999999991</v>
      </c>
      <c r="AJ46" s="13">
        <f>AI46*VLOOKUP('Données projet'!$B$10,Paramètres!$A$1:$I$89,3,0)*VLOOKUP('Données projet'!$B$10,Paramètres!$A$1:$I$89,5,0)</f>
        <v>175.50935999999993</v>
      </c>
      <c r="AK46" s="13">
        <f t="shared" si="35"/>
        <v>44.321637208794016</v>
      </c>
      <c r="AL46" s="20">
        <f t="shared" si="4"/>
        <v>382.87232013864946</v>
      </c>
      <c r="AM46" s="59">
        <f t="shared" si="5"/>
        <v>676.20565347198271</v>
      </c>
      <c r="AN46" s="59">
        <f ca="1">AVERAGE(OFFSET($AM$3,0,0,'Données projet'!$E$10+1,1))-AVERAGE(OFFSET($H$3,0,0,'Données projet'!$E$10+1,1))</f>
        <v>260.20517190557814</v>
      </c>
      <c r="AO46" s="59">
        <f t="shared" si="36"/>
        <v>307.22009971147133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2.5223459594980846</v>
      </c>
      <c r="AV46" s="21">
        <f>EXP(-LN(2)/25)*AV45+(1-EXP(-LN(2)/25))/(LN(2)/25)*Calculateur!AQ46*Calculateur!AS46*VLOOKUP('Données projet'!$B$10,Paramètres!$A$1:$I$89,3,0)*0.475*44/12</f>
        <v>14.309792968218567</v>
      </c>
      <c r="AW46" s="21">
        <f>EXP(-LN(2)/2)*AW45+(1-EXP(-LN(2)/2))/(LN(2)/2)*AQ46*AT46*VLOOKUP('Données projet'!$B$10,Paramètres!$A$1:$I$89,3,0)*0.475*44/12</f>
        <v>0.26559631458281824</v>
      </c>
      <c r="AX46" s="21">
        <f t="shared" si="6"/>
        <v>17.097735242299471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18.899999999999999</v>
      </c>
      <c r="BD46" s="12">
        <f>IF('Données projet'!$A$88&gt;35,BD45+BC46-BL45,IF(A46&lt;'Données projet'!$A$88,$BA$205^A46,IF(A46='Données projet'!$A$88,'Données projet'!$B$88,BD45+BC46-BL45)))</f>
        <v>302.69999999999987</v>
      </c>
      <c r="BE46" s="13">
        <f>BD46*VLOOKUP('Données projet'!$B$11,Paramètres!$A$1:$I$89,3,0)*VLOOKUP('Données projet'!$B$11,Paramètres!$A$1:$I$89,5,0)</f>
        <v>181.01459999999994</v>
      </c>
      <c r="BF46" s="13">
        <f t="shared" si="37"/>
        <v>45.547842076970326</v>
      </c>
      <c r="BG46" s="20">
        <f t="shared" si="7"/>
        <v>394.59625328405656</v>
      </c>
      <c r="BH46" s="59">
        <f t="shared" si="8"/>
        <v>687.92958661738987</v>
      </c>
      <c r="BI46" s="59">
        <f ca="1">AVERAGE(OFFSET($BH$3,0,0,'Données projet'!$E$11+1,1))-AVERAGE(OFFSET($H$3,0,0,'Données projet'!$E$11+1,1))</f>
        <v>316.58509520829671</v>
      </c>
      <c r="BJ46" s="59">
        <f t="shared" si="38"/>
        <v>240.71332110643596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1.959247321322517</v>
      </c>
      <c r="BQ46" s="21">
        <f>EXP(-LN(2)/25)*BQ45+(1-EXP(-LN(2)/25))/(LN(2)/25)*Calculateur!BL46*Calculateur!BN46*VLOOKUP('Données projet'!$B$11,Paramètres!$A$1:$I$89,3,0)*0.475*44/12</f>
        <v>10.647422045926366</v>
      </c>
      <c r="BR46" s="21">
        <f>EXP(-LN(2)/2)*BR45+(1-EXP(-LN(2)/2))/(LN(2)/2)*BL46*BO46*VLOOKUP('Données projet'!$B$11,Paramètres!$A$1:$I$89,3,0)*0.475*44/12</f>
        <v>0.24239778530741646</v>
      </c>
      <c r="BS46" s="22">
        <f t="shared" si="9"/>
        <v>12.849067152556298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16.2</v>
      </c>
      <c r="BY46" s="12">
        <f>IF('Données projet'!$A$114&gt;35,BY45+BX46-CG45,IF(A46&lt;'Données projet'!$A$114,$BV$205^A46,IF(A46='Données projet'!$A$114,'Données projet'!$B$114,BY45+BX46-CG45)))</f>
        <v>266.59999999999991</v>
      </c>
      <c r="BZ46" s="13">
        <f>BY46*VLOOKUP('Données projet'!$B$12,Paramètres!$A$1:$I$89,3,0)*VLOOKUP('Données projet'!$B$12,Paramètres!$A$1:$I$89,5,0)</f>
        <v>159.42679999999996</v>
      </c>
      <c r="CA46" s="13">
        <f t="shared" si="39"/>
        <v>40.713201554193425</v>
      </c>
      <c r="CB46" s="20">
        <f t="shared" si="10"/>
        <v>348.57716937355349</v>
      </c>
      <c r="CC46" s="59">
        <f t="shared" si="11"/>
        <v>641.91050270688675</v>
      </c>
      <c r="CD46" s="59">
        <f ca="1">AVERAGE(OFFSET($CC$3,0,0,'Données projet'!$E$12+1,1))-AVERAGE(OFFSET($H$3,0,0,'Données projet'!$E$12+1,1))</f>
        <v>270.30888762640245</v>
      </c>
      <c r="CE46" s="59">
        <f t="shared" si="40"/>
        <v>202.23783851977691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1.6557019616809998</v>
      </c>
      <c r="CL46" s="21">
        <f>EXP(-LN(2)/25)*CL45+(1-EXP(-LN(2)/25))/(LN(2)/25)*Calculateur!CG46*Calculateur!CI46*VLOOKUP('Données projet'!$B$12,Paramètres!$A$1:$I$89,3,0)*0.475*44/12</f>
        <v>8.5743318623462557</v>
      </c>
      <c r="CM46" s="21">
        <f>EXP(-LN(2)/2)*CM45+(1-EXP(-LN(2)/2))/(LN(2)/2)*CG46*CJ46*VLOOKUP('Données projet'!$B$12,Paramètres!$A$1:$I$89,3,0)*0.475*44/12</f>
        <v>0.20431638958306669</v>
      </c>
      <c r="CN46" s="22">
        <f t="shared" si="12"/>
        <v>10.434350213610323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9.1999999999999993</v>
      </c>
      <c r="CT46" s="12">
        <f>IF('Données projet'!$A$140&gt;35,CT45+CS46-DB45,IF(A46&lt;'Données projet'!$A$140,$CQ$205^A46,IF(A46='Données projet'!$A$140,'Données projet'!$B$140,CT45+CS46-DB45)))</f>
        <v>220.59999999999991</v>
      </c>
      <c r="CU46" s="17">
        <f>CT46*VLOOKUP('Données projet'!$B$13,Paramètres!$A$1:$I$89,3,0)*VLOOKUP('Données projet'!$B$13,Paramètres!$A$1:$I$89,5,0)</f>
        <v>147.97847999999993</v>
      </c>
      <c r="CV46" s="13">
        <f t="shared" si="41"/>
        <v>38.118825798346784</v>
      </c>
      <c r="CW46" s="20">
        <f t="shared" si="13"/>
        <v>324.1194742654539</v>
      </c>
      <c r="CX46" s="59">
        <f t="shared" si="14"/>
        <v>617.45280759878722</v>
      </c>
      <c r="CY46" s="59">
        <f ca="1">AVERAGE(OFFSET($CX$3,0,0,'Données projet'!$E$13+1,1))-AVERAGE(OFFSET($H$3,0,0,'Données projet'!$E$13+1,1))</f>
        <v>207.93042467236967</v>
      </c>
      <c r="CZ46" s="59">
        <f t="shared" si="42"/>
        <v>250.70954318710835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2.1266838482042667</v>
      </c>
      <c r="DG46" s="21">
        <f>EXP(-LN(2)/25)*DG45+(1-EXP(-LN(2)/25))/(LN(2)/25)*Calculateur!DB46*Calculateur!DD46*VLOOKUP('Données projet'!$B$13,Paramètres!$A$1:$I$89,3,0)*0.475*44/12</f>
        <v>12.06511956143919</v>
      </c>
      <c r="DH46" s="21">
        <f>EXP(-LN(2)/2)*DH45+(1-EXP(-LN(2)/2))/(LN(2)/2)*DB46*DE46*VLOOKUP('Données projet'!$B$13,Paramètres!$A$1:$I$89,3,0)*0.475*44/12</f>
        <v>0.22393414758943497</v>
      </c>
      <c r="DI46" s="22">
        <f t="shared" si="15"/>
        <v>14.415737557232891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7.7</v>
      </c>
      <c r="DO46" s="12">
        <f>IF('Données projet'!$A$166&gt;35,DO45+DN46-DW45,IF(A46&lt;'Données projet'!$A$166,$DL$205^A46,IF(A46='Données projet'!$A$166,'Données projet'!$B$166,DO45+DN46-DW45)))</f>
        <v>187.09999999999982</v>
      </c>
      <c r="DP46" s="17">
        <f>DO46*VLOOKUP('Données projet'!$B$14,Paramètres!$A$1:$I$89,3,0)*VLOOKUP('Données projet'!$B$14,Paramètres!$A$1:$I$89,5,0)</f>
        <v>125.50667999999988</v>
      </c>
      <c r="DQ46" s="13">
        <f t="shared" si="43"/>
        <v>32.95596902227328</v>
      </c>
      <c r="DR46" s="20">
        <f t="shared" si="16"/>
        <v>275.98911371379239</v>
      </c>
      <c r="DS46" s="59">
        <f t="shared" si="17"/>
        <v>569.32244704712571</v>
      </c>
      <c r="DT46" s="59">
        <f ca="1">AVERAGE(OFFSET($DS$3,0,0,'Données projet'!$E$14+1,1))-AVERAGE(OFFSET($H$3,0,0,'Données projet'!$E$14+1,1))</f>
        <v>156.63226020379989</v>
      </c>
      <c r="DU46" s="59">
        <f t="shared" si="44"/>
        <v>196.0481096619543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6.0461862841521858</v>
      </c>
      <c r="EC46" s="21">
        <f>EXP(-LN(2)/2)*EC45+(1-EXP(-LN(2)/2))/(LN(2)/2)*DW46*DZ46*VLOOKUP('Données projet'!$B$14,Paramètres!$A$1:$I$89,3,0)*0.475*44/12</f>
        <v>0.10024863645440678</v>
      </c>
      <c r="ED46" s="22">
        <f t="shared" si="18"/>
        <v>6.1464349206065929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5.3369963369963358</v>
      </c>
      <c r="EJ46" s="12">
        <f>IF('Données projet'!$A$192&gt;35,EJ45+EI46-ER45,IF(A46&lt;'Données projet'!$A$192,$EG$205^A46,IF(A46='Données projet'!$A$192,'Données projet'!$B$192,EJ45+EI46-ER45)))</f>
        <v>157.08608058608053</v>
      </c>
      <c r="EK46" s="17">
        <f>EJ46*VLOOKUP('Données projet'!$B$15,Paramètres!$A$1:$I$89,3,0)*VLOOKUP('Données projet'!$B$15,Paramètres!$A$1:$I$89,5,0)</f>
        <v>159.28528571428566</v>
      </c>
      <c r="EL46" s="13">
        <f t="shared" si="45"/>
        <v>40.681267624862308</v>
      </c>
      <c r="EM46" s="20">
        <f t="shared" si="19"/>
        <v>348.27508039901596</v>
      </c>
      <c r="EN46" s="59">
        <f t="shared" si="20"/>
        <v>641.60841373234928</v>
      </c>
      <c r="EO46" s="59">
        <f ca="1">AVERAGE(OFFSET($EN$3,0,0,'Données projet'!$E$15+1,1))-AVERAGE(OFFSET($H$3,0,0,'Données projet'!$E$15+1,1))</f>
        <v>190.21499310415584</v>
      </c>
      <c r="EP46" s="59">
        <f t="shared" si="46"/>
        <v>136.15730566500173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1.5708333333333335</v>
      </c>
      <c r="FE46" s="12">
        <f>IF('Données projet'!$A$218&gt;35,FE45+FD46-FM45,IF(A46&lt;'Données projet'!$A$218,$FB$205^A46,IF(A46='Données projet'!$A$218,'Données projet'!$B$218,FE45+FD46-FM45)))</f>
        <v>50.504166666666691</v>
      </c>
      <c r="FF46" s="17">
        <f>FE46*VLOOKUP('Données projet'!$B$16,Paramètres!$A$1:$I$89,3,0)*VLOOKUP('Données projet'!$B$16,Paramètres!$A$1:$I$89,5,0)</f>
        <v>58.180800000000026</v>
      </c>
      <c r="FG46" s="13">
        <f t="shared" si="47"/>
        <v>16.707497227275564</v>
      </c>
      <c r="FH46" s="20">
        <f t="shared" si="22"/>
        <v>130.43045100417166</v>
      </c>
      <c r="FI46" s="59">
        <f t="shared" si="23"/>
        <v>423.76378433750494</v>
      </c>
      <c r="FJ46" s="59">
        <f ca="1">AVERAGE(OFFSET($FI$3,0,0,'Données projet'!$E$16+1,1))-AVERAGE(OFFSET($H$3,0,0,'Données projet'!$E$16+1,1))</f>
        <v>14.847345852478327</v>
      </c>
      <c r="FK46" s="59">
        <f t="shared" si="48"/>
        <v>46.764428272166299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1.2376770984530607</v>
      </c>
      <c r="FS46" s="21">
        <f>EXP(-LN(2)/2)*FS45+(1-EXP(-LN(2)/2))/(LN(2)/2)*FM46*FP46*VLOOKUP('Données projet'!$B$16,Paramètres!$A$1:$I$89,3,0)*0.475*44/12</f>
        <v>2.1798726456448151E-2</v>
      </c>
      <c r="FT46" s="22">
        <f t="shared" si="24"/>
        <v>1.2594758249095088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9.3452380952380913</v>
      </c>
      <c r="N47" s="13">
        <f>IF('Données projet'!$A$36&gt;35,N46+M47-V46,IF(A47&lt;'Données projet'!$A$36,$K$205^A47,IF(A47='Données projet'!$A$36,'Données projet'!$B$36,N46+M47-V46)))</f>
        <v>146.97161172161174</v>
      </c>
      <c r="O47" s="13">
        <f>N47*VLOOKUP('Données projet'!$B$9,Paramètres!$A$1:$I$89,3,0)*VLOOKUP('Données projet'!$B$9,Paramètres!$A$1:$I$89,5,0)</f>
        <v>132.97991428571427</v>
      </c>
      <c r="P47" s="13">
        <f t="shared" si="33"/>
        <v>34.68401916194258</v>
      </c>
      <c r="Q47" s="20">
        <f t="shared" si="53"/>
        <v>292.01468408800241</v>
      </c>
      <c r="R47" s="59">
        <f t="shared" si="0"/>
        <v>585.34801742133573</v>
      </c>
      <c r="S47" s="59">
        <f ca="1">AVERAGE(OFFSET($R$3,0,0,'Données projet'!$E$9+1,1))-AVERAGE(OFFSET($H$3,0,0,'Données projet'!$E$9+1,1))</f>
        <v>221.7429870520005</v>
      </c>
      <c r="T47" s="59">
        <f t="shared" si="34"/>
        <v>182.2029938397186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9.1999999999999993</v>
      </c>
      <c r="AI47" s="13">
        <f>IF('Données projet'!$A$62&gt;35,AI46+AH47-AQ46,IF(A47&lt;'Données projet'!$A$62,$AF$205^A47,IF(A47='Données projet'!$A$62,'Données projet'!$B$62,AI46+AH47-AQ46)))</f>
        <v>229.7999999999999</v>
      </c>
      <c r="AJ47" s="13">
        <f>AI47*VLOOKUP('Données projet'!$B$10,Paramètres!$A$1:$I$89,3,0)*VLOOKUP('Données projet'!$B$10,Paramètres!$A$1:$I$89,5,0)</f>
        <v>182.82887999999994</v>
      </c>
      <c r="AK47" s="13">
        <f t="shared" si="35"/>
        <v>45.950987516613559</v>
      </c>
      <c r="AL47" s="20">
        <f t="shared" si="4"/>
        <v>398.45826925810184</v>
      </c>
      <c r="AM47" s="59">
        <f t="shared" si="5"/>
        <v>691.79160259143509</v>
      </c>
      <c r="AN47" s="59">
        <f ca="1">AVERAGE(OFFSET($AM$3,0,0,'Données projet'!$E$10+1,1))-AVERAGE(OFFSET($H$3,0,0,'Données projet'!$E$10+1,1))</f>
        <v>260.20517190557814</v>
      </c>
      <c r="AO47" s="59">
        <f t="shared" si="36"/>
        <v>307.22009971147133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2.4728842937114504</v>
      </c>
      <c r="AV47" s="21">
        <f>EXP(-LN(2)/25)*AV46+(1-EXP(-LN(2)/25))/(LN(2)/25)*Calculateur!AQ47*Calculateur!AS47*VLOOKUP('Données projet'!$B$10,Paramètres!$A$1:$I$89,3,0)*0.475*44/12</f>
        <v>13.918490926983322</v>
      </c>
      <c r="AW47" s="21">
        <f>EXP(-LN(2)/2)*AW46+(1-EXP(-LN(2)/2))/(LN(2)/2)*AQ47*AT47*VLOOKUP('Données projet'!$B$10,Paramètres!$A$1:$I$89,3,0)*0.475*44/12</f>
        <v>0.1878049550996663</v>
      </c>
      <c r="AX47" s="21">
        <f t="shared" si="6"/>
        <v>16.579180175794438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18.899999999999999</v>
      </c>
      <c r="BD47" s="12">
        <f>IF('Données projet'!$A$88&gt;35,BD46+BC47-BL46,IF(A47&lt;'Données projet'!$A$88,$BA$205^A47,IF(A47='Données projet'!$A$88,'Données projet'!$B$88,BD46+BC47-BL46)))</f>
        <v>321.59999999999985</v>
      </c>
      <c r="BE47" s="13">
        <f>BD47*VLOOKUP('Données projet'!$B$11,Paramètres!$A$1:$I$89,3,0)*VLOOKUP('Données projet'!$B$11,Paramètres!$A$1:$I$89,5,0)</f>
        <v>192.31679999999994</v>
      </c>
      <c r="BF47" s="13">
        <f t="shared" si="37"/>
        <v>48.05180257326473</v>
      </c>
      <c r="BG47" s="20">
        <f t="shared" si="7"/>
        <v>418.64198281510261</v>
      </c>
      <c r="BH47" s="59">
        <f t="shared" si="8"/>
        <v>711.97531614843592</v>
      </c>
      <c r="BI47" s="59">
        <f ca="1">AVERAGE(OFFSET($BH$3,0,0,'Données projet'!$E$11+1,1))-AVERAGE(OFFSET($H$3,0,0,'Données projet'!$E$11+1,1))</f>
        <v>316.58509520829671</v>
      </c>
      <c r="BJ47" s="59">
        <f t="shared" si="38"/>
        <v>240.71332110643596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1.9208276763742498</v>
      </c>
      <c r="BQ47" s="21">
        <f>EXP(-LN(2)/25)*BQ46+(1-EXP(-LN(2)/25))/(LN(2)/25)*Calculateur!BL47*Calculateur!BN47*VLOOKUP('Données projet'!$B$11,Paramètres!$A$1:$I$89,3,0)*0.475*44/12</f>
        <v>10.356267730156919</v>
      </c>
      <c r="BR47" s="21">
        <f>EXP(-LN(2)/2)*BR46+(1-EXP(-LN(2)/2))/(LN(2)/2)*BL47*BO47*VLOOKUP('Données projet'!$B$11,Paramètres!$A$1:$I$89,3,0)*0.475*44/12</f>
        <v>0.17140111773547506</v>
      </c>
      <c r="BS47" s="22">
        <f t="shared" si="9"/>
        <v>12.448496524266645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16.2</v>
      </c>
      <c r="BY47" s="12">
        <f>IF('Données projet'!$A$114&gt;35,BY46+BX47-CG46,IF(A47&lt;'Données projet'!$A$114,$BV$205^A47,IF(A47='Données projet'!$A$114,'Données projet'!$B$114,BY46+BX47-CG46)))</f>
        <v>282.7999999999999</v>
      </c>
      <c r="BZ47" s="13">
        <f>BY47*VLOOKUP('Données projet'!$B$12,Paramètres!$A$1:$I$89,3,0)*VLOOKUP('Données projet'!$B$12,Paramètres!$A$1:$I$89,5,0)</f>
        <v>169.11439999999996</v>
      </c>
      <c r="CA47" s="13">
        <f t="shared" si="39"/>
        <v>42.891618392708978</v>
      </c>
      <c r="CB47" s="20">
        <f t="shared" si="10"/>
        <v>369.24381536730135</v>
      </c>
      <c r="CC47" s="59">
        <f t="shared" si="11"/>
        <v>662.57714870063467</v>
      </c>
      <c r="CD47" s="59">
        <f ca="1">AVERAGE(OFFSET($CC$3,0,0,'Données projet'!$E$12+1,1))-AVERAGE(OFFSET($H$3,0,0,'Données projet'!$E$12+1,1))</f>
        <v>270.30888762640245</v>
      </c>
      <c r="CE47" s="59">
        <f t="shared" si="40"/>
        <v>202.23783851977691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1.6232346560909148</v>
      </c>
      <c r="CL47" s="21">
        <f>EXP(-LN(2)/25)*CL46+(1-EXP(-LN(2)/25))/(LN(2)/25)*Calculateur!CG47*Calculateur!CI47*VLOOKUP('Données projet'!$B$12,Paramètres!$A$1:$I$89,3,0)*0.475*44/12</f>
        <v>8.3398663066658809</v>
      </c>
      <c r="CM47" s="21">
        <f>EXP(-LN(2)/2)*CM46+(1-EXP(-LN(2)/2))/(LN(2)/2)*CG47*CJ47*VLOOKUP('Données projet'!$B$12,Paramètres!$A$1:$I$89,3,0)*0.475*44/12</f>
        <v>0.14447350458173894</v>
      </c>
      <c r="CN47" s="22">
        <f t="shared" si="12"/>
        <v>10.107574467338535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9.1999999999999993</v>
      </c>
      <c r="CT47" s="12">
        <f>IF('Données projet'!$A$140&gt;35,CT46+CS47-DB46,IF(A47&lt;'Données projet'!$A$140,$CQ$205^A47,IF(A47='Données projet'!$A$140,'Données projet'!$B$140,CT46+CS47-DB46)))</f>
        <v>229.7999999999999</v>
      </c>
      <c r="CU47" s="17">
        <f>CT47*VLOOKUP('Données projet'!$B$13,Paramètres!$A$1:$I$89,3,0)*VLOOKUP('Données projet'!$B$13,Paramètres!$A$1:$I$89,5,0)</f>
        <v>154.14983999999993</v>
      </c>
      <c r="CV47" s="13">
        <f t="shared" si="41"/>
        <v>39.520148593704498</v>
      </c>
      <c r="CW47" s="20">
        <f t="shared" si="13"/>
        <v>337.30856346736851</v>
      </c>
      <c r="CX47" s="59">
        <f t="shared" si="14"/>
        <v>630.64189680070183</v>
      </c>
      <c r="CY47" s="59">
        <f ca="1">AVERAGE(OFFSET($CX$3,0,0,'Données projet'!$E$13+1,1))-AVERAGE(OFFSET($H$3,0,0,'Données projet'!$E$13+1,1))</f>
        <v>207.93042467236967</v>
      </c>
      <c r="CZ47" s="59">
        <f t="shared" si="42"/>
        <v>250.70954318710835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2.0849808750900456</v>
      </c>
      <c r="DG47" s="21">
        <f>EXP(-LN(2)/25)*DG46+(1-EXP(-LN(2)/25))/(LN(2)/25)*Calculateur!DB47*Calculateur!DD47*VLOOKUP('Données projet'!$B$13,Paramètres!$A$1:$I$89,3,0)*0.475*44/12</f>
        <v>11.735198232554572</v>
      </c>
      <c r="DH47" s="21">
        <f>EXP(-LN(2)/2)*DH46+(1-EXP(-LN(2)/2))/(LN(2)/2)*DB47*DE47*VLOOKUP('Données projet'!$B$13,Paramètres!$A$1:$I$89,3,0)*0.475*44/12</f>
        <v>0.15834535429971863</v>
      </c>
      <c r="DI47" s="22">
        <f t="shared" si="15"/>
        <v>13.978524461944335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7.7</v>
      </c>
      <c r="DO47" s="12">
        <f>IF('Données projet'!$A$166&gt;35,DO46+DN47-DW46,IF(A47&lt;'Données projet'!$A$166,$DL$205^A47,IF(A47='Données projet'!$A$166,'Données projet'!$B$166,DO46+DN47-DW46)))</f>
        <v>194.79999999999981</v>
      </c>
      <c r="DP47" s="17">
        <f>DO47*VLOOKUP('Données projet'!$B$14,Paramètres!$A$1:$I$89,3,0)*VLOOKUP('Données projet'!$B$14,Paramètres!$A$1:$I$89,5,0)</f>
        <v>130.67183999999989</v>
      </c>
      <c r="DQ47" s="13">
        <f t="shared" si="43"/>
        <v>34.151555226731247</v>
      </c>
      <c r="DR47" s="20">
        <f t="shared" si="16"/>
        <v>287.0674133532234</v>
      </c>
      <c r="DS47" s="59">
        <f t="shared" si="17"/>
        <v>580.40074668655666</v>
      </c>
      <c r="DT47" s="59">
        <f ca="1">AVERAGE(OFFSET($DS$3,0,0,'Données projet'!$E$14+1,1))-AVERAGE(OFFSET($H$3,0,0,'Données projet'!$E$14+1,1))</f>
        <v>156.63226020379989</v>
      </c>
      <c r="DU47" s="59">
        <f t="shared" si="44"/>
        <v>196.0481096619543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5.8808530022569263</v>
      </c>
      <c r="EC47" s="21">
        <f>EXP(-LN(2)/2)*EC46+(1-EXP(-LN(2)/2))/(LN(2)/2)*DW47*DZ47*VLOOKUP('Données projet'!$B$14,Paramètres!$A$1:$I$89,3,0)*0.475*44/12</f>
        <v>7.0886490641615965E-2</v>
      </c>
      <c r="ED47" s="22">
        <f t="shared" si="18"/>
        <v>5.9517394928985423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162.42307692307691</v>
      </c>
      <c r="EH47" s="12">
        <f>VLOOKUP(A47,'Données projet'!$A$191:$I$211,9,0)</f>
        <v>5.3369963369963358</v>
      </c>
      <c r="EI47" s="12">
        <f t="array" ref="EI47">INDEX(EH:EH,MIN(IF(ISNUMBER(EH47:EH243),ROW(EH47:EH243),"")))</f>
        <v>5.3369963369963358</v>
      </c>
      <c r="EJ47" s="12">
        <f>IF('Données projet'!$A$192&gt;35,EJ46+EI47-ER46,IF(A47&lt;'Données projet'!$A$192,$EG$205^A47,IF(A47='Données projet'!$A$192,'Données projet'!$B$192,EJ46+EI47-ER46)))</f>
        <v>162.42307692307685</v>
      </c>
      <c r="EK47" s="17">
        <f>EJ47*VLOOKUP('Données projet'!$B$15,Paramètres!$A$1:$I$89,3,0)*VLOOKUP('Données projet'!$B$15,Paramètres!$A$1:$I$89,5,0)</f>
        <v>164.69699999999995</v>
      </c>
      <c r="EL47" s="13">
        <f t="shared" si="45"/>
        <v>41.900146282502362</v>
      </c>
      <c r="EM47" s="20">
        <f t="shared" si="19"/>
        <v>359.82336310869147</v>
      </c>
      <c r="EN47" s="59">
        <f t="shared" si="20"/>
        <v>653.15669644202478</v>
      </c>
      <c r="EO47" s="59">
        <f ca="1">AVERAGE(OFFSET($EN$3,0,0,'Données projet'!$E$15+1,1))-AVERAGE(OFFSET($H$3,0,0,'Données projet'!$E$15+1,1))</f>
        <v>190.21499310415584</v>
      </c>
      <c r="EP47" s="59">
        <f t="shared" si="46"/>
        <v>136.15730566500173</v>
      </c>
      <c r="EQ47" s="15">
        <f>IF(ISNA(VLOOKUP(A47,'Données projet'!$A$191:$I$211,3,0)),0,VLOOKUP(A47,'Données projet'!$A$191:$I$211,3,0))</f>
        <v>1</v>
      </c>
      <c r="ER47" s="15">
        <f>IF(ISNA(VLOOKUP(A47,'Données projet'!$A$191:$I$211,4,0)),0,VLOOKUP(A47,'Données projet'!$A$191:$I$211,4,0))</f>
        <v>64.416666666666657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1.5708333333333335</v>
      </c>
      <c r="FE47" s="12">
        <f>IF('Données projet'!$A$218&gt;35,FE46+FD47-FM46,IF(A47&lt;'Données projet'!$A$218,$FB$205^A47,IF(A47='Données projet'!$A$218,'Données projet'!$B$218,FE46+FD47-FM46)))</f>
        <v>52.075000000000024</v>
      </c>
      <c r="FF47" s="17">
        <f>FE47*VLOOKUP('Données projet'!$B$16,Paramètres!$A$1:$I$89,3,0)*VLOOKUP('Données projet'!$B$16,Paramètres!$A$1:$I$89,5,0)</f>
        <v>59.990400000000022</v>
      </c>
      <c r="FG47" s="13">
        <f t="shared" si="47"/>
        <v>17.16584180869415</v>
      </c>
      <c r="FH47" s="20">
        <f t="shared" si="22"/>
        <v>134.38045448347569</v>
      </c>
      <c r="FI47" s="59">
        <f t="shared" si="23"/>
        <v>427.71378781680903</v>
      </c>
      <c r="FJ47" s="59">
        <f ca="1">AVERAGE(OFFSET($FI$3,0,0,'Données projet'!$E$16+1,1))-AVERAGE(OFFSET($H$3,0,0,'Données projet'!$E$16+1,1))</f>
        <v>14.847345852478327</v>
      </c>
      <c r="FK47" s="59">
        <f t="shared" si="48"/>
        <v>46.764428272166299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1.2038327531092519</v>
      </c>
      <c r="FS47" s="21">
        <f>EXP(-LN(2)/2)*FS46+(1-EXP(-LN(2)/2))/(LN(2)/2)*FM47*FP47*VLOOKUP('Données projet'!$B$16,Paramètres!$A$1:$I$89,3,0)*0.475*44/12</f>
        <v>1.5414027298585087E-2</v>
      </c>
      <c r="FT47" s="22">
        <f t="shared" si="24"/>
        <v>1.2192467804078368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9.3452380952380913</v>
      </c>
      <c r="N48" s="13">
        <f>IF('Données projet'!$A$36&gt;35,N47+M48-V47,IF(A48&lt;'Données projet'!$A$36,$K$205^A48,IF(A48='Données projet'!$A$36,'Données projet'!$B$36,N47+M48-V47)))</f>
        <v>156.31684981684984</v>
      </c>
      <c r="O48" s="13">
        <f>N48*VLOOKUP('Données projet'!$B$9,Paramètres!$A$1:$I$89,3,0)*VLOOKUP('Données projet'!$B$9,Paramètres!$A$1:$I$89,5,0)</f>
        <v>141.43548571428573</v>
      </c>
      <c r="P48" s="13">
        <f t="shared" si="33"/>
        <v>36.625659617511197</v>
      </c>
      <c r="Q48" s="20">
        <f t="shared" si="53"/>
        <v>310.12316145287963</v>
      </c>
      <c r="R48" s="59">
        <f t="shared" si="0"/>
        <v>603.45649478621294</v>
      </c>
      <c r="S48" s="59">
        <f ca="1">AVERAGE(OFFSET($R$3,0,0,'Données projet'!$E$9+1,1))-AVERAGE(OFFSET($H$3,0,0,'Données projet'!$E$9+1,1))</f>
        <v>221.7429870520005</v>
      </c>
      <c r="T48" s="59">
        <f t="shared" si="34"/>
        <v>182.2029938397186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9.1999999999999993</v>
      </c>
      <c r="AI48" s="13">
        <f>IF('Données projet'!$A$62&gt;35,AI47+AH48-AQ47,IF(A48&lt;'Données projet'!$A$62,$AF$205^A48,IF(A48='Données projet'!$A$62,'Données projet'!$B$62,AI47+AH48-AQ47)))</f>
        <v>238.99999999999989</v>
      </c>
      <c r="AJ48" s="13">
        <f>AI48*VLOOKUP('Données projet'!$B$10,Paramètres!$A$1:$I$89,3,0)*VLOOKUP('Données projet'!$B$10,Paramètres!$A$1:$I$89,5,0)</f>
        <v>190.14839999999992</v>
      </c>
      <c r="AK48" s="13">
        <f t="shared" si="35"/>
        <v>47.572760493232991</v>
      </c>
      <c r="AL48" s="20">
        <f t="shared" si="4"/>
        <v>414.03102119238065</v>
      </c>
      <c r="AM48" s="59">
        <f t="shared" si="5"/>
        <v>707.36435452571391</v>
      </c>
      <c r="AN48" s="59">
        <f ca="1">AVERAGE(OFFSET($AM$3,0,0,'Données projet'!$E$10+1,1))-AVERAGE(OFFSET($H$3,0,0,'Données projet'!$E$10+1,1))</f>
        <v>260.20517190557814</v>
      </c>
      <c r="AO48" s="59">
        <f t="shared" si="36"/>
        <v>307.22009971147133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2.4243925410222547</v>
      </c>
      <c r="AV48" s="21">
        <f>EXP(-LN(2)/25)*AV47+(1-EXP(-LN(2)/25))/(LN(2)/25)*Calculateur!AQ48*Calculateur!AS48*VLOOKUP('Données projet'!$B$10,Paramètres!$A$1:$I$89,3,0)*0.475*44/12</f>
        <v>13.537889060643337</v>
      </c>
      <c r="AW48" s="21">
        <f>EXP(-LN(2)/2)*AW47+(1-EXP(-LN(2)/2))/(LN(2)/2)*AQ48*AT48*VLOOKUP('Données projet'!$B$10,Paramètres!$A$1:$I$89,3,0)*0.475*44/12</f>
        <v>0.13279815729140912</v>
      </c>
      <c r="AX48" s="21">
        <f t="shared" si="6"/>
        <v>16.095079758956999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18.899999999999999</v>
      </c>
      <c r="BD48" s="12">
        <f>IF('Données projet'!$A$88&gt;35,BD47+BC48-BL47,IF(A48&lt;'Données projet'!$A$88,$BA$205^A48,IF(A48='Données projet'!$A$88,'Données projet'!$B$88,BD47+BC48-BL47)))</f>
        <v>340.49999999999983</v>
      </c>
      <c r="BE48" s="13">
        <f>BD48*VLOOKUP('Données projet'!$B$11,Paramètres!$A$1:$I$89,3,0)*VLOOKUP('Données projet'!$B$11,Paramètres!$A$1:$I$89,5,0)</f>
        <v>203.61899999999991</v>
      </c>
      <c r="BF48" s="13">
        <f t="shared" si="37"/>
        <v>50.538682373323198</v>
      </c>
      <c r="BG48" s="20">
        <f t="shared" si="7"/>
        <v>442.65796346687102</v>
      </c>
      <c r="BH48" s="59">
        <f t="shared" si="8"/>
        <v>735.99129680020428</v>
      </c>
      <c r="BI48" s="59">
        <f ca="1">AVERAGE(OFFSET($BH$3,0,0,'Données projet'!$E$11+1,1))-AVERAGE(OFFSET($H$3,0,0,'Données projet'!$E$11+1,1))</f>
        <v>316.58509520829671</v>
      </c>
      <c r="BJ48" s="59">
        <f t="shared" si="38"/>
        <v>240.71332110643596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1.8831614172297486</v>
      </c>
      <c r="BQ48" s="21">
        <f>EXP(-LN(2)/25)*BQ47+(1-EXP(-LN(2)/25))/(LN(2)/25)*Calculateur!BL48*Calculateur!BN48*VLOOKUP('Données projet'!$B$11,Paramètres!$A$1:$I$89,3,0)*0.475*44/12</f>
        <v>10.073075044463328</v>
      </c>
      <c r="BR48" s="21">
        <f>EXP(-LN(2)/2)*BR47+(1-EXP(-LN(2)/2))/(LN(2)/2)*BL48*BO48*VLOOKUP('Données projet'!$B$11,Paramètres!$A$1:$I$89,3,0)*0.475*44/12</f>
        <v>0.12119889265370824</v>
      </c>
      <c r="BS48" s="22">
        <f t="shared" si="9"/>
        <v>12.077435354346786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16.2</v>
      </c>
      <c r="BY48" s="12">
        <f>IF('Données projet'!$A$114&gt;35,BY47+BX48-CG47,IF(A48&lt;'Données projet'!$A$114,$BV$205^A48,IF(A48='Données projet'!$A$114,'Données projet'!$B$114,BY47+BX48-CG47)))</f>
        <v>298.99999999999989</v>
      </c>
      <c r="BZ48" s="13">
        <f>BY48*VLOOKUP('Données projet'!$B$12,Paramètres!$A$1:$I$89,3,0)*VLOOKUP('Données projet'!$B$12,Paramètres!$A$1:$I$89,5,0)</f>
        <v>178.80199999999996</v>
      </c>
      <c r="CA48" s="13">
        <f t="shared" si="39"/>
        <v>45.055549739375898</v>
      </c>
      <c r="CB48" s="20">
        <f t="shared" si="10"/>
        <v>389.88523246274627</v>
      </c>
      <c r="CC48" s="59">
        <f t="shared" si="11"/>
        <v>683.21856579607959</v>
      </c>
      <c r="CD48" s="59">
        <f ca="1">AVERAGE(OFFSET($CC$3,0,0,'Données projet'!$E$12+1,1))-AVERAGE(OFFSET($H$3,0,0,'Données projet'!$E$12+1,1))</f>
        <v>270.30888762640245</v>
      </c>
      <c r="CE48" s="59">
        <f t="shared" si="40"/>
        <v>202.23783851977691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1.5914040145603503</v>
      </c>
      <c r="CL48" s="21">
        <f>EXP(-LN(2)/25)*CL47+(1-EXP(-LN(2)/25))/(LN(2)/25)*Calculateur!CG48*Calculateur!CI48*VLOOKUP('Données projet'!$B$12,Paramètres!$A$1:$I$89,3,0)*0.475*44/12</f>
        <v>8.1118122239355941</v>
      </c>
      <c r="CM48" s="21">
        <f>EXP(-LN(2)/2)*CM47+(1-EXP(-LN(2)/2))/(LN(2)/2)*CG48*CJ48*VLOOKUP('Données projet'!$B$12,Paramètres!$A$1:$I$89,3,0)*0.475*44/12</f>
        <v>0.10215819479153335</v>
      </c>
      <c r="CN48" s="22">
        <f t="shared" si="12"/>
        <v>9.8053744332874775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9.1999999999999993</v>
      </c>
      <c r="CT48" s="12">
        <f>IF('Données projet'!$A$140&gt;35,CT47+CS48-DB47,IF(A48&lt;'Données projet'!$A$140,$CQ$205^A48,IF(A48='Données projet'!$A$140,'Données projet'!$B$140,CT47+CS48-DB47)))</f>
        <v>238.99999999999989</v>
      </c>
      <c r="CU48" s="17">
        <f>CT48*VLOOKUP('Données projet'!$B$13,Paramètres!$A$1:$I$89,3,0)*VLOOKUP('Données projet'!$B$13,Paramètres!$A$1:$I$89,5,0)</f>
        <v>160.32119999999992</v>
      </c>
      <c r="CV48" s="13">
        <f t="shared" si="41"/>
        <v>40.914954505069986</v>
      </c>
      <c r="CW48" s="20">
        <f t="shared" si="13"/>
        <v>350.48630242966345</v>
      </c>
      <c r="CX48" s="59">
        <f t="shared" si="14"/>
        <v>643.81963576299677</v>
      </c>
      <c r="CY48" s="59">
        <f ca="1">AVERAGE(OFFSET($CX$3,0,0,'Données projet'!$E$13+1,1))-AVERAGE(OFFSET($H$3,0,0,'Données projet'!$E$13+1,1))</f>
        <v>207.93042467236967</v>
      </c>
      <c r="CZ48" s="59">
        <f t="shared" si="42"/>
        <v>250.70954318710835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2.0440956718422925</v>
      </c>
      <c r="DG48" s="21">
        <f>EXP(-LN(2)/25)*DG47+(1-EXP(-LN(2)/25))/(LN(2)/25)*Calculateur!DB48*Calculateur!DD48*VLOOKUP('Données projet'!$B$13,Paramètres!$A$1:$I$89,3,0)*0.475*44/12</f>
        <v>11.414298619758114</v>
      </c>
      <c r="DH48" s="21">
        <f>EXP(-LN(2)/2)*DH47+(1-EXP(-LN(2)/2))/(LN(2)/2)*DB48*DE48*VLOOKUP('Données projet'!$B$13,Paramètres!$A$1:$I$89,3,0)*0.475*44/12</f>
        <v>0.11196707379471749</v>
      </c>
      <c r="DI48" s="22">
        <f t="shared" si="15"/>
        <v>13.570361365395124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7.7</v>
      </c>
      <c r="DO48" s="12">
        <f>IF('Données projet'!$A$166&gt;35,DO47+DN48-DW47,IF(A48&lt;'Données projet'!$A$166,$DL$205^A48,IF(A48='Données projet'!$A$166,'Données projet'!$B$166,DO47+DN48-DW47)))</f>
        <v>202.4999999999998</v>
      </c>
      <c r="DP48" s="17">
        <f>DO48*VLOOKUP('Données projet'!$B$14,Paramètres!$A$1:$I$89,3,0)*VLOOKUP('Données projet'!$B$14,Paramètres!$A$1:$I$89,5,0)</f>
        <v>135.83699999999988</v>
      </c>
      <c r="DQ48" s="13">
        <f t="shared" si="43"/>
        <v>35.341651632833532</v>
      </c>
      <c r="DR48" s="20">
        <f t="shared" si="16"/>
        <v>298.13615159385154</v>
      </c>
      <c r="DS48" s="59">
        <f t="shared" si="17"/>
        <v>591.46948492718479</v>
      </c>
      <c r="DT48" s="59">
        <f ca="1">AVERAGE(OFFSET($DS$3,0,0,'Données projet'!$E$14+1,1))-AVERAGE(OFFSET($H$3,0,0,'Données projet'!$E$14+1,1))</f>
        <v>156.63226020379989</v>
      </c>
      <c r="DU48" s="59">
        <f t="shared" si="44"/>
        <v>196.0481096619543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5.7200407676495919</v>
      </c>
      <c r="EC48" s="21">
        <f>EXP(-LN(2)/2)*EC47+(1-EXP(-LN(2)/2))/(LN(2)/2)*DW48*DZ48*VLOOKUP('Données projet'!$B$14,Paramètres!$A$1:$I$89,3,0)*0.475*44/12</f>
        <v>5.0124318227203389E-2</v>
      </c>
      <c r="ED48" s="22">
        <f t="shared" si="18"/>
        <v>5.770165085876795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6.8260073260073284</v>
      </c>
      <c r="EJ48" s="12">
        <f>IF('Données projet'!$A$192&gt;35,EJ47+EI48-ER47,IF(A48&lt;'Données projet'!$A$192,$EG$205^A48,IF(A48='Données projet'!$A$192,'Données projet'!$B$192,EJ47+EI48-ER47)))</f>
        <v>104.83241758241752</v>
      </c>
      <c r="EK48" s="17">
        <f>EJ48*VLOOKUP('Données projet'!$B$15,Paramètres!$A$1:$I$89,3,0)*VLOOKUP('Données projet'!$B$15,Paramètres!$A$1:$I$89,5,0)</f>
        <v>106.30007142857137</v>
      </c>
      <c r="EL48" s="13">
        <f t="shared" si="45"/>
        <v>28.457524292851215</v>
      </c>
      <c r="EM48" s="20">
        <f t="shared" si="19"/>
        <v>234.70281254814427</v>
      </c>
      <c r="EN48" s="59">
        <f t="shared" si="20"/>
        <v>528.03614588147752</v>
      </c>
      <c r="EO48" s="59">
        <f ca="1">AVERAGE(OFFSET($EN$3,0,0,'Données projet'!$E$15+1,1))-AVERAGE(OFFSET($H$3,0,0,'Données projet'!$E$15+1,1))</f>
        <v>190.21499310415584</v>
      </c>
      <c r="EP48" s="59">
        <f t="shared" si="46"/>
        <v>136.15730566500173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1.5708333333333335</v>
      </c>
      <c r="FE48" s="12">
        <f>IF('Données projet'!$A$218&gt;35,FE47+FD48-FM47,IF(A48&lt;'Données projet'!$A$218,$FB$205^A48,IF(A48='Données projet'!$A$218,'Données projet'!$B$218,FE47+FD48-FM47)))</f>
        <v>53.645833333333357</v>
      </c>
      <c r="FF48" s="17">
        <f>FE48*VLOOKUP('Données projet'!$B$16,Paramètres!$A$1:$I$89,3,0)*VLOOKUP('Données projet'!$B$16,Paramètres!$A$1:$I$89,5,0)</f>
        <v>61.800000000000026</v>
      </c>
      <c r="FG48" s="13">
        <f t="shared" si="47"/>
        <v>17.622579621704421</v>
      </c>
      <c r="FH48" s="20">
        <f t="shared" si="22"/>
        <v>138.32765950780188</v>
      </c>
      <c r="FI48" s="59">
        <f t="shared" si="23"/>
        <v>431.66099284113523</v>
      </c>
      <c r="FJ48" s="59">
        <f ca="1">AVERAGE(OFFSET($FI$3,0,0,'Données projet'!$E$16+1,1))-AVERAGE(OFFSET($H$3,0,0,'Données projet'!$E$16+1,1))</f>
        <v>14.847345852478327</v>
      </c>
      <c r="FK48" s="59">
        <f t="shared" si="48"/>
        <v>46.764428272166299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1.1709138831686663</v>
      </c>
      <c r="FS48" s="21">
        <f>EXP(-LN(2)/2)*FS47+(1-EXP(-LN(2)/2))/(LN(2)/2)*FM48*FP48*VLOOKUP('Données projet'!$B$16,Paramètres!$A$1:$I$89,3,0)*0.475*44/12</f>
        <v>1.0899363228224077E-2</v>
      </c>
      <c r="FT48" s="22">
        <f t="shared" si="24"/>
        <v>1.1818132463968904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9.3452380952380913</v>
      </c>
      <c r="N49" s="13">
        <f>IF('Données projet'!$A$36&gt;35,N48+M49-V48,IF(A49&lt;'Données projet'!$A$36,$K$205^A49,IF(A49='Données projet'!$A$36,'Données projet'!$B$36,N48+M49-V48)))</f>
        <v>165.66208791208794</v>
      </c>
      <c r="O49" s="13">
        <f>N49*VLOOKUP('Données projet'!$B$9,Paramètres!$A$1:$I$89,3,0)*VLOOKUP('Données projet'!$B$9,Paramètres!$A$1:$I$89,5,0)</f>
        <v>149.89105714285716</v>
      </c>
      <c r="P49" s="13">
        <f t="shared" si="33"/>
        <v>38.553826918856544</v>
      </c>
      <c r="Q49" s="20">
        <f t="shared" si="53"/>
        <v>328.20817307415138</v>
      </c>
      <c r="R49" s="59">
        <f t="shared" si="0"/>
        <v>621.54150640748469</v>
      </c>
      <c r="S49" s="59">
        <f ca="1">AVERAGE(OFFSET($R$3,0,0,'Données projet'!$E$9+1,1))-AVERAGE(OFFSET($H$3,0,0,'Données projet'!$E$9+1,1))</f>
        <v>221.7429870520005</v>
      </c>
      <c r="T49" s="59">
        <f t="shared" si="34"/>
        <v>182.2029938397186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9.1999999999999993</v>
      </c>
      <c r="AI49" s="13">
        <f>IF('Données projet'!$A$62&gt;35,AI48+AH49-AQ48,IF(A49&lt;'Données projet'!$A$62,$AF$205^A49,IF(A49='Données projet'!$A$62,'Données projet'!$B$62,AI48+AH49-AQ48)))</f>
        <v>248.19999999999987</v>
      </c>
      <c r="AJ49" s="13">
        <f>AI49*VLOOKUP('Données projet'!$B$10,Paramètres!$A$1:$I$89,3,0)*VLOOKUP('Données projet'!$B$10,Paramètres!$A$1:$I$89,5,0)</f>
        <v>197.46791999999991</v>
      </c>
      <c r="AK49" s="13">
        <f t="shared" si="35"/>
        <v>49.187281204902298</v>
      </c>
      <c r="AL49" s="20">
        <f t="shared" si="4"/>
        <v>429.591142098538</v>
      </c>
      <c r="AM49" s="59">
        <f t="shared" si="5"/>
        <v>722.92447543187131</v>
      </c>
      <c r="AN49" s="59">
        <f ca="1">AVERAGE(OFFSET($AM$3,0,0,'Données projet'!$E$10+1,1))-AVERAGE(OFFSET($H$3,0,0,'Données projet'!$E$10+1,1))</f>
        <v>260.20517190557814</v>
      </c>
      <c r="AO49" s="59">
        <f t="shared" si="36"/>
        <v>307.22009971147133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2.3768516820262455</v>
      </c>
      <c r="AV49" s="21">
        <f>EXP(-LN(2)/25)*AV48+(1-EXP(-LN(2)/25))/(LN(2)/25)*Calculateur!AQ49*Calculateur!AS49*VLOOKUP('Données projet'!$B$10,Paramètres!$A$1:$I$89,3,0)*0.475*44/12</f>
        <v>13.167694772353402</v>
      </c>
      <c r="AW49" s="21">
        <f>EXP(-LN(2)/2)*AW48+(1-EXP(-LN(2)/2))/(LN(2)/2)*AQ49*AT49*VLOOKUP('Données projet'!$B$10,Paramètres!$A$1:$I$89,3,0)*0.475*44/12</f>
        <v>9.3902477549833149E-2</v>
      </c>
      <c r="AX49" s="21">
        <f t="shared" si="6"/>
        <v>15.63844893192948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18.899999999999999</v>
      </c>
      <c r="BD49" s="12">
        <f>IF('Données projet'!$A$88&gt;35,BD48+BC49-BL48,IF(A49&lt;'Données projet'!$A$88,$BA$205^A49,IF(A49='Données projet'!$A$88,'Données projet'!$B$88,BD48+BC49-BL48)))</f>
        <v>359.39999999999981</v>
      </c>
      <c r="BE49" s="13">
        <f>BD49*VLOOKUP('Données projet'!$B$11,Paramètres!$A$1:$I$89,3,0)*VLOOKUP('Données projet'!$B$11,Paramètres!$A$1:$I$89,5,0)</f>
        <v>214.92119999999991</v>
      </c>
      <c r="BF49" s="13">
        <f t="shared" si="37"/>
        <v>53.009537628527006</v>
      </c>
      <c r="BG49" s="20">
        <f t="shared" si="7"/>
        <v>466.64603470301768</v>
      </c>
      <c r="BH49" s="59">
        <f t="shared" si="8"/>
        <v>759.97936803635093</v>
      </c>
      <c r="BI49" s="59">
        <f ca="1">AVERAGE(OFFSET($BH$3,0,0,'Données projet'!$E$11+1,1))-AVERAGE(OFFSET($H$3,0,0,'Données projet'!$E$11+1,1))</f>
        <v>316.58509520829671</v>
      </c>
      <c r="BJ49" s="59">
        <f t="shared" si="38"/>
        <v>240.71332110643596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1.8462337704529215</v>
      </c>
      <c r="BQ49" s="21">
        <f>EXP(-LN(2)/25)*BQ48+(1-EXP(-LN(2)/25))/(LN(2)/25)*Calculateur!BL49*Calculateur!BN49*VLOOKUP('Données projet'!$B$11,Paramètres!$A$1:$I$89,3,0)*0.475*44/12</f>
        <v>9.7976262776524852</v>
      </c>
      <c r="BR49" s="21">
        <f>EXP(-LN(2)/2)*BR48+(1-EXP(-LN(2)/2))/(LN(2)/2)*BL49*BO49*VLOOKUP('Données projet'!$B$11,Paramètres!$A$1:$I$89,3,0)*0.475*44/12</f>
        <v>8.5700558867737545E-2</v>
      </c>
      <c r="BS49" s="22">
        <f t="shared" si="9"/>
        <v>11.729560606973143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16.2</v>
      </c>
      <c r="BY49" s="12">
        <f>IF('Données projet'!$A$114&gt;35,BY48+BX49-CG48,IF(A49&lt;'Données projet'!$A$114,$BV$205^A49,IF(A49='Données projet'!$A$114,'Données projet'!$B$114,BY48+BX49-CG48)))</f>
        <v>315.19999999999987</v>
      </c>
      <c r="BZ49" s="13">
        <f>BY49*VLOOKUP('Données projet'!$B$12,Paramètres!$A$1:$I$89,3,0)*VLOOKUP('Données projet'!$B$12,Paramètres!$A$1:$I$89,5,0)</f>
        <v>188.48959999999997</v>
      </c>
      <c r="CA49" s="13">
        <f t="shared" si="39"/>
        <v>47.205869902326455</v>
      </c>
      <c r="CB49" s="20">
        <f t="shared" si="10"/>
        <v>410.50294341321847</v>
      </c>
      <c r="CC49" s="59">
        <f t="shared" si="11"/>
        <v>703.83627674655179</v>
      </c>
      <c r="CD49" s="59">
        <f ca="1">AVERAGE(OFFSET($CC$3,0,0,'Données projet'!$E$12+1,1))-AVERAGE(OFFSET($H$3,0,0,'Données projet'!$E$12+1,1))</f>
        <v>270.30888762640245</v>
      </c>
      <c r="CE49" s="59">
        <f t="shared" si="40"/>
        <v>202.23783851977691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1.5601975524954259</v>
      </c>
      <c r="CL49" s="21">
        <f>EXP(-LN(2)/25)*CL48+(1-EXP(-LN(2)/25))/(LN(2)/25)*Calculateur!CG49*Calculateur!CI49*VLOOKUP('Données projet'!$B$12,Paramètres!$A$1:$I$89,3,0)*0.475*44/12</f>
        <v>7.8899942920904103</v>
      </c>
      <c r="CM49" s="21">
        <f>EXP(-LN(2)/2)*CM48+(1-EXP(-LN(2)/2))/(LN(2)/2)*CG49*CJ49*VLOOKUP('Données projet'!$B$12,Paramètres!$A$1:$I$89,3,0)*0.475*44/12</f>
        <v>7.2236752290869469E-2</v>
      </c>
      <c r="CN49" s="22">
        <f t="shared" si="12"/>
        <v>9.522428596876706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9.1999999999999993</v>
      </c>
      <c r="CT49" s="12">
        <f>IF('Données projet'!$A$140&gt;35,CT48+CS49-DB48,IF(A49&lt;'Données projet'!$A$140,$CQ$205^A49,IF(A49='Données projet'!$A$140,'Données projet'!$B$140,CT48+CS49-DB48)))</f>
        <v>248.19999999999987</v>
      </c>
      <c r="CU49" s="17">
        <f>CT49*VLOOKUP('Données projet'!$B$13,Paramètres!$A$1:$I$89,3,0)*VLOOKUP('Données projet'!$B$13,Paramètres!$A$1:$I$89,5,0)</f>
        <v>166.49255999999991</v>
      </c>
      <c r="CV49" s="13">
        <f t="shared" si="41"/>
        <v>42.303523105684178</v>
      </c>
      <c r="CW49" s="20">
        <f t="shared" si="13"/>
        <v>363.65317807573314</v>
      </c>
      <c r="CX49" s="59">
        <f t="shared" si="14"/>
        <v>656.98651140906645</v>
      </c>
      <c r="CY49" s="59">
        <f ca="1">AVERAGE(OFFSET($CX$3,0,0,'Données projet'!$E$13+1,1))-AVERAGE(OFFSET($H$3,0,0,'Données projet'!$E$13+1,1))</f>
        <v>207.93042467236967</v>
      </c>
      <c r="CZ49" s="59">
        <f t="shared" si="42"/>
        <v>250.70954318710835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2.0040122024927163</v>
      </c>
      <c r="DG49" s="21">
        <f>EXP(-LN(2)/25)*DG48+(1-EXP(-LN(2)/25))/(LN(2)/25)*Calculateur!DB49*Calculateur!DD49*VLOOKUP('Données projet'!$B$13,Paramètres!$A$1:$I$89,3,0)*0.475*44/12</f>
        <v>11.102174023748951</v>
      </c>
      <c r="DH49" s="21">
        <f>EXP(-LN(2)/2)*DH48+(1-EXP(-LN(2)/2))/(LN(2)/2)*DB49*DE49*VLOOKUP('Données projet'!$B$13,Paramètres!$A$1:$I$89,3,0)*0.475*44/12</f>
        <v>7.9172677149859316E-2</v>
      </c>
      <c r="DI49" s="22">
        <f t="shared" si="15"/>
        <v>13.185358903391528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7.7</v>
      </c>
      <c r="DO49" s="12">
        <f>IF('Données projet'!$A$166&gt;35,DO48+DN49-DW48,IF(A49&lt;'Données projet'!$A$166,$DL$205^A49,IF(A49='Données projet'!$A$166,'Données projet'!$B$166,DO48+DN49-DW48)))</f>
        <v>210.19999999999979</v>
      </c>
      <c r="DP49" s="17">
        <f>DO49*VLOOKUP('Données projet'!$B$14,Paramètres!$A$1:$I$89,3,0)*VLOOKUP('Données projet'!$B$14,Paramètres!$A$1:$I$89,5,0)</f>
        <v>141.00215999999986</v>
      </c>
      <c r="DQ49" s="13">
        <f t="shared" si="43"/>
        <v>36.526490885878047</v>
      </c>
      <c r="DR49" s="20">
        <f t="shared" si="16"/>
        <v>309.19573362623737</v>
      </c>
      <c r="DS49" s="59">
        <f t="shared" si="17"/>
        <v>602.52906695957063</v>
      </c>
      <c r="DT49" s="59">
        <f ca="1">AVERAGE(OFFSET($DS$3,0,0,'Données projet'!$E$14+1,1))-AVERAGE(OFFSET($H$3,0,0,'Données projet'!$E$14+1,1))</f>
        <v>156.63226020379989</v>
      </c>
      <c r="DU49" s="59">
        <f t="shared" si="44"/>
        <v>196.0481096619543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5.563625952054343</v>
      </c>
      <c r="EC49" s="21">
        <f>EXP(-LN(2)/2)*EC48+(1-EXP(-LN(2)/2))/(LN(2)/2)*DW49*DZ49*VLOOKUP('Données projet'!$B$14,Paramètres!$A$1:$I$89,3,0)*0.475*44/12</f>
        <v>3.5443245320807983E-2</v>
      </c>
      <c r="ED49" s="22">
        <f t="shared" si="18"/>
        <v>5.599069197375151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6.8260073260073284</v>
      </c>
      <c r="EJ49" s="12">
        <f>IF('Données projet'!$A$192&gt;35,EJ48+EI49-ER48,IF(A49&lt;'Données projet'!$A$192,$EG$205^A49,IF(A49='Données projet'!$A$192,'Données projet'!$B$192,EJ48+EI49-ER48)))</f>
        <v>111.65842490842485</v>
      </c>
      <c r="EK49" s="17">
        <f>EJ49*VLOOKUP('Données projet'!$B$15,Paramètres!$A$1:$I$89,3,0)*VLOOKUP('Données projet'!$B$15,Paramètres!$A$1:$I$89,5,0)</f>
        <v>113.2216428571428</v>
      </c>
      <c r="EL49" s="13">
        <f t="shared" si="45"/>
        <v>30.088748821593761</v>
      </c>
      <c r="EM49" s="20">
        <f t="shared" si="19"/>
        <v>249.59893217379951</v>
      </c>
      <c r="EN49" s="59">
        <f t="shared" si="20"/>
        <v>542.9322655071328</v>
      </c>
      <c r="EO49" s="59">
        <f ca="1">AVERAGE(OFFSET($EN$3,0,0,'Données projet'!$E$15+1,1))-AVERAGE(OFFSET($H$3,0,0,'Données projet'!$E$15+1,1))</f>
        <v>190.21499310415584</v>
      </c>
      <c r="EP49" s="59">
        <f t="shared" si="46"/>
        <v>136.15730566500173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1.5708333333333335</v>
      </c>
      <c r="FE49" s="12">
        <f>IF('Données projet'!$A$218&gt;35,FE48+FD49-FM48,IF(A49&lt;'Données projet'!$A$218,$FB$205^A49,IF(A49='Données projet'!$A$218,'Données projet'!$B$218,FE48+FD49-FM48)))</f>
        <v>55.21666666666669</v>
      </c>
      <c r="FF49" s="17">
        <f>FE49*VLOOKUP('Données projet'!$B$16,Paramètres!$A$1:$I$89,3,0)*VLOOKUP('Données projet'!$B$16,Paramètres!$A$1:$I$89,5,0)</f>
        <v>63.609600000000015</v>
      </c>
      <c r="FG49" s="13">
        <f t="shared" si="47"/>
        <v>18.077763117230344</v>
      </c>
      <c r="FH49" s="20">
        <f t="shared" si="22"/>
        <v>142.27215742917619</v>
      </c>
      <c r="FI49" s="59">
        <f t="shared" si="23"/>
        <v>435.60549076250948</v>
      </c>
      <c r="FJ49" s="59">
        <f ca="1">AVERAGE(OFFSET($FI$3,0,0,'Données projet'!$E$16+1,1))-AVERAGE(OFFSET($H$3,0,0,'Données projet'!$E$16+1,1))</f>
        <v>14.847345852478327</v>
      </c>
      <c r="FK49" s="59">
        <f t="shared" si="48"/>
        <v>46.764428272166299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1.1388951814577342</v>
      </c>
      <c r="FS49" s="21">
        <f>EXP(-LN(2)/2)*FS48+(1-EXP(-LN(2)/2))/(LN(2)/2)*FM49*FP49*VLOOKUP('Données projet'!$B$16,Paramètres!$A$1:$I$89,3,0)*0.475*44/12</f>
        <v>7.7070136492925455E-3</v>
      </c>
      <c r="FT49" s="22">
        <f t="shared" si="24"/>
        <v>1.1466021951070267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9.3452380952380913</v>
      </c>
      <c r="N50" s="13">
        <f>IF('Données projet'!$A$36&gt;35,N49+M50-V49,IF(A50&lt;'Données projet'!$A$36,$K$205^A50,IF(A50='Données projet'!$A$36,'Données projet'!$B$36,N49+M50-V49)))</f>
        <v>175.00732600732604</v>
      </c>
      <c r="O50" s="13">
        <f>N50*VLOOKUP('Données projet'!$B$9,Paramètres!$A$1:$I$89,3,0)*VLOOKUP('Données projet'!$B$9,Paramètres!$A$1:$I$89,5,0)</f>
        <v>158.3466285714286</v>
      </c>
      <c r="P50" s="13">
        <f t="shared" si="33"/>
        <v>40.469367717876509</v>
      </c>
      <c r="Q50" s="20">
        <f t="shared" si="53"/>
        <v>346.27119353720633</v>
      </c>
      <c r="R50" s="59">
        <f t="shared" si="0"/>
        <v>639.60452687053964</v>
      </c>
      <c r="S50" s="59">
        <f ca="1">AVERAGE(OFFSET($R$3,0,0,'Données projet'!$E$9+1,1))-AVERAGE(OFFSET($H$3,0,0,'Données projet'!$E$9+1,1))</f>
        <v>221.7429870520005</v>
      </c>
      <c r="T50" s="59">
        <f t="shared" si="34"/>
        <v>182.2029938397186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9.1999999999999993</v>
      </c>
      <c r="AI50" s="13">
        <f>IF('Données projet'!$A$62&gt;35,AI49+AH50-AQ49,IF(A50&lt;'Données projet'!$A$62,$AF$205^A50,IF(A50='Données projet'!$A$62,'Données projet'!$B$62,AI49+AH50-AQ49)))</f>
        <v>257.39999999999986</v>
      </c>
      <c r="AJ50" s="13">
        <f>AI50*VLOOKUP('Données projet'!$B$10,Paramètres!$A$1:$I$89,3,0)*VLOOKUP('Données projet'!$B$10,Paramètres!$A$1:$I$89,5,0)</f>
        <v>204.78743999999992</v>
      </c>
      <c r="AK50" s="13">
        <f t="shared" si="35"/>
        <v>50.794849254094281</v>
      </c>
      <c r="AL50" s="20">
        <f t="shared" si="4"/>
        <v>445.1391537842141</v>
      </c>
      <c r="AM50" s="59">
        <f t="shared" si="5"/>
        <v>738.47248711754742</v>
      </c>
      <c r="AN50" s="59">
        <f ca="1">AVERAGE(OFFSET($AM$3,0,0,'Données projet'!$E$10+1,1))-AVERAGE(OFFSET($H$3,0,0,'Données projet'!$E$10+1,1))</f>
        <v>260.20517190557814</v>
      </c>
      <c r="AO50" s="59">
        <f t="shared" si="36"/>
        <v>307.22009971147133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2.3302430702780872</v>
      </c>
      <c r="AV50" s="21">
        <f>EXP(-LN(2)/25)*AV49+(1-EXP(-LN(2)/25))/(LN(2)/25)*Calculateur!AQ50*Calculateur!AS50*VLOOKUP('Données projet'!$B$10,Paramètres!$A$1:$I$89,3,0)*0.475*44/12</f>
        <v>12.807623466344426</v>
      </c>
      <c r="AW50" s="21">
        <f>EXP(-LN(2)/2)*AW49+(1-EXP(-LN(2)/2))/(LN(2)/2)*AQ50*AT50*VLOOKUP('Données projet'!$B$10,Paramètres!$A$1:$I$89,3,0)*0.475*44/12</f>
        <v>6.639907864570456E-2</v>
      </c>
      <c r="AX50" s="21">
        <f t="shared" si="6"/>
        <v>15.204265615268216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18.899999999999999</v>
      </c>
      <c r="BD50" s="12">
        <f>IF('Données projet'!$A$88&gt;35,BD49+BC50-BL49,IF(A50&lt;'Données projet'!$A$88,$BA$205^A50,IF(A50='Données projet'!$A$88,'Données projet'!$B$88,BD49+BC50-BL49)))</f>
        <v>378.29999999999978</v>
      </c>
      <c r="BE50" s="13">
        <f>BD50*VLOOKUP('Données projet'!$B$11,Paramètres!$A$1:$I$89,3,0)*VLOOKUP('Données projet'!$B$11,Paramètres!$A$1:$I$89,5,0)</f>
        <v>226.22339999999988</v>
      </c>
      <c r="BF50" s="13">
        <f t="shared" si="37"/>
        <v>55.465307135389509</v>
      </c>
      <c r="BG50" s="20">
        <f t="shared" si="7"/>
        <v>490.60783159413654</v>
      </c>
      <c r="BH50" s="59">
        <f t="shared" si="8"/>
        <v>783.9411649274698</v>
      </c>
      <c r="BI50" s="59">
        <f ca="1">AVERAGE(OFFSET($BH$3,0,0,'Données projet'!$E$11+1,1))-AVERAGE(OFFSET($H$3,0,0,'Données projet'!$E$11+1,1))</f>
        <v>316.58509520829671</v>
      </c>
      <c r="BJ50" s="59">
        <f t="shared" si="38"/>
        <v>240.71332110643596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1.8100302523057474</v>
      </c>
      <c r="BQ50" s="21">
        <f>EXP(-LN(2)/25)*BQ49+(1-EXP(-LN(2)/25))/(LN(2)/25)*Calculateur!BL50*Calculateur!BN50*VLOOKUP('Données projet'!$B$11,Paramètres!$A$1:$I$89,3,0)*0.475*44/12</f>
        <v>9.5297096718553043</v>
      </c>
      <c r="BR50" s="21">
        <f>EXP(-LN(2)/2)*BR49+(1-EXP(-LN(2)/2))/(LN(2)/2)*BL50*BO50*VLOOKUP('Données projet'!$B$11,Paramètres!$A$1:$I$89,3,0)*0.475*44/12</f>
        <v>6.0599446326854128E-2</v>
      </c>
      <c r="BS50" s="22">
        <f t="shared" si="9"/>
        <v>11.400339370487906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16.2</v>
      </c>
      <c r="BY50" s="12">
        <f>IF('Données projet'!$A$114&gt;35,BY49+BX50-CG49,IF(A50&lt;'Données projet'!$A$114,$BV$205^A50,IF(A50='Données projet'!$A$114,'Données projet'!$B$114,BY49+BX50-CG49)))</f>
        <v>331.39999999999986</v>
      </c>
      <c r="BZ50" s="13">
        <f>BY50*VLOOKUP('Données projet'!$B$12,Paramètres!$A$1:$I$89,3,0)*VLOOKUP('Données projet'!$B$12,Paramètres!$A$1:$I$89,5,0)</f>
        <v>198.17719999999991</v>
      </c>
      <c r="CA50" s="13">
        <f t="shared" si="39"/>
        <v>49.343358241667282</v>
      </c>
      <c r="CB50" s="20">
        <f t="shared" si="10"/>
        <v>431.09830560423705</v>
      </c>
      <c r="CC50" s="59">
        <f t="shared" si="11"/>
        <v>724.43163893757037</v>
      </c>
      <c r="CD50" s="59">
        <f ca="1">AVERAGE(OFFSET($CC$3,0,0,'Données projet'!$E$12+1,1))-AVERAGE(OFFSET($H$3,0,0,'Données projet'!$E$12+1,1))</f>
        <v>270.30888762640245</v>
      </c>
      <c r="CE50" s="59">
        <f t="shared" si="40"/>
        <v>202.23783851977691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1.5296030301175323</v>
      </c>
      <c r="CL50" s="21">
        <f>EXP(-LN(2)/25)*CL49+(1-EXP(-LN(2)/25))/(LN(2)/25)*Calculateur!CG50*Calculateur!CI50*VLOOKUP('Données projet'!$B$12,Paramètres!$A$1:$I$89,3,0)*0.475*44/12</f>
        <v>7.6742419832564313</v>
      </c>
      <c r="CM50" s="21">
        <f>EXP(-LN(2)/2)*CM49+(1-EXP(-LN(2)/2))/(LN(2)/2)*CG50*CJ50*VLOOKUP('Données projet'!$B$12,Paramètres!$A$1:$I$89,3,0)*0.475*44/12</f>
        <v>5.1079097395766673E-2</v>
      </c>
      <c r="CN50" s="22">
        <f t="shared" si="12"/>
        <v>9.254924110769732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9.1999999999999993</v>
      </c>
      <c r="CT50" s="12">
        <f>IF('Données projet'!$A$140&gt;35,CT49+CS50-DB49,IF(A50&lt;'Données projet'!$A$140,$CQ$205^A50,IF(A50='Données projet'!$A$140,'Données projet'!$B$140,CT49+CS50-DB49)))</f>
        <v>257.39999999999986</v>
      </c>
      <c r="CU50" s="17">
        <f>CT50*VLOOKUP('Données projet'!$B$13,Paramètres!$A$1:$I$89,3,0)*VLOOKUP('Données projet'!$B$13,Paramètres!$A$1:$I$89,5,0)</f>
        <v>172.66391999999993</v>
      </c>
      <c r="CV50" s="13">
        <f t="shared" si="41"/>
        <v>43.686112068665423</v>
      </c>
      <c r="CW50" s="20">
        <f t="shared" si="13"/>
        <v>376.80963918625883</v>
      </c>
      <c r="CX50" s="59">
        <f t="shared" si="14"/>
        <v>670.14297251959215</v>
      </c>
      <c r="CY50" s="59">
        <f ca="1">AVERAGE(OFFSET($CX$3,0,0,'Données projet'!$E$13+1,1))-AVERAGE(OFFSET($H$3,0,0,'Données projet'!$E$13+1,1))</f>
        <v>207.93042467236967</v>
      </c>
      <c r="CZ50" s="59">
        <f t="shared" si="42"/>
        <v>250.70954318710835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1.9647147455285829</v>
      </c>
      <c r="DG50" s="21">
        <f>EXP(-LN(2)/25)*DG49+(1-EXP(-LN(2)/25))/(LN(2)/25)*Calculateur!DB50*Calculateur!DD50*VLOOKUP('Données projet'!$B$13,Paramètres!$A$1:$I$89,3,0)*0.475*44/12</f>
        <v>10.798584491231578</v>
      </c>
      <c r="DH50" s="21">
        <f>EXP(-LN(2)/2)*DH49+(1-EXP(-LN(2)/2))/(LN(2)/2)*DB50*DE50*VLOOKUP('Données projet'!$B$13,Paramètres!$A$1:$I$89,3,0)*0.475*44/12</f>
        <v>5.5983536897358743E-2</v>
      </c>
      <c r="DI50" s="22">
        <f t="shared" si="15"/>
        <v>12.81928277365752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7.7</v>
      </c>
      <c r="DO50" s="12">
        <f>IF('Données projet'!$A$166&gt;35,DO49+DN50-DW49,IF(A50&lt;'Données projet'!$A$166,$DL$205^A50,IF(A50='Données projet'!$A$166,'Données projet'!$B$166,DO49+DN50-DW49)))</f>
        <v>217.89999999999978</v>
      </c>
      <c r="DP50" s="17">
        <f>DO50*VLOOKUP('Données projet'!$B$14,Paramètres!$A$1:$I$89,3,0)*VLOOKUP('Données projet'!$B$14,Paramètres!$A$1:$I$89,5,0)</f>
        <v>146.16731999999985</v>
      </c>
      <c r="DQ50" s="13">
        <f t="shared" si="43"/>
        <v>37.706287620862582</v>
      </c>
      <c r="DR50" s="20">
        <f t="shared" si="16"/>
        <v>320.24653327300206</v>
      </c>
      <c r="DS50" s="59">
        <f t="shared" si="17"/>
        <v>613.57986660633537</v>
      </c>
      <c r="DT50" s="59">
        <f ca="1">AVERAGE(OFFSET($DS$3,0,0,'Données projet'!$E$14+1,1))-AVERAGE(OFFSET($H$3,0,0,'Données projet'!$E$14+1,1))</f>
        <v>156.63226020379989</v>
      </c>
      <c r="DU50" s="59">
        <f t="shared" si="44"/>
        <v>196.0481096619543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5.4114883078170442</v>
      </c>
      <c r="EC50" s="21">
        <f>EXP(-LN(2)/2)*EC49+(1-EXP(-LN(2)/2))/(LN(2)/2)*DW50*DZ50*VLOOKUP('Données projet'!$B$14,Paramètres!$A$1:$I$89,3,0)*0.475*44/12</f>
        <v>2.5062159113601695E-2</v>
      </c>
      <c r="ED50" s="22">
        <f t="shared" si="18"/>
        <v>5.4365504669306457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6.8260073260073284</v>
      </c>
      <c r="EJ50" s="12">
        <f>IF('Données projet'!$A$192&gt;35,EJ49+EI50-ER49,IF(A50&lt;'Données projet'!$A$192,$EG$205^A50,IF(A50='Données projet'!$A$192,'Données projet'!$B$192,EJ49+EI50-ER49)))</f>
        <v>118.48443223443218</v>
      </c>
      <c r="EK50" s="17">
        <f>EJ50*VLOOKUP('Données projet'!$B$15,Paramètres!$A$1:$I$89,3,0)*VLOOKUP('Données projet'!$B$15,Paramètres!$A$1:$I$89,5,0)</f>
        <v>120.14321428571424</v>
      </c>
      <c r="EL50" s="13">
        <f t="shared" si="45"/>
        <v>31.708399355356544</v>
      </c>
      <c r="EM50" s="20">
        <f t="shared" si="19"/>
        <v>264.47489375819822</v>
      </c>
      <c r="EN50" s="59">
        <f t="shared" si="20"/>
        <v>557.80822709153153</v>
      </c>
      <c r="EO50" s="59">
        <f ca="1">AVERAGE(OFFSET($EN$3,0,0,'Données projet'!$E$15+1,1))-AVERAGE(OFFSET($H$3,0,0,'Données projet'!$E$15+1,1))</f>
        <v>190.21499310415584</v>
      </c>
      <c r="EP50" s="59">
        <f t="shared" si="46"/>
        <v>136.15730566500173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1.5708333333333335</v>
      </c>
      <c r="FE50" s="12">
        <f>IF('Données projet'!$A$218&gt;35,FE49+FD50-FM49,IF(A50&lt;'Données projet'!$A$218,$FB$205^A50,IF(A50='Données projet'!$A$218,'Données projet'!$B$218,FE49+FD50-FM49)))</f>
        <v>56.787500000000023</v>
      </c>
      <c r="FF50" s="17">
        <f>FE50*VLOOKUP('Données projet'!$B$16,Paramètres!$A$1:$I$89,3,0)*VLOOKUP('Données projet'!$B$16,Paramètres!$A$1:$I$89,5,0)</f>
        <v>65.419200000000018</v>
      </c>
      <c r="FG50" s="13">
        <f t="shared" si="47"/>
        <v>18.531441592141235</v>
      </c>
      <c r="FH50" s="20">
        <f t="shared" si="22"/>
        <v>146.21403410631265</v>
      </c>
      <c r="FI50" s="59">
        <f t="shared" si="23"/>
        <v>439.547367439646</v>
      </c>
      <c r="FJ50" s="59">
        <f ca="1">AVERAGE(OFFSET($FI$3,0,0,'Données projet'!$E$16+1,1))-AVERAGE(OFFSET($H$3,0,0,'Données projet'!$E$16+1,1))</f>
        <v>14.847345852478327</v>
      </c>
      <c r="FK50" s="59">
        <f t="shared" si="48"/>
        <v>46.764428272166299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1.1077520328288779</v>
      </c>
      <c r="FS50" s="21">
        <f>EXP(-LN(2)/2)*FS49+(1-EXP(-LN(2)/2))/(LN(2)/2)*FM50*FP50*VLOOKUP('Données projet'!$B$16,Paramètres!$A$1:$I$89,3,0)*0.475*44/12</f>
        <v>5.4496816141120395E-3</v>
      </c>
      <c r="FT50" s="22">
        <f t="shared" si="24"/>
        <v>1.11320171444299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184.35256410256409</v>
      </c>
      <c r="L51" s="12">
        <f>VLOOKUP(A51,'Données projet'!$A$35:$I$55,9,0)</f>
        <v>9.3452380952380913</v>
      </c>
      <c r="M51" s="12">
        <f t="array" ref="M51">INDEX(L:L,MIN(IF(ISNUMBER(L51:L247),ROW(L51:L247),"")))</f>
        <v>9.3452380952380913</v>
      </c>
      <c r="N51" s="13">
        <f>IF('Données projet'!$A$36&gt;35,N50+M51-V50,IF(A51&lt;'Données projet'!$A$36,$K$205^A51,IF(A51='Données projet'!$A$36,'Données projet'!$B$36,N50+M51-V50)))</f>
        <v>184.35256410256414</v>
      </c>
      <c r="O51" s="13">
        <f>N51*VLOOKUP('Données projet'!$B$9,Paramètres!$A$1:$I$89,3,0)*VLOOKUP('Données projet'!$B$9,Paramètres!$A$1:$I$89,5,0)</f>
        <v>166.80220000000003</v>
      </c>
      <c r="P51" s="13">
        <f t="shared" si="33"/>
        <v>42.373033138688463</v>
      </c>
      <c r="Q51" s="20">
        <f t="shared" si="53"/>
        <v>364.31353104988244</v>
      </c>
      <c r="R51" s="59">
        <f t="shared" si="0"/>
        <v>657.64686438321576</v>
      </c>
      <c r="S51" s="59">
        <f ca="1">AVERAGE(OFFSET($R$3,0,0,'Données projet'!$E$9+1,1))-AVERAGE(OFFSET($H$3,0,0,'Données projet'!$E$9+1,1))</f>
        <v>221.7429870520005</v>
      </c>
      <c r="T51" s="59">
        <f t="shared" si="34"/>
        <v>182.2029938397186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48.025641025641022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9.1999999999999993</v>
      </c>
      <c r="AI51" s="13">
        <f>IF('Données projet'!$A$62&gt;35,AI50+AH51-AQ50,IF(A51&lt;'Données projet'!$A$62,$AF$205^A51,IF(A51='Données projet'!$A$62,'Données projet'!$B$62,AI50+AH51-AQ50)))</f>
        <v>266.59999999999985</v>
      </c>
      <c r="AJ51" s="13">
        <f>AI51*VLOOKUP('Données projet'!$B$10,Paramètres!$A$1:$I$89,3,0)*VLOOKUP('Données projet'!$B$10,Paramètres!$A$1:$I$89,5,0)</f>
        <v>212.10695999999987</v>
      </c>
      <c r="AK51" s="13">
        <f t="shared" si="35"/>
        <v>52.395741612408194</v>
      </c>
      <c r="AL51" s="20">
        <f t="shared" si="4"/>
        <v>460.67553864161073</v>
      </c>
      <c r="AM51" s="59">
        <f t="shared" si="5"/>
        <v>754.00887197494399</v>
      </c>
      <c r="AN51" s="59">
        <f ca="1">AVERAGE(OFFSET($AM$3,0,0,'Données projet'!$E$10+1,1))-AVERAGE(OFFSET($H$3,0,0,'Données projet'!$E$10+1,1))</f>
        <v>260.20517190557814</v>
      </c>
      <c r="AO51" s="59">
        <f t="shared" si="36"/>
        <v>307.22009971147133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2.2845484249778645</v>
      </c>
      <c r="AV51" s="21">
        <f>EXP(-LN(2)/25)*AV50+(1-EXP(-LN(2)/25))/(LN(2)/25)*Calculateur!AQ51*Calculateur!AS51*VLOOKUP('Données projet'!$B$10,Paramètres!$A$1:$I$89,3,0)*0.475*44/12</f>
        <v>12.457398329133591</v>
      </c>
      <c r="AW51" s="21">
        <f>EXP(-LN(2)/2)*AW50+(1-EXP(-LN(2)/2))/(LN(2)/2)*AQ51*AT51*VLOOKUP('Données projet'!$B$10,Paramètres!$A$1:$I$89,3,0)*0.475*44/12</f>
        <v>4.6951238774916575E-2</v>
      </c>
      <c r="AX51" s="21">
        <f t="shared" si="6"/>
        <v>14.788897992886373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18.899999999999999</v>
      </c>
      <c r="BD51" s="12">
        <f>IF('Données projet'!$A$88&gt;35,BD50+BC51-BL50,IF(A51&lt;'Données projet'!$A$88,$BA$205^A51,IF(A51='Données projet'!$A$88,'Données projet'!$B$88,BD50+BC51-BL50)))</f>
        <v>397.19999999999976</v>
      </c>
      <c r="BE51" s="13">
        <f>BD51*VLOOKUP('Données projet'!$B$11,Paramètres!$A$1:$I$89,3,0)*VLOOKUP('Données projet'!$B$11,Paramètres!$A$1:$I$89,5,0)</f>
        <v>237.52559999999988</v>
      </c>
      <c r="BF51" s="13">
        <f t="shared" si="37"/>
        <v>57.906830586193067</v>
      </c>
      <c r="BG51" s="20">
        <f t="shared" si="7"/>
        <v>514.54481660428598</v>
      </c>
      <c r="BH51" s="59">
        <f t="shared" si="8"/>
        <v>807.87814993761936</v>
      </c>
      <c r="BI51" s="59">
        <f ca="1">AVERAGE(OFFSET($BH$3,0,0,'Données projet'!$E$11+1,1))-AVERAGE(OFFSET($H$3,0,0,'Données projet'!$E$11+1,1))</f>
        <v>316.58509520829671</v>
      </c>
      <c r="BJ51" s="59">
        <f t="shared" si="38"/>
        <v>240.71332110643596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1.7745366630674737</v>
      </c>
      <c r="BQ51" s="21">
        <f>EXP(-LN(2)/25)*BQ50+(1-EXP(-LN(2)/25))/(LN(2)/25)*Calculateur!BL51*Calculateur!BN51*VLOOKUP('Données projet'!$B$11,Paramètres!$A$1:$I$89,3,0)*0.475*44/12</f>
        <v>9.2691192597327703</v>
      </c>
      <c r="BR51" s="21">
        <f>EXP(-LN(2)/2)*BR50+(1-EXP(-LN(2)/2))/(LN(2)/2)*BL51*BO51*VLOOKUP('Données projet'!$B$11,Paramètres!$A$1:$I$89,3,0)*0.475*44/12</f>
        <v>4.2850279433868779E-2</v>
      </c>
      <c r="BS51" s="22">
        <f t="shared" si="9"/>
        <v>11.086506202234114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16.2</v>
      </c>
      <c r="BY51" s="12">
        <f>IF('Données projet'!$A$114&gt;35,BY50+BX51-CG50,IF(A51&lt;'Données projet'!$A$114,$BV$205^A51,IF(A51='Données projet'!$A$114,'Données projet'!$B$114,BY50+BX51-CG50)))</f>
        <v>347.59999999999985</v>
      </c>
      <c r="BZ51" s="13">
        <f>BY51*VLOOKUP('Données projet'!$B$12,Paramètres!$A$1:$I$89,3,0)*VLOOKUP('Données projet'!$B$12,Paramètres!$A$1:$I$89,5,0)</f>
        <v>207.86479999999992</v>
      </c>
      <c r="CA51" s="13">
        <f t="shared" si="39"/>
        <v>51.468713616997725</v>
      </c>
      <c r="CB51" s="20">
        <f t="shared" si="10"/>
        <v>451.67253621627088</v>
      </c>
      <c r="CC51" s="59">
        <f t="shared" si="11"/>
        <v>745.0058695496042</v>
      </c>
      <c r="CD51" s="59">
        <f ca="1">AVERAGE(OFFSET($CC$3,0,0,'Données projet'!$E$12+1,1))-AVERAGE(OFFSET($H$3,0,0,'Données projet'!$E$12+1,1))</f>
        <v>270.30888762640245</v>
      </c>
      <c r="CE51" s="59">
        <f t="shared" si="40"/>
        <v>202.23783851977691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1.4996084476626532</v>
      </c>
      <c r="CL51" s="21">
        <f>EXP(-LN(2)/25)*CL50+(1-EXP(-LN(2)/25))/(LN(2)/25)*Calculateur!CG51*Calculateur!CI51*VLOOKUP('Données projet'!$B$12,Paramètres!$A$1:$I$89,3,0)*0.475*44/12</f>
        <v>7.4643894326534381</v>
      </c>
      <c r="CM51" s="21">
        <f>EXP(-LN(2)/2)*CM50+(1-EXP(-LN(2)/2))/(LN(2)/2)*CG51*CJ51*VLOOKUP('Données projet'!$B$12,Paramètres!$A$1:$I$89,3,0)*0.475*44/12</f>
        <v>3.6118376145434734E-2</v>
      </c>
      <c r="CN51" s="22">
        <f t="shared" si="12"/>
        <v>9.000116256461526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9.1999999999999993</v>
      </c>
      <c r="CT51" s="12">
        <f>IF('Données projet'!$A$140&gt;35,CT50+CS51-DB50,IF(A51&lt;'Données projet'!$A$140,$CQ$205^A51,IF(A51='Données projet'!$A$140,'Données projet'!$B$140,CT50+CS51-DB50)))</f>
        <v>266.59999999999985</v>
      </c>
      <c r="CU51" s="17">
        <f>CT51*VLOOKUP('Données projet'!$B$13,Paramètres!$A$1:$I$89,3,0)*VLOOKUP('Données projet'!$B$13,Paramètres!$A$1:$I$89,5,0)</f>
        <v>178.8352799999999</v>
      </c>
      <c r="CV51" s="13">
        <f t="shared" si="41"/>
        <v>45.062959603448384</v>
      </c>
      <c r="CW51" s="20">
        <f t="shared" si="13"/>
        <v>389.95610064267242</v>
      </c>
      <c r="CX51" s="59">
        <f t="shared" si="14"/>
        <v>683.28943397600574</v>
      </c>
      <c r="CY51" s="59">
        <f ca="1">AVERAGE(OFFSET($CX$3,0,0,'Données projet'!$E$13+1,1))-AVERAGE(OFFSET($H$3,0,0,'Données projet'!$E$13+1,1))</f>
        <v>207.93042467236967</v>
      </c>
      <c r="CZ51" s="59">
        <f t="shared" si="42"/>
        <v>250.70954318710835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1.9261878877264342</v>
      </c>
      <c r="DG51" s="21">
        <f>EXP(-LN(2)/25)*DG50+(1-EXP(-LN(2)/25))/(LN(2)/25)*Calculateur!DB51*Calculateur!DD51*VLOOKUP('Données projet'!$B$13,Paramètres!$A$1:$I$89,3,0)*0.475*44/12</f>
        <v>10.503296630445973</v>
      </c>
      <c r="DH51" s="21">
        <f>EXP(-LN(2)/2)*DH50+(1-EXP(-LN(2)/2))/(LN(2)/2)*DB51*DE51*VLOOKUP('Données projet'!$B$13,Paramètres!$A$1:$I$89,3,0)*0.475*44/12</f>
        <v>3.9586338574929658E-2</v>
      </c>
      <c r="DI51" s="22">
        <f t="shared" si="15"/>
        <v>12.469070856747338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7.7</v>
      </c>
      <c r="DO51" s="12">
        <f>IF('Données projet'!$A$166&gt;35,DO50+DN51-DW50,IF(A51&lt;'Données projet'!$A$166,$DL$205^A51,IF(A51='Données projet'!$A$166,'Données projet'!$B$166,DO50+DN51-DW50)))</f>
        <v>225.59999999999977</v>
      </c>
      <c r="DP51" s="17">
        <f>DO51*VLOOKUP('Données projet'!$B$14,Paramètres!$A$1:$I$89,3,0)*VLOOKUP('Données projet'!$B$14,Paramètres!$A$1:$I$89,5,0)</f>
        <v>151.33247999999983</v>
      </c>
      <c r="DQ51" s="13">
        <f t="shared" si="43"/>
        <v>38.881240443489759</v>
      </c>
      <c r="DR51" s="20">
        <f t="shared" si="16"/>
        <v>331.28889643907769</v>
      </c>
      <c r="DS51" s="59">
        <f t="shared" si="17"/>
        <v>624.62222977241095</v>
      </c>
      <c r="DT51" s="59">
        <f ca="1">AVERAGE(OFFSET($DS$3,0,0,'Données projet'!$E$14+1,1))-AVERAGE(OFFSET($H$3,0,0,'Données projet'!$E$14+1,1))</f>
        <v>156.63226020379989</v>
      </c>
      <c r="DU51" s="59">
        <f t="shared" si="44"/>
        <v>196.0481096619543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5.2635108754619848</v>
      </c>
      <c r="EC51" s="21">
        <f>EXP(-LN(2)/2)*EC50+(1-EXP(-LN(2)/2))/(LN(2)/2)*DW51*DZ51*VLOOKUP('Données projet'!$B$14,Paramètres!$A$1:$I$89,3,0)*0.475*44/12</f>
        <v>1.7721622660403991E-2</v>
      </c>
      <c r="ED51" s="22">
        <f t="shared" si="18"/>
        <v>5.2812324981223888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6.8260073260073284</v>
      </c>
      <c r="EJ51" s="12">
        <f>IF('Données projet'!$A$192&gt;35,EJ50+EI51-ER50,IF(A51&lt;'Données projet'!$A$192,$EG$205^A51,IF(A51='Données projet'!$A$192,'Données projet'!$B$192,EJ50+EI51-ER50)))</f>
        <v>125.31043956043951</v>
      </c>
      <c r="EK51" s="17">
        <f>EJ51*VLOOKUP('Données projet'!$B$15,Paramètres!$A$1:$I$89,3,0)*VLOOKUP('Données projet'!$B$15,Paramètres!$A$1:$I$89,5,0)</f>
        <v>127.06478571428566</v>
      </c>
      <c r="EL51" s="13">
        <f t="shared" si="45"/>
        <v>33.317218652426654</v>
      </c>
      <c r="EM51" s="20">
        <f t="shared" si="19"/>
        <v>279.33199093869058</v>
      </c>
      <c r="EN51" s="59">
        <f t="shared" si="20"/>
        <v>572.66532427202389</v>
      </c>
      <c r="EO51" s="59">
        <f ca="1">AVERAGE(OFFSET($EN$3,0,0,'Données projet'!$E$15+1,1))-AVERAGE(OFFSET($H$3,0,0,'Données projet'!$E$15+1,1))</f>
        <v>190.21499310415584</v>
      </c>
      <c r="EP51" s="59">
        <f t="shared" si="46"/>
        <v>136.15730566500173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1.5708333333333335</v>
      </c>
      <c r="FE51" s="12">
        <f>IF('Données projet'!$A$218&gt;35,FE50+FD51-FM50,IF(A51&lt;'Données projet'!$A$218,$FB$205^A51,IF(A51='Données projet'!$A$218,'Données projet'!$B$218,FE50+FD51-FM50)))</f>
        <v>58.358333333333356</v>
      </c>
      <c r="FF51" s="17">
        <f>FE51*VLOOKUP('Données projet'!$B$16,Paramètres!$A$1:$I$89,3,0)*VLOOKUP('Données projet'!$B$16,Paramètres!$A$1:$I$89,5,0)</f>
        <v>67.228800000000021</v>
      </c>
      <c r="FG51" s="13">
        <f t="shared" si="47"/>
        <v>18.983661460848815</v>
      </c>
      <c r="FH51" s="20">
        <f t="shared" si="22"/>
        <v>150.15337037764502</v>
      </c>
      <c r="FI51" s="59">
        <f t="shared" si="23"/>
        <v>443.4867037109783</v>
      </c>
      <c r="FJ51" s="59">
        <f ca="1">AVERAGE(OFFSET($FI$3,0,0,'Données projet'!$E$16+1,1))-AVERAGE(OFFSET($H$3,0,0,'Données projet'!$E$16+1,1))</f>
        <v>14.847345852478327</v>
      </c>
      <c r="FK51" s="59">
        <f t="shared" si="48"/>
        <v>46.764428272166299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1.0774604952370246</v>
      </c>
      <c r="FS51" s="21">
        <f>EXP(-LN(2)/2)*FS50+(1-EXP(-LN(2)/2))/(LN(2)/2)*FM51*FP51*VLOOKUP('Données projet'!$B$16,Paramètres!$A$1:$I$89,3,0)*0.475*44/12</f>
        <v>3.8535068246462732E-3</v>
      </c>
      <c r="FT51" s="22">
        <f t="shared" si="24"/>
        <v>1.0813140020616709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8.8736263736263741</v>
      </c>
      <c r="N52" s="13">
        <f>IF('Données projet'!$A$36&gt;35,N51+M52-V51,IF(A52&lt;'Données projet'!$A$36,$K$205^A52,IF(A52='Données projet'!$A$36,'Données projet'!$B$36,N51+M52-V51)))</f>
        <v>145.20054945054949</v>
      </c>
      <c r="O52" s="13">
        <f>N52*VLOOKUP('Données projet'!$B$9,Paramètres!$A$1:$I$89,3,0)*VLOOKUP('Données projet'!$B$9,Paramètres!$A$1:$I$89,5,0)</f>
        <v>131.37745714285717</v>
      </c>
      <c r="P52" s="13">
        <f t="shared" si="33"/>
        <v>34.314453722516511</v>
      </c>
      <c r="Q52" s="20">
        <f t="shared" si="53"/>
        <v>288.58007809052577</v>
      </c>
      <c r="R52" s="59">
        <f t="shared" si="0"/>
        <v>581.91341142385909</v>
      </c>
      <c r="S52" s="59">
        <f ca="1">AVERAGE(OFFSET($R$3,0,0,'Données projet'!$E$9+1,1))-AVERAGE(OFFSET($H$3,0,0,'Données projet'!$E$9+1,1))</f>
        <v>221.7429870520005</v>
      </c>
      <c r="T52" s="59">
        <f t="shared" si="34"/>
        <v>182.2029938397186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9.1999999999999993</v>
      </c>
      <c r="AI52" s="13">
        <f>IF('Données projet'!$A$62&gt;35,AI51+AH52-AQ51,IF(A52&lt;'Données projet'!$A$62,$AF$205^A52,IF(A52='Données projet'!$A$62,'Données projet'!$B$62,AI51+AH52-AQ51)))</f>
        <v>275.79999999999984</v>
      </c>
      <c r="AJ52" s="13">
        <f>AI52*VLOOKUP('Données projet'!$B$10,Paramètres!$A$1:$I$89,3,0)*VLOOKUP('Données projet'!$B$10,Paramètres!$A$1:$I$89,5,0)</f>
        <v>219.42647999999991</v>
      </c>
      <c r="AK52" s="13">
        <f t="shared" si="35"/>
        <v>53.990215051449674</v>
      </c>
      <c r="AL52" s="20">
        <f t="shared" si="4"/>
        <v>476.20074388127472</v>
      </c>
      <c r="AM52" s="59">
        <f t="shared" si="5"/>
        <v>769.53407721460803</v>
      </c>
      <c r="AN52" s="59">
        <f ca="1">AVERAGE(OFFSET($AM$3,0,0,'Données projet'!$E$10+1,1))-AVERAGE(OFFSET($H$3,0,0,'Données projet'!$E$10+1,1))</f>
        <v>260.20517190557814</v>
      </c>
      <c r="AO52" s="59">
        <f t="shared" si="36"/>
        <v>307.22009971147133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2.2397498238009974</v>
      </c>
      <c r="AV52" s="21">
        <f>EXP(-LN(2)/25)*AV51+(1-EXP(-LN(2)/25))/(LN(2)/25)*Calculateur!AQ52*Calculateur!AS52*VLOOKUP('Données projet'!$B$10,Paramètres!$A$1:$I$89,3,0)*0.475*44/12</f>
        <v>12.116750116717327</v>
      </c>
      <c r="AW52" s="21">
        <f>EXP(-LN(2)/2)*AW51+(1-EXP(-LN(2)/2))/(LN(2)/2)*AQ52*AT52*VLOOKUP('Données projet'!$B$10,Paramètres!$A$1:$I$89,3,0)*0.475*44/12</f>
        <v>3.319953932285228E-2</v>
      </c>
      <c r="AX52" s="21">
        <f t="shared" si="6"/>
        <v>14.389699479841177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18.899999999999999</v>
      </c>
      <c r="BD52" s="12">
        <f>IF('Données projet'!$A$88&gt;35,BD51+BC52-BL51,IF(A52&lt;'Données projet'!$A$88,$BA$205^A52,IF(A52='Données projet'!$A$88,'Données projet'!$B$88,BD51+BC52-BL51)))</f>
        <v>416.09999999999974</v>
      </c>
      <c r="BE52" s="13">
        <f>BD52*VLOOKUP('Données projet'!$B$11,Paramètres!$A$1:$I$89,3,0)*VLOOKUP('Données projet'!$B$11,Paramètres!$A$1:$I$89,5,0)</f>
        <v>248.82779999999985</v>
      </c>
      <c r="BF52" s="13">
        <f t="shared" si="37"/>
        <v>60.334863247522001</v>
      </c>
      <c r="BG52" s="20">
        <f t="shared" si="7"/>
        <v>538.45830515610044</v>
      </c>
      <c r="BH52" s="59">
        <f t="shared" si="8"/>
        <v>831.79163848943381</v>
      </c>
      <c r="BI52" s="59">
        <f ca="1">AVERAGE(OFFSET($BH$3,0,0,'Données projet'!$E$11+1,1))-AVERAGE(OFFSET($H$3,0,0,'Données projet'!$E$11+1,1))</f>
        <v>316.58509520829671</v>
      </c>
      <c r="BJ52" s="59">
        <f t="shared" si="38"/>
        <v>240.71332110643596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1.7397390814652107</v>
      </c>
      <c r="BQ52" s="21">
        <f>EXP(-LN(2)/25)*BQ51+(1-EXP(-LN(2)/25))/(LN(2)/25)*Calculateur!BL52*Calculateur!BN52*VLOOKUP('Données projet'!$B$11,Paramètres!$A$1:$I$89,3,0)*0.475*44/12</f>
        <v>9.0156547061335814</v>
      </c>
      <c r="BR52" s="21">
        <f>EXP(-LN(2)/2)*BR51+(1-EXP(-LN(2)/2))/(LN(2)/2)*BL52*BO52*VLOOKUP('Données projet'!$B$11,Paramètres!$A$1:$I$89,3,0)*0.475*44/12</f>
        <v>3.0299723163427071E-2</v>
      </c>
      <c r="BS52" s="22">
        <f t="shared" si="9"/>
        <v>10.785693510762218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16.2</v>
      </c>
      <c r="BY52" s="12">
        <f>IF('Données projet'!$A$114&gt;35,BY51+BX52-CG51,IF(A52&lt;'Données projet'!$A$114,$BV$205^A52,IF(A52='Données projet'!$A$114,'Données projet'!$B$114,BY51+BX52-CG51)))</f>
        <v>363.79999999999984</v>
      </c>
      <c r="BZ52" s="13">
        <f>BY52*VLOOKUP('Données projet'!$B$12,Paramètres!$A$1:$I$89,3,0)*VLOOKUP('Données projet'!$B$12,Paramètres!$A$1:$I$89,5,0)</f>
        <v>217.55239999999992</v>
      </c>
      <c r="CA52" s="13">
        <f t="shared" si="39"/>
        <v>53.58256606537995</v>
      </c>
      <c r="CB52" s="20">
        <f t="shared" si="10"/>
        <v>472.22673256386997</v>
      </c>
      <c r="CC52" s="59">
        <f t="shared" si="11"/>
        <v>765.56006589720323</v>
      </c>
      <c r="CD52" s="59">
        <f ca="1">AVERAGE(OFFSET($CC$3,0,0,'Données projet'!$E$12+1,1))-AVERAGE(OFFSET($H$3,0,0,'Données projet'!$E$12+1,1))</f>
        <v>270.30888762640245</v>
      </c>
      <c r="CE52" s="59">
        <f t="shared" si="40"/>
        <v>202.23783851977691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1.4702020406748255</v>
      </c>
      <c r="CL52" s="21">
        <f>EXP(-LN(2)/25)*CL51+(1-EXP(-LN(2)/25))/(LN(2)/25)*Calculateur!CG52*Calculateur!CI52*VLOOKUP('Données projet'!$B$12,Paramètres!$A$1:$I$89,3,0)*0.475*44/12</f>
        <v>7.2602753110823501</v>
      </c>
      <c r="CM52" s="21">
        <f>EXP(-LN(2)/2)*CM51+(1-EXP(-LN(2)/2))/(LN(2)/2)*CG52*CJ52*VLOOKUP('Données projet'!$B$12,Paramètres!$A$1:$I$89,3,0)*0.475*44/12</f>
        <v>2.5539548697883337E-2</v>
      </c>
      <c r="CN52" s="22">
        <f t="shared" si="12"/>
        <v>8.7560169004550588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9.1999999999999993</v>
      </c>
      <c r="CT52" s="12">
        <f>IF('Données projet'!$A$140&gt;35,CT51+CS52-DB51,IF(A52&lt;'Données projet'!$A$140,$CQ$205^A52,IF(A52='Données projet'!$A$140,'Données projet'!$B$140,CT51+CS52-DB51)))</f>
        <v>275.79999999999984</v>
      </c>
      <c r="CU52" s="17">
        <f>CT52*VLOOKUP('Données projet'!$B$13,Paramètres!$A$1:$I$89,3,0)*VLOOKUP('Données projet'!$B$13,Paramètres!$A$1:$I$89,5,0)</f>
        <v>185.00663999999989</v>
      </c>
      <c r="CV52" s="13">
        <f t="shared" si="41"/>
        <v>46.434286546462388</v>
      </c>
      <c r="CW52" s="20">
        <f t="shared" si="13"/>
        <v>403.09294706842178</v>
      </c>
      <c r="CX52" s="59">
        <f t="shared" si="14"/>
        <v>696.42628040175509</v>
      </c>
      <c r="CY52" s="59">
        <f ca="1">AVERAGE(OFFSET($CX$3,0,0,'Données projet'!$E$13+1,1))-AVERAGE(OFFSET($H$3,0,0,'Données projet'!$E$13+1,1))</f>
        <v>207.93042467236967</v>
      </c>
      <c r="CZ52" s="59">
        <f t="shared" si="42"/>
        <v>250.70954318710835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1.8884165181067227</v>
      </c>
      <c r="DG52" s="21">
        <f>EXP(-LN(2)/25)*DG51+(1-EXP(-LN(2)/25))/(LN(2)/25)*Calculateur!DB52*Calculateur!DD52*VLOOKUP('Données projet'!$B$13,Paramètres!$A$1:$I$89,3,0)*0.475*44/12</f>
        <v>10.216083431742064</v>
      </c>
      <c r="DH52" s="21">
        <f>EXP(-LN(2)/2)*DH51+(1-EXP(-LN(2)/2))/(LN(2)/2)*DB52*DE52*VLOOKUP('Données projet'!$B$13,Paramètres!$A$1:$I$89,3,0)*0.475*44/12</f>
        <v>2.7991768448679372E-2</v>
      </c>
      <c r="DI52" s="22">
        <f t="shared" si="15"/>
        <v>12.132491718297466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7.7</v>
      </c>
      <c r="DO52" s="12">
        <f>IF('Données projet'!$A$166&gt;35,DO51+DN52-DW51,IF(A52&lt;'Données projet'!$A$166,$DL$205^A52,IF(A52='Données projet'!$A$166,'Données projet'!$B$166,DO51+DN52-DW51)))</f>
        <v>233.29999999999976</v>
      </c>
      <c r="DP52" s="17">
        <f>DO52*VLOOKUP('Données projet'!$B$14,Paramètres!$A$1:$I$89,3,0)*VLOOKUP('Données projet'!$B$14,Paramètres!$A$1:$I$89,5,0)</f>
        <v>156.49763999999982</v>
      </c>
      <c r="DQ52" s="13">
        <f t="shared" si="43"/>
        <v>40.051533633118169</v>
      </c>
      <c r="DR52" s="20">
        <f t="shared" si="16"/>
        <v>342.32314407768052</v>
      </c>
      <c r="DS52" s="59">
        <f t="shared" si="17"/>
        <v>635.65647741101384</v>
      </c>
      <c r="DT52" s="59">
        <f ca="1">AVERAGE(OFFSET($DS$3,0,0,'Données projet'!$E$14+1,1))-AVERAGE(OFFSET($H$3,0,0,'Données projet'!$E$14+1,1))</f>
        <v>156.63226020379989</v>
      </c>
      <c r="DU52" s="59">
        <f t="shared" si="44"/>
        <v>196.0481096619543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5.1195798937764696</v>
      </c>
      <c r="EC52" s="21">
        <f>EXP(-LN(2)/2)*EC51+(1-EXP(-LN(2)/2))/(LN(2)/2)*DW52*DZ52*VLOOKUP('Données projet'!$B$14,Paramètres!$A$1:$I$89,3,0)*0.475*44/12</f>
        <v>1.2531079556800847E-2</v>
      </c>
      <c r="ED52" s="22">
        <f t="shared" si="18"/>
        <v>5.1321109733332708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6.8260073260073284</v>
      </c>
      <c r="EJ52" s="12">
        <f>IF('Données projet'!$A$192&gt;35,EJ51+EI52-ER51,IF(A52&lt;'Données projet'!$A$192,$EG$205^A52,IF(A52='Données projet'!$A$192,'Données projet'!$B$192,EJ51+EI52-ER51)))</f>
        <v>132.13644688644683</v>
      </c>
      <c r="EK52" s="17">
        <f>EJ52*VLOOKUP('Données projet'!$B$15,Paramètres!$A$1:$I$89,3,0)*VLOOKUP('Données projet'!$B$15,Paramètres!$A$1:$I$89,5,0)</f>
        <v>133.98635714285712</v>
      </c>
      <c r="EL52" s="13">
        <f t="shared" si="45"/>
        <v>34.915863980670267</v>
      </c>
      <c r="EM52" s="20">
        <f t="shared" si="19"/>
        <v>294.17136845681017</v>
      </c>
      <c r="EN52" s="59">
        <f t="shared" si="20"/>
        <v>587.50470179014349</v>
      </c>
      <c r="EO52" s="59">
        <f ca="1">AVERAGE(OFFSET($EN$3,0,0,'Données projet'!$E$15+1,1))-AVERAGE(OFFSET($H$3,0,0,'Données projet'!$E$15+1,1))</f>
        <v>190.21499310415584</v>
      </c>
      <c r="EP52" s="59">
        <f t="shared" si="46"/>
        <v>136.15730566500173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1.5708333333333335</v>
      </c>
      <c r="FE52" s="12">
        <f>IF('Données projet'!$A$218&gt;35,FE51+FD52-FM51,IF(A52&lt;'Données projet'!$A$218,$FB$205^A52,IF(A52='Données projet'!$A$218,'Données projet'!$B$218,FE51+FD52-FM51)))</f>
        <v>59.929166666666688</v>
      </c>
      <c r="FF52" s="17">
        <f>FE52*VLOOKUP('Données projet'!$B$16,Paramètres!$A$1:$I$89,3,0)*VLOOKUP('Données projet'!$B$16,Paramètres!$A$1:$I$89,5,0)</f>
        <v>69.038400000000024</v>
      </c>
      <c r="FG52" s="13">
        <f t="shared" si="47"/>
        <v>19.434466496839647</v>
      </c>
      <c r="FH52" s="20">
        <f t="shared" si="22"/>
        <v>154.09024248199574</v>
      </c>
      <c r="FI52" s="59">
        <f t="shared" si="23"/>
        <v>447.42357581532906</v>
      </c>
      <c r="FJ52" s="59">
        <f ca="1">AVERAGE(OFFSET($FI$3,0,0,'Données projet'!$E$16+1,1))-AVERAGE(OFFSET($H$3,0,0,'Données projet'!$E$16+1,1))</f>
        <v>14.847345852478327</v>
      </c>
      <c r="FK52" s="59">
        <f t="shared" si="48"/>
        <v>46.764428272166299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1.0479972813335832</v>
      </c>
      <c r="FS52" s="21">
        <f>EXP(-LN(2)/2)*FS51+(1-EXP(-LN(2)/2))/(LN(2)/2)*FM52*FP52*VLOOKUP('Données projet'!$B$16,Paramètres!$A$1:$I$89,3,0)*0.475*44/12</f>
        <v>2.7248408070560202E-3</v>
      </c>
      <c r="FT52" s="22">
        <f t="shared" si="24"/>
        <v>1.0507221221406391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8.8736263736263741</v>
      </c>
      <c r="N53" s="13">
        <f>IF('Données projet'!$A$36&gt;35,N52+M53-V52,IF(A53&lt;'Données projet'!$A$36,$K$205^A53,IF(A53='Données projet'!$A$36,'Données projet'!$B$36,N52+M53-V52)))</f>
        <v>154.07417582417585</v>
      </c>
      <c r="O53" s="13">
        <f>N53*VLOOKUP('Données projet'!$B$9,Paramètres!$A$1:$I$89,3,0)*VLOOKUP('Données projet'!$B$9,Paramètres!$A$1:$I$89,5,0)</f>
        <v>139.4063142857143</v>
      </c>
      <c r="P53" s="13">
        <f t="shared" si="33"/>
        <v>36.160966815041384</v>
      </c>
      <c r="Q53" s="20">
        <f t="shared" si="53"/>
        <v>305.77968125048278</v>
      </c>
      <c r="R53" s="59">
        <f t="shared" si="0"/>
        <v>599.11301458381604</v>
      </c>
      <c r="S53" s="59">
        <f ca="1">AVERAGE(OFFSET($R$3,0,0,'Données projet'!$E$9+1,1))-AVERAGE(OFFSET($H$3,0,0,'Données projet'!$E$9+1,1))</f>
        <v>221.7429870520005</v>
      </c>
      <c r="T53" s="59">
        <f t="shared" si="34"/>
        <v>182.2029938397186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285</v>
      </c>
      <c r="AG53" s="12">
        <f>VLOOKUP(A53,'Données projet'!$A$61:$I$81,9,0)</f>
        <v>9.1999999999999993</v>
      </c>
      <c r="AH53" s="12">
        <f t="array" ref="AH53">INDEX(AG:AG,MIN(IF(ISNUMBER(AG53:AG249),ROW(AG53:AG249),"")))</f>
        <v>9.1999999999999993</v>
      </c>
      <c r="AI53" s="13">
        <f>IF('Données projet'!$A$62&gt;35,AI52+AH53-AQ52,IF(A53&lt;'Données projet'!$A$62,$AF$205^A53,IF(A53='Données projet'!$A$62,'Données projet'!$B$62,AI52+AH53-AQ52)))</f>
        <v>284.99999999999983</v>
      </c>
      <c r="AJ53" s="13">
        <f>AI53*VLOOKUP('Données projet'!$B$10,Paramètres!$A$1:$I$89,3,0)*VLOOKUP('Données projet'!$B$10,Paramètres!$A$1:$I$89,5,0)</f>
        <v>226.74599999999987</v>
      </c>
      <c r="AK53" s="13">
        <f t="shared" si="35"/>
        <v>55.578508240245917</v>
      </c>
      <c r="AL53" s="20">
        <f t="shared" si="4"/>
        <v>491.71518518509475</v>
      </c>
      <c r="AM53" s="59">
        <f t="shared" si="5"/>
        <v>785.04851851842807</v>
      </c>
      <c r="AN53" s="59">
        <f ca="1">AVERAGE(OFFSET($AM$3,0,0,'Données projet'!$E$10+1,1))-AVERAGE(OFFSET($H$3,0,0,'Données projet'!$E$10+1,1))</f>
        <v>260.20517190557814</v>
      </c>
      <c r="AO53" s="59">
        <f t="shared" si="36"/>
        <v>307.22009971147133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2.1958296958687598</v>
      </c>
      <c r="AV53" s="21">
        <f>EXP(-LN(2)/25)*AV52+(1-EXP(-LN(2)/25))/(LN(2)/25)*Calculateur!AQ53*Calculateur!AS53*VLOOKUP('Données projet'!$B$10,Paramètres!$A$1:$I$89,3,0)*0.475*44/12</f>
        <v>11.785416947583496</v>
      </c>
      <c r="AW53" s="21">
        <f>EXP(-LN(2)/2)*AW52+(1-EXP(-LN(2)/2))/(LN(2)/2)*AQ53*AT53*VLOOKUP('Données projet'!$B$10,Paramètres!$A$1:$I$89,3,0)*0.475*44/12</f>
        <v>2.3475619387458287E-2</v>
      </c>
      <c r="AX53" s="21">
        <f t="shared" si="6"/>
        <v>14.004722262839714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435</v>
      </c>
      <c r="BB53" s="12">
        <f>VLOOKUP(A53,'Données projet'!$A$87:$I$107,9,0)</f>
        <v>18.899999999999999</v>
      </c>
      <c r="BC53" s="12">
        <f t="array" ref="BC53">INDEX(BB:BB,MIN(IF(ISNUMBER(BB53:BB249),ROW(BB53:BB249),"")))</f>
        <v>18.899999999999999</v>
      </c>
      <c r="BD53" s="12">
        <f>IF('Données projet'!$A$88&gt;35,BD52+BC53-BL52,IF(A53&lt;'Données projet'!$A$88,$BA$205^A53,IF(A53='Données projet'!$A$88,'Données projet'!$B$88,BD52+BC53-BL52)))</f>
        <v>434.99999999999972</v>
      </c>
      <c r="BE53" s="13">
        <f>BD53*VLOOKUP('Données projet'!$B$11,Paramètres!$A$1:$I$89,3,0)*VLOOKUP('Données projet'!$B$11,Paramètres!$A$1:$I$89,5,0)</f>
        <v>260.12999999999988</v>
      </c>
      <c r="BF53" s="13">
        <f t="shared" si="37"/>
        <v>62.750087896510983</v>
      </c>
      <c r="BG53" s="20">
        <f t="shared" si="7"/>
        <v>562.34948641975632</v>
      </c>
      <c r="BH53" s="59">
        <f t="shared" si="8"/>
        <v>855.68281975308969</v>
      </c>
      <c r="BI53" s="59">
        <f ca="1">AVERAGE(OFFSET($BH$3,0,0,'Données projet'!$E$11+1,1))-AVERAGE(OFFSET($H$3,0,0,'Données projet'!$E$11+1,1))</f>
        <v>316.58509520829671</v>
      </c>
      <c r="BJ53" s="59">
        <f t="shared" si="38"/>
        <v>240.71332110643596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107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1.7056238592137392</v>
      </c>
      <c r="BQ53" s="21">
        <f>EXP(-LN(2)/25)*BQ52+(1-EXP(-LN(2)/25))/(LN(2)/25)*Calculateur!BL53*Calculateur!BN53*VLOOKUP('Données projet'!$B$11,Paramètres!$A$1:$I$89,3,0)*0.475*44/12</f>
        <v>8.7691211540816827</v>
      </c>
      <c r="BR53" s="21">
        <f>EXP(-LN(2)/2)*BR52+(1-EXP(-LN(2)/2))/(LN(2)/2)*BL53*BO53*VLOOKUP('Données projet'!$B$11,Paramètres!$A$1:$I$89,3,0)*0.475*44/12</f>
        <v>2.1425139716934393E-2</v>
      </c>
      <c r="BS53" s="22">
        <f t="shared" si="9"/>
        <v>10.496170153012356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380</v>
      </c>
      <c r="BW53" s="12">
        <f>VLOOKUP(A53,'Données projet'!$A$113:$I$133,9,0)</f>
        <v>16.2</v>
      </c>
      <c r="BX53" s="12">
        <f t="array" ref="BX53">INDEX(BW:BW,MIN(IF(ISNUMBER(BW53:BW249),ROW(BW53:BW249),"")))</f>
        <v>16.2</v>
      </c>
      <c r="BY53" s="12">
        <f>IF('Données projet'!$A$114&gt;35,BY52+BX53-CG52,IF(A53&lt;'Données projet'!$A$114,$BV$205^A53,IF(A53='Données projet'!$A$114,'Données projet'!$B$114,BY52+BX53-CG52)))</f>
        <v>379.99999999999983</v>
      </c>
      <c r="BZ53" s="13">
        <f>BY53*VLOOKUP('Données projet'!$B$12,Paramètres!$A$1:$I$89,3,0)*VLOOKUP('Données projet'!$B$12,Paramètres!$A$1:$I$89,5,0)</f>
        <v>227.23999999999992</v>
      </c>
      <c r="CA53" s="13">
        <f t="shared" si="39"/>
        <v>55.685486340484204</v>
      </c>
      <c r="CB53" s="20">
        <f t="shared" si="10"/>
        <v>492.76188870967644</v>
      </c>
      <c r="CC53" s="59">
        <f t="shared" si="11"/>
        <v>786.0952220430097</v>
      </c>
      <c r="CD53" s="59">
        <f ca="1">AVERAGE(OFFSET($CC$3,0,0,'Données projet'!$E$12+1,1))-AVERAGE(OFFSET($H$3,0,0,'Données projet'!$E$12+1,1))</f>
        <v>270.30888762640245</v>
      </c>
      <c r="CE53" s="59">
        <f t="shared" si="40"/>
        <v>202.23783851977691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89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1.4413722753918918</v>
      </c>
      <c r="CL53" s="21">
        <f>EXP(-LN(2)/25)*CL52+(1-EXP(-LN(2)/25))/(LN(2)/25)*Calculateur!CG53*Calculateur!CI53*VLOOKUP('Données projet'!$B$12,Paramètres!$A$1:$I$89,3,0)*0.475*44/12</f>
        <v>7.0617427008995186</v>
      </c>
      <c r="CM53" s="21">
        <f>EXP(-LN(2)/2)*CM52+(1-EXP(-LN(2)/2))/(LN(2)/2)*CG53*CJ53*VLOOKUP('Données projet'!$B$12,Paramètres!$A$1:$I$89,3,0)*0.475*44/12</f>
        <v>1.8059188072717367E-2</v>
      </c>
      <c r="CN53" s="22">
        <f t="shared" si="12"/>
        <v>8.5211741643641279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285</v>
      </c>
      <c r="CR53" s="12">
        <f>VLOOKUP(A53,'Données projet'!$A$139:$I$159,9,0)</f>
        <v>9.1999999999999993</v>
      </c>
      <c r="CS53" s="12">
        <f t="array" ref="CS53">INDEX(CR:CR,MIN(IF(ISNUMBER(CR53:CR249),ROW(CR53:CR249),"")))</f>
        <v>9.1999999999999993</v>
      </c>
      <c r="CT53" s="12">
        <f>IF('Données projet'!$A$140&gt;35,CT52+CS53-DB52,IF(A53&lt;'Données projet'!$A$140,$CQ$205^A53,IF(A53='Données projet'!$A$140,'Données projet'!$B$140,CT52+CS53-DB52)))</f>
        <v>284.99999999999983</v>
      </c>
      <c r="CU53" s="17">
        <f>CT53*VLOOKUP('Données projet'!$B$13,Paramètres!$A$1:$I$89,3,0)*VLOOKUP('Données projet'!$B$13,Paramètres!$A$1:$I$89,5,0)</f>
        <v>191.17799999999988</v>
      </c>
      <c r="CV53" s="13">
        <f t="shared" si="41"/>
        <v>47.80029816501365</v>
      </c>
      <c r="CW53" s="20">
        <f t="shared" si="13"/>
        <v>416.22053597073187</v>
      </c>
      <c r="CX53" s="59">
        <f t="shared" si="14"/>
        <v>709.55386930406519</v>
      </c>
      <c r="CY53" s="59">
        <f ca="1">AVERAGE(OFFSET($CX$3,0,0,'Données projet'!$E$13+1,1))-AVERAGE(OFFSET($H$3,0,0,'Données projet'!$E$13+1,1))</f>
        <v>207.93042467236967</v>
      </c>
      <c r="CZ53" s="59">
        <f t="shared" si="42"/>
        <v>250.70954318710835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43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1.8513858220069932</v>
      </c>
      <c r="DG53" s="21">
        <f>EXP(-LN(2)/25)*DG52+(1-EXP(-LN(2)/25))/(LN(2)/25)*Calculateur!DB53*Calculateur!DD53*VLOOKUP('Données projet'!$B$13,Paramètres!$A$1:$I$89,3,0)*0.475*44/12</f>
        <v>9.9367240930605991</v>
      </c>
      <c r="DH53" s="21">
        <f>EXP(-LN(2)/2)*DH52+(1-EXP(-LN(2)/2))/(LN(2)/2)*DB53*DE53*VLOOKUP('Données projet'!$B$13,Paramètres!$A$1:$I$89,3,0)*0.475*44/12</f>
        <v>1.9793169287464829E-2</v>
      </c>
      <c r="DI53" s="22">
        <f t="shared" si="15"/>
        <v>11.807903084355056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241</v>
      </c>
      <c r="DM53" s="12">
        <f>VLOOKUP(A53,'Données projet'!$A$165:$I$185,9,0)</f>
        <v>7.7</v>
      </c>
      <c r="DN53" s="12">
        <f t="array" ref="DN53">INDEX(DM:DM,MIN(IF(ISNUMBER(DM53:DM249),ROW(DM53:DM249),"")))</f>
        <v>7.7</v>
      </c>
      <c r="DO53" s="12">
        <f>IF('Données projet'!$A$166&gt;35,DO52+DN53-DW52,IF(A53&lt;'Données projet'!$A$166,$DL$205^A53,IF(A53='Données projet'!$A$166,'Données projet'!$B$166,DO52+DN53-DW52)))</f>
        <v>240.99999999999974</v>
      </c>
      <c r="DP53" s="17">
        <f>DO53*VLOOKUP('Données projet'!$B$14,Paramètres!$A$1:$I$89,3,0)*VLOOKUP('Données projet'!$B$14,Paramètres!$A$1:$I$89,5,0)</f>
        <v>161.66279999999983</v>
      </c>
      <c r="DQ53" s="13">
        <f t="shared" si="43"/>
        <v>41.217338614576043</v>
      </c>
      <c r="DR53" s="20">
        <f t="shared" si="16"/>
        <v>353.34957475371965</v>
      </c>
      <c r="DS53" s="59">
        <f t="shared" si="17"/>
        <v>646.68290808705297</v>
      </c>
      <c r="DT53" s="59">
        <f ca="1">AVERAGE(OFFSET($DS$3,0,0,'Données projet'!$E$14+1,1))-AVERAGE(OFFSET($H$3,0,0,'Données projet'!$E$14+1,1))</f>
        <v>156.63226020379989</v>
      </c>
      <c r="DU53" s="59">
        <f t="shared" si="44"/>
        <v>196.0481096619543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39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4.9795847123541463</v>
      </c>
      <c r="EC53" s="21">
        <f>EXP(-LN(2)/2)*EC52+(1-EXP(-LN(2)/2))/(LN(2)/2)*DW53*DZ53*VLOOKUP('Données projet'!$B$14,Paramètres!$A$1:$I$89,3,0)*0.475*44/12</f>
        <v>8.8608113302019956E-3</v>
      </c>
      <c r="ED53" s="22">
        <f t="shared" si="18"/>
        <v>4.9884455236843479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6.8260073260073284</v>
      </c>
      <c r="EJ53" s="12">
        <f>IF('Données projet'!$A$192&gt;35,EJ52+EI53-ER52,IF(A53&lt;'Données projet'!$A$192,$EG$205^A53,IF(A53='Données projet'!$A$192,'Données projet'!$B$192,EJ52+EI53-ER52)))</f>
        <v>138.96245421245416</v>
      </c>
      <c r="EK53" s="17">
        <f>EJ53*VLOOKUP('Données projet'!$B$15,Paramètres!$A$1:$I$89,3,0)*VLOOKUP('Données projet'!$B$15,Paramètres!$A$1:$I$89,5,0)</f>
        <v>140.90792857142853</v>
      </c>
      <c r="EL53" s="13">
        <f t="shared" si="45"/>
        <v>36.504920865079967</v>
      </c>
      <c r="EM53" s="20">
        <f t="shared" si="19"/>
        <v>308.99404610191897</v>
      </c>
      <c r="EN53" s="59">
        <f t="shared" si="20"/>
        <v>602.32737943525228</v>
      </c>
      <c r="EO53" s="59">
        <f ca="1">AVERAGE(OFFSET($EN$3,0,0,'Données projet'!$E$15+1,1))-AVERAGE(OFFSET($H$3,0,0,'Données projet'!$E$15+1,1))</f>
        <v>190.21499310415584</v>
      </c>
      <c r="EP53" s="59">
        <f t="shared" si="46"/>
        <v>136.15730566500173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61.5</v>
      </c>
      <c r="FC53" s="12">
        <f>VLOOKUP(A53,'Données projet'!$A$217:$I$237,9,0)</f>
        <v>1.5708333333333335</v>
      </c>
      <c r="FD53" s="12">
        <f t="array" ref="FD53">INDEX(FC:FC,MIN(IF(ISNUMBER(FC53:FC249),ROW(FC53:FC249),"")))</f>
        <v>1.5708333333333335</v>
      </c>
      <c r="FE53" s="12">
        <f>IF('Données projet'!$A$218&gt;35,FE52+FD53-FM52,IF(A53&lt;'Données projet'!$A$218,$FB$205^A53,IF(A53='Données projet'!$A$218,'Données projet'!$B$218,FE52+FD53-FM52)))</f>
        <v>61.500000000000021</v>
      </c>
      <c r="FF53" s="17">
        <f>FE53*VLOOKUP('Données projet'!$B$16,Paramètres!$A$1:$I$89,3,0)*VLOOKUP('Données projet'!$B$16,Paramètres!$A$1:$I$89,5,0)</f>
        <v>70.848000000000027</v>
      </c>
      <c r="FG53" s="13">
        <f t="shared" si="47"/>
        <v>19.883898048171471</v>
      </c>
      <c r="FH53" s="20">
        <f t="shared" si="22"/>
        <v>158.02472243389869</v>
      </c>
      <c r="FI53" s="59">
        <f t="shared" si="23"/>
        <v>451.35805576723203</v>
      </c>
      <c r="FJ53" s="59">
        <f ca="1">AVERAGE(OFFSET($FI$3,0,0,'Données projet'!$E$16+1,1))-AVERAGE(OFFSET($H$3,0,0,'Données projet'!$E$16+1,1))</f>
        <v>14.847345852478327</v>
      </c>
      <c r="FK53" s="59">
        <f t="shared" si="48"/>
        <v>46.764428272166299</v>
      </c>
      <c r="FL53" s="15">
        <f>IF(ISNA(VLOOKUP(A53,'Données projet'!$A$217:$I$237,3,0)),0,VLOOKUP(A53,'Données projet'!$A$217:$I$237,3,0))</f>
        <v>5</v>
      </c>
      <c r="FM53" s="15">
        <f>IF(ISNA(VLOOKUP(A53,'Données projet'!$A$217:$I$237,4,0)),0,VLOOKUP(A53,'Données projet'!$A$217:$I$237,4,0))</f>
        <v>7.291666666666667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1.0193397405637346</v>
      </c>
      <c r="FS53" s="21">
        <f>EXP(-LN(2)/2)*FS52+(1-EXP(-LN(2)/2))/(LN(2)/2)*FM53*FP53*VLOOKUP('Données projet'!$B$16,Paramètres!$A$1:$I$89,3,0)*0.475*44/12</f>
        <v>1.926753412323137E-3</v>
      </c>
      <c r="FT53" s="22">
        <f t="shared" si="24"/>
        <v>1.0212664939760576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8.8736263736263741</v>
      </c>
      <c r="N54" s="13">
        <f>IF('Données projet'!$A$36&gt;35,N53+M54-V53,IF(A54&lt;'Données projet'!$A$36,$K$205^A54,IF(A54='Données projet'!$A$36,'Données projet'!$B$36,N53+M54-V53)))</f>
        <v>162.94780219780222</v>
      </c>
      <c r="O54" s="13">
        <f>N54*VLOOKUP('Données projet'!$B$9,Paramètres!$A$1:$I$89,3,0)*VLOOKUP('Données projet'!$B$9,Paramètres!$A$1:$I$89,5,0)</f>
        <v>147.43517142857144</v>
      </c>
      <c r="P54" s="13">
        <f t="shared" si="33"/>
        <v>37.995135358244994</v>
      </c>
      <c r="Q54" s="20">
        <f t="shared" si="53"/>
        <v>322.95778432037196</v>
      </c>
      <c r="R54" s="59">
        <f t="shared" si="0"/>
        <v>616.29111765370521</v>
      </c>
      <c r="S54" s="59">
        <f ca="1">AVERAGE(OFFSET($R$3,0,0,'Données projet'!$E$9+1,1))-AVERAGE(OFFSET($H$3,0,0,'Données projet'!$E$9+1,1))</f>
        <v>221.7429870520005</v>
      </c>
      <c r="T54" s="59">
        <f t="shared" si="34"/>
        <v>182.2029938397186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6.8</v>
      </c>
      <c r="AI54" s="13">
        <f>IF('Données projet'!$A$62&gt;35,AI53+AH54-AQ53,IF(A54&lt;'Données projet'!$A$62,$AF$205^A54,IF(A54='Données projet'!$A$62,'Données projet'!$B$62,AI53+AH54-AQ53)))</f>
        <v>248.79999999999984</v>
      </c>
      <c r="AJ54" s="13">
        <f>AI54*VLOOKUP('Données projet'!$B$10,Paramètres!$A$1:$I$89,3,0)*VLOOKUP('Données projet'!$B$10,Paramètres!$A$1:$I$89,5,0)</f>
        <v>197.94527999999988</v>
      </c>
      <c r="AK54" s="13">
        <f t="shared" si="35"/>
        <v>49.29233142017484</v>
      </c>
      <c r="AL54" s="20">
        <f t="shared" si="4"/>
        <v>430.6055065568043</v>
      </c>
      <c r="AM54" s="59">
        <f t="shared" si="5"/>
        <v>723.93883989013761</v>
      </c>
      <c r="AN54" s="59">
        <f ca="1">AVERAGE(OFFSET($AM$3,0,0,'Données projet'!$E$10+1,1))-AVERAGE(OFFSET($H$3,0,0,'Données projet'!$E$10+1,1))</f>
        <v>260.20517190557814</v>
      </c>
      <c r="AO54" s="59">
        <f t="shared" si="36"/>
        <v>307.22009971147133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2.1527708148566407</v>
      </c>
      <c r="AV54" s="21">
        <f>EXP(-LN(2)/25)*AV53+(1-EXP(-LN(2)/25))/(LN(2)/25)*Calculateur!AQ54*Calculateur!AS54*VLOOKUP('Données projet'!$B$10,Paramètres!$A$1:$I$89,3,0)*0.475*44/12</f>
        <v>11.463144101383683</v>
      </c>
      <c r="AW54" s="21">
        <f>EXP(-LN(2)/2)*AW53+(1-EXP(-LN(2)/2))/(LN(2)/2)*AQ54*AT54*VLOOKUP('Données projet'!$B$10,Paramètres!$A$1:$I$89,3,0)*0.475*44/12</f>
        <v>1.659976966142614E-2</v>
      </c>
      <c r="AX54" s="21">
        <f t="shared" si="6"/>
        <v>13.63251468590175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18</v>
      </c>
      <c r="BD54" s="12">
        <f>IF('Données projet'!$A$88&gt;35,BD53+BC54-BL53,IF(A54&lt;'Données projet'!$A$88,$BA$205^A54,IF(A54='Données projet'!$A$88,'Données projet'!$B$88,BD53+BC54-BL53)))</f>
        <v>345.99999999999972</v>
      </c>
      <c r="BE54" s="13">
        <f>BD54*VLOOKUP('Données projet'!$B$11,Paramètres!$A$1:$I$89,3,0)*VLOOKUP('Données projet'!$B$11,Paramètres!$A$1:$I$89,5,0)</f>
        <v>206.90799999999984</v>
      </c>
      <c r="BF54" s="13">
        <f t="shared" si="37"/>
        <v>51.25932369987143</v>
      </c>
      <c r="BG54" s="20">
        <f t="shared" si="7"/>
        <v>449.6414221106092</v>
      </c>
      <c r="BH54" s="59">
        <f t="shared" si="8"/>
        <v>742.97475544394251</v>
      </c>
      <c r="BI54" s="59">
        <f ca="1">AVERAGE(OFFSET($BH$3,0,0,'Données projet'!$E$11+1,1))-AVERAGE(OFFSET($H$3,0,0,'Données projet'!$E$11+1,1))</f>
        <v>316.58509520829671</v>
      </c>
      <c r="BJ54" s="59">
        <f t="shared" si="38"/>
        <v>240.71332110643596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1.672177615662388</v>
      </c>
      <c r="BQ54" s="21">
        <f>EXP(-LN(2)/25)*BQ53+(1-EXP(-LN(2)/25))/(LN(2)/25)*Calculateur!BL54*Calculateur!BN54*VLOOKUP('Données projet'!$B$11,Paramètres!$A$1:$I$89,3,0)*0.475*44/12</f>
        <v>8.5293290749752799</v>
      </c>
      <c r="BR54" s="21">
        <f>EXP(-LN(2)/2)*BR53+(1-EXP(-LN(2)/2))/(LN(2)/2)*BL54*BO54*VLOOKUP('Données projet'!$B$11,Paramètres!$A$1:$I$89,3,0)*0.475*44/12</f>
        <v>1.5149861581713537E-2</v>
      </c>
      <c r="BS54" s="22">
        <f t="shared" si="9"/>
        <v>10.216656552219382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15.6</v>
      </c>
      <c r="BY54" s="12">
        <f>IF('Données projet'!$A$114&gt;35,BY53+BX54-CG53,IF(A54&lt;'Données projet'!$A$114,$BV$205^A54,IF(A54='Données projet'!$A$114,'Données projet'!$B$114,BY53+BX54-CG53)))</f>
        <v>306.59999999999985</v>
      </c>
      <c r="BZ54" s="13">
        <f>BY54*VLOOKUP('Données projet'!$B$12,Paramètres!$A$1:$I$89,3,0)*VLOOKUP('Données projet'!$B$12,Paramètres!$A$1:$I$89,5,0)</f>
        <v>183.34679999999994</v>
      </c>
      <c r="CA54" s="13">
        <f t="shared" si="39"/>
        <v>46.06598726946973</v>
      </c>
      <c r="CB54" s="20">
        <f t="shared" si="10"/>
        <v>399.56060449432636</v>
      </c>
      <c r="CC54" s="59">
        <f t="shared" si="11"/>
        <v>692.89393782765967</v>
      </c>
      <c r="CD54" s="59">
        <f ca="1">AVERAGE(OFFSET($CC$3,0,0,'Données projet'!$E$12+1,1))-AVERAGE(OFFSET($H$3,0,0,'Données projet'!$E$12+1,1))</f>
        <v>270.30888762640245</v>
      </c>
      <c r="CE54" s="59">
        <f t="shared" si="40"/>
        <v>202.23783851977691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1.413107844221736</v>
      </c>
      <c r="CL54" s="21">
        <f>EXP(-LN(2)/25)*CL53+(1-EXP(-LN(2)/25))/(LN(2)/25)*Calculateur!CG54*Calculateur!CI54*VLOOKUP('Données projet'!$B$12,Paramètres!$A$1:$I$89,3,0)*0.475*44/12</f>
        <v>6.8686389753825123</v>
      </c>
      <c r="CM54" s="21">
        <f>EXP(-LN(2)/2)*CM53+(1-EXP(-LN(2)/2))/(LN(2)/2)*CG54*CJ54*VLOOKUP('Données projet'!$B$12,Paramètres!$A$1:$I$89,3,0)*0.475*44/12</f>
        <v>1.2769774348941668E-2</v>
      </c>
      <c r="CN54" s="22">
        <f t="shared" si="12"/>
        <v>8.2945165939531886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6.8</v>
      </c>
      <c r="CT54" s="12">
        <f>IF('Données projet'!$A$140&gt;35,CT53+CS54-DB53,IF(A54&lt;'Données projet'!$A$140,$CQ$205^A54,IF(A54='Données projet'!$A$140,'Données projet'!$B$140,CT53+CS54-DB53)))</f>
        <v>248.79999999999984</v>
      </c>
      <c r="CU54" s="17">
        <f>CT54*VLOOKUP('Données projet'!$B$13,Paramètres!$A$1:$I$89,3,0)*VLOOKUP('Données projet'!$B$13,Paramètres!$A$1:$I$89,5,0)</f>
        <v>166.89503999999988</v>
      </c>
      <c r="CV54" s="13">
        <f t="shared" si="41"/>
        <v>42.393871547398746</v>
      </c>
      <c r="CW54" s="20">
        <f t="shared" si="13"/>
        <v>364.51152094505261</v>
      </c>
      <c r="CX54" s="59">
        <f t="shared" si="14"/>
        <v>657.84485427838592</v>
      </c>
      <c r="CY54" s="59">
        <f ca="1">AVERAGE(OFFSET($CX$3,0,0,'Données projet'!$E$13+1,1))-AVERAGE(OFFSET($H$3,0,0,'Données projet'!$E$13+1,1))</f>
        <v>207.93042467236967</v>
      </c>
      <c r="CZ54" s="59">
        <f t="shared" si="42"/>
        <v>250.70954318710835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1.8150812752712848</v>
      </c>
      <c r="DG54" s="21">
        <f>EXP(-LN(2)/25)*DG53+(1-EXP(-LN(2)/25))/(LN(2)/25)*Calculateur!DB54*Calculateur!DD54*VLOOKUP('Données projet'!$B$13,Paramètres!$A$1:$I$89,3,0)*0.475*44/12</f>
        <v>9.6650038501862472</v>
      </c>
      <c r="DH54" s="21">
        <f>EXP(-LN(2)/2)*DH53+(1-EXP(-LN(2)/2))/(LN(2)/2)*DB54*DE54*VLOOKUP('Données projet'!$B$13,Paramètres!$A$1:$I$89,3,0)*0.475*44/12</f>
        <v>1.3995884224339686E-2</v>
      </c>
      <c r="DI54" s="22">
        <f t="shared" si="15"/>
        <v>11.494081009681871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5.6</v>
      </c>
      <c r="DO54" s="12">
        <f>IF('Données projet'!$A$166&gt;35,DO53+DN54-DW53,IF(A54&lt;'Données projet'!$A$166,$DL$205^A54,IF(A54='Données projet'!$A$166,'Données projet'!$B$166,DO53+DN54-DW53)))</f>
        <v>207.59999999999974</v>
      </c>
      <c r="DP54" s="17">
        <f>DO54*VLOOKUP('Données projet'!$B$14,Paramètres!$A$1:$I$89,3,0)*VLOOKUP('Données projet'!$B$14,Paramètres!$A$1:$I$89,5,0)</f>
        <v>139.25807999999984</v>
      </c>
      <c r="DQ54" s="13">
        <f t="shared" si="43"/>
        <v>36.126989516446081</v>
      </c>
      <c r="DR54" s="20">
        <f t="shared" si="16"/>
        <v>305.46232940780999</v>
      </c>
      <c r="DS54" s="59">
        <f t="shared" si="17"/>
        <v>598.79566274114336</v>
      </c>
      <c r="DT54" s="59">
        <f ca="1">AVERAGE(OFFSET($DS$3,0,0,'Données projet'!$E$14+1,1))-AVERAGE(OFFSET($H$3,0,0,'Données projet'!$E$14+1,1))</f>
        <v>156.63226020379989</v>
      </c>
      <c r="DU54" s="59">
        <f t="shared" si="44"/>
        <v>196.0481096619543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4.8434177065298432</v>
      </c>
      <c r="EC54" s="21">
        <f>EXP(-LN(2)/2)*EC53+(1-EXP(-LN(2)/2))/(LN(2)/2)*DW54*DZ54*VLOOKUP('Données projet'!$B$14,Paramètres!$A$1:$I$89,3,0)*0.475*44/12</f>
        <v>6.2655397784004236E-3</v>
      </c>
      <c r="ED54" s="22">
        <f t="shared" si="18"/>
        <v>4.8496832463082438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>
        <f>VLOOKUP(A54,'Données projet'!$A$191:$I$211,2,0)</f>
        <v>145.78846153846155</v>
      </c>
      <c r="EH54" s="12">
        <f>VLOOKUP(A54,'Données projet'!$A$191:$I$211,9,0)</f>
        <v>6.8260073260073284</v>
      </c>
      <c r="EI54" s="12">
        <f t="array" ref="EI54">INDEX(EH:EH,MIN(IF(ISNUMBER(EH54:EH250),ROW(EH54:EH250),"")))</f>
        <v>6.8260073260073284</v>
      </c>
      <c r="EJ54" s="12">
        <f>IF('Données projet'!$A$192&gt;35,EJ53+EI54-ER53,IF(A54&lt;'Données projet'!$A$192,$EG$205^A54,IF(A54='Données projet'!$A$192,'Données projet'!$B$192,EJ53+EI54-ER53)))</f>
        <v>145.78846153846149</v>
      </c>
      <c r="EK54" s="17">
        <f>EJ54*VLOOKUP('Données projet'!$B$15,Paramètres!$A$1:$I$89,3,0)*VLOOKUP('Données projet'!$B$15,Paramètres!$A$1:$I$89,5,0)</f>
        <v>147.82949999999997</v>
      </c>
      <c r="EL54" s="13">
        <f t="shared" si="45"/>
        <v>38.084914057462001</v>
      </c>
      <c r="EM54" s="20">
        <f t="shared" si="19"/>
        <v>323.80093781674623</v>
      </c>
      <c r="EN54" s="59">
        <f t="shared" si="20"/>
        <v>617.13427115007948</v>
      </c>
      <c r="EO54" s="59">
        <f ca="1">AVERAGE(OFFSET($EN$3,0,0,'Données projet'!$E$15+1,1))-AVERAGE(OFFSET($H$3,0,0,'Données projet'!$E$15+1,1))</f>
        <v>190.21499310415584</v>
      </c>
      <c r="EP54" s="59">
        <f t="shared" si="46"/>
        <v>136.15730566500173</v>
      </c>
      <c r="EQ54" s="15">
        <f>IF(ISNA(VLOOKUP(A54,'Données projet'!$A$191:$I$211,3,0)),0,VLOOKUP(A54,'Données projet'!$A$191:$I$211,3,0))</f>
        <v>2</v>
      </c>
      <c r="ER54" s="15">
        <f>IF(ISNA(VLOOKUP(A54,'Données projet'!$A$191:$I$211,4,0)),0,VLOOKUP(A54,'Données projet'!$A$191:$I$211,4,0))</f>
        <v>37.685897435897431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1.4416666666666664</v>
      </c>
      <c r="FE54" s="12">
        <f>IF('Données projet'!$A$218&gt;35,FE53+FD54-FM53,IF(A54&lt;'Données projet'!$A$218,$FB$205^A54,IF(A54='Données projet'!$A$218,'Données projet'!$B$218,FE53+FD54-FM53)))</f>
        <v>55.650000000000027</v>
      </c>
      <c r="FF54" s="17">
        <f>FE54*VLOOKUP('Données projet'!$B$16,Paramètres!$A$1:$I$89,3,0)*VLOOKUP('Données projet'!$B$16,Paramètres!$A$1:$I$89,5,0)</f>
        <v>64.108800000000016</v>
      </c>
      <c r="FG54" s="13">
        <f t="shared" si="47"/>
        <v>18.203064100813179</v>
      </c>
      <c r="FH54" s="20">
        <f t="shared" si="22"/>
        <v>143.35982997558298</v>
      </c>
      <c r="FI54" s="59">
        <f t="shared" si="23"/>
        <v>436.69316330891627</v>
      </c>
      <c r="FJ54" s="59">
        <f ca="1">AVERAGE(OFFSET($FI$3,0,0,'Données projet'!$E$16+1,1))-AVERAGE(OFFSET($H$3,0,0,'Données projet'!$E$16+1,1))</f>
        <v>14.847345852478327</v>
      </c>
      <c r="FK54" s="59">
        <f t="shared" si="48"/>
        <v>46.764428272166299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0.99146584175327201</v>
      </c>
      <c r="FS54" s="21">
        <f>EXP(-LN(2)/2)*FS53+(1-EXP(-LN(2)/2))/(LN(2)/2)*FM54*FP54*VLOOKUP('Données projet'!$B$16,Paramètres!$A$1:$I$89,3,0)*0.475*44/12</f>
        <v>1.3624204035280103E-3</v>
      </c>
      <c r="FT54" s="22">
        <f t="shared" si="24"/>
        <v>0.99282826215679998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8.8736263736263741</v>
      </c>
      <c r="N55" s="13">
        <f>IF('Données projet'!$A$36&gt;35,N54+M55-V54,IF(A55&lt;'Données projet'!$A$36,$K$205^A55,IF(A55='Données projet'!$A$36,'Données projet'!$B$36,N54+M55-V54)))</f>
        <v>171.82142857142858</v>
      </c>
      <c r="O55" s="13">
        <f>N55*VLOOKUP('Données projet'!$B$9,Paramètres!$A$1:$I$89,3,0)*VLOOKUP('Données projet'!$B$9,Paramètres!$A$1:$I$89,5,0)</f>
        <v>155.4640285714286</v>
      </c>
      <c r="P55" s="13">
        <f t="shared" si="33"/>
        <v>39.817708233223598</v>
      </c>
      <c r="Q55" s="20">
        <f t="shared" si="53"/>
        <v>340.11569160143591</v>
      </c>
      <c r="R55" s="59">
        <f t="shared" si="0"/>
        <v>633.44902493476923</v>
      </c>
      <c r="S55" s="59">
        <f ca="1">AVERAGE(OFFSET($R$3,0,0,'Données projet'!$E$9+1,1))-AVERAGE(OFFSET($H$3,0,0,'Données projet'!$E$9+1,1))</f>
        <v>221.7429870520005</v>
      </c>
      <c r="T55" s="59">
        <f t="shared" si="34"/>
        <v>182.2029938397186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6.8</v>
      </c>
      <c r="AI55" s="13">
        <f>IF('Données projet'!$A$62&gt;35,AI54+AH55-AQ54,IF(A55&lt;'Données projet'!$A$62,$AF$205^A55,IF(A55='Données projet'!$A$62,'Données projet'!$B$62,AI54+AH55-AQ54)))</f>
        <v>255.59999999999985</v>
      </c>
      <c r="AJ55" s="13">
        <f>AI55*VLOOKUP('Données projet'!$B$10,Paramètres!$A$1:$I$89,3,0)*VLOOKUP('Données projet'!$B$10,Paramètres!$A$1:$I$89,5,0)</f>
        <v>203.35535999999991</v>
      </c>
      <c r="AK55" s="13">
        <f t="shared" si="35"/>
        <v>50.480858741452501</v>
      </c>
      <c r="AL55" s="20">
        <f t="shared" si="4"/>
        <v>442.09808097469619</v>
      </c>
      <c r="AM55" s="59">
        <f t="shared" si="5"/>
        <v>735.4314143080295</v>
      </c>
      <c r="AN55" s="59">
        <f ca="1">AVERAGE(OFFSET($AM$3,0,0,'Données projet'!$E$10+1,1))-AVERAGE(OFFSET($H$3,0,0,'Données projet'!$E$10+1,1))</f>
        <v>260.20517190557814</v>
      </c>
      <c r="AO55" s="59">
        <f t="shared" si="36"/>
        <v>307.22009971147133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2.1105562922378449</v>
      </c>
      <c r="AV55" s="21">
        <f>EXP(-LN(2)/25)*AV54+(1-EXP(-LN(2)/25))/(LN(2)/25)*Calculateur!AQ55*Calculateur!AS55*VLOOKUP('Données projet'!$B$10,Paramètres!$A$1:$I$89,3,0)*0.475*44/12</f>
        <v>11.149683823110797</v>
      </c>
      <c r="AW55" s="21">
        <f>EXP(-LN(2)/2)*AW54+(1-EXP(-LN(2)/2))/(LN(2)/2)*AQ55*AT55*VLOOKUP('Données projet'!$B$10,Paramètres!$A$1:$I$89,3,0)*0.475*44/12</f>
        <v>1.1737809693729144E-2</v>
      </c>
      <c r="AX55" s="21">
        <f t="shared" si="6"/>
        <v>13.271977925042371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18</v>
      </c>
      <c r="BD55" s="12">
        <f>IF('Données projet'!$A$88&gt;35,BD54+BC55-BL54,IF(A55&lt;'Données projet'!$A$88,$BA$205^A55,IF(A55='Données projet'!$A$88,'Données projet'!$B$88,BD54+BC55-BL54)))</f>
        <v>363.99999999999972</v>
      </c>
      <c r="BE55" s="13">
        <f>BD55*VLOOKUP('Données projet'!$B$11,Paramètres!$A$1:$I$89,3,0)*VLOOKUP('Données projet'!$B$11,Paramètres!$A$1:$I$89,5,0)</f>
        <v>217.67199999999985</v>
      </c>
      <c r="BF55" s="13">
        <f t="shared" si="37"/>
        <v>53.60859357546002</v>
      </c>
      <c r="BG55" s="20">
        <f t="shared" si="7"/>
        <v>472.48036714392589</v>
      </c>
      <c r="BH55" s="59">
        <f t="shared" si="8"/>
        <v>765.8137004772592</v>
      </c>
      <c r="BI55" s="59">
        <f ca="1">AVERAGE(OFFSET($BH$3,0,0,'Données projet'!$E$11+1,1))-AVERAGE(OFFSET($H$3,0,0,'Données projet'!$E$11+1,1))</f>
        <v>316.58509520829671</v>
      </c>
      <c r="BJ55" s="59">
        <f t="shared" si="38"/>
        <v>240.71332110643596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1.6393872325468846</v>
      </c>
      <c r="BQ55" s="21">
        <f>EXP(-LN(2)/25)*BQ54+(1-EXP(-LN(2)/25))/(LN(2)/25)*Calculateur!BL55*Calculateur!BN55*VLOOKUP('Données projet'!$B$11,Paramètres!$A$1:$I$89,3,0)*0.475*44/12</f>
        <v>8.2960941228821596</v>
      </c>
      <c r="BR55" s="21">
        <f>EXP(-LN(2)/2)*BR54+(1-EXP(-LN(2)/2))/(LN(2)/2)*BL55*BO55*VLOOKUP('Données projet'!$B$11,Paramètres!$A$1:$I$89,3,0)*0.475*44/12</f>
        <v>1.0712569858467198E-2</v>
      </c>
      <c r="BS55" s="22">
        <f t="shared" si="9"/>
        <v>9.9461939252875116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15.6</v>
      </c>
      <c r="BY55" s="12">
        <f>IF('Données projet'!$A$114&gt;35,BY54+BX55-CG54,IF(A55&lt;'Données projet'!$A$114,$BV$205^A55,IF(A55='Données projet'!$A$114,'Données projet'!$B$114,BY54+BX55-CG54)))</f>
        <v>322.19999999999987</v>
      </c>
      <c r="BZ55" s="13">
        <f>BY55*VLOOKUP('Données projet'!$B$12,Paramètres!$A$1:$I$89,3,0)*VLOOKUP('Données projet'!$B$12,Paramètres!$A$1:$I$89,5,0)</f>
        <v>192.67559999999995</v>
      </c>
      <c r="CA55" s="13">
        <f t="shared" si="39"/>
        <v>48.131007733172943</v>
      </c>
      <c r="CB55" s="20">
        <f t="shared" si="10"/>
        <v>419.40484180194272</v>
      </c>
      <c r="CC55" s="59">
        <f t="shared" si="11"/>
        <v>712.73817513527604</v>
      </c>
      <c r="CD55" s="59">
        <f ca="1">AVERAGE(OFFSET($CC$3,0,0,'Données projet'!$E$12+1,1))-AVERAGE(OFFSET($H$3,0,0,'Données projet'!$E$12+1,1))</f>
        <v>270.30888762640245</v>
      </c>
      <c r="CE55" s="59">
        <f t="shared" si="40"/>
        <v>202.23783851977691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1.3853976613072261</v>
      </c>
      <c r="CL55" s="21">
        <f>EXP(-LN(2)/25)*CL54+(1-EXP(-LN(2)/25))/(LN(2)/25)*Calculateur!CG55*Calculateur!CI55*VLOOKUP('Données projet'!$B$12,Paramètres!$A$1:$I$89,3,0)*0.475*44/12</f>
        <v>6.6808156813946526</v>
      </c>
      <c r="CM55" s="21">
        <f>EXP(-LN(2)/2)*CM54+(1-EXP(-LN(2)/2))/(LN(2)/2)*CG55*CJ55*VLOOKUP('Données projet'!$B$12,Paramètres!$A$1:$I$89,3,0)*0.475*44/12</f>
        <v>9.0295940363586836E-3</v>
      </c>
      <c r="CN55" s="22">
        <f t="shared" si="12"/>
        <v>8.0752429367382366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6.8</v>
      </c>
      <c r="CT55" s="12">
        <f>IF('Données projet'!$A$140&gt;35,CT54+CS55-DB54,IF(A55&lt;'Données projet'!$A$140,$CQ$205^A55,IF(A55='Données projet'!$A$140,'Données projet'!$B$140,CT54+CS55-DB54)))</f>
        <v>255.59999999999985</v>
      </c>
      <c r="CU55" s="17">
        <f>CT55*VLOOKUP('Données projet'!$B$13,Paramètres!$A$1:$I$89,3,0)*VLOOKUP('Données projet'!$B$13,Paramètres!$A$1:$I$89,5,0)</f>
        <v>171.45647999999989</v>
      </c>
      <c r="CV55" s="13">
        <f t="shared" si="41"/>
        <v>43.416064516104512</v>
      </c>
      <c r="CW55" s="20">
        <f t="shared" si="13"/>
        <v>374.23634836554851</v>
      </c>
      <c r="CX55" s="59">
        <f t="shared" si="14"/>
        <v>667.56968169888182</v>
      </c>
      <c r="CY55" s="59">
        <f ca="1">AVERAGE(OFFSET($CX$3,0,0,'Données projet'!$E$13+1,1))-AVERAGE(OFFSET($H$3,0,0,'Données projet'!$E$13+1,1))</f>
        <v>207.93042467236967</v>
      </c>
      <c r="CZ55" s="59">
        <f t="shared" si="42"/>
        <v>250.70954318710835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1.7794886385534767</v>
      </c>
      <c r="DG55" s="21">
        <f>EXP(-LN(2)/25)*DG54+(1-EXP(-LN(2)/25))/(LN(2)/25)*Calculateur!DB55*Calculateur!DD55*VLOOKUP('Données projet'!$B$13,Paramètres!$A$1:$I$89,3,0)*0.475*44/12</f>
        <v>9.4007138116424418</v>
      </c>
      <c r="DH55" s="21">
        <f>EXP(-LN(2)/2)*DH54+(1-EXP(-LN(2)/2))/(LN(2)/2)*DB55*DE55*VLOOKUP('Données projet'!$B$13,Paramètres!$A$1:$I$89,3,0)*0.475*44/12</f>
        <v>9.8965846437324145E-3</v>
      </c>
      <c r="DI55" s="22">
        <f t="shared" si="15"/>
        <v>11.190099034839651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5.6</v>
      </c>
      <c r="DO55" s="12">
        <f>IF('Données projet'!$A$166&gt;35,DO54+DN55-DW54,IF(A55&lt;'Données projet'!$A$166,$DL$205^A55,IF(A55='Données projet'!$A$166,'Données projet'!$B$166,DO54+DN55-DW54)))</f>
        <v>213.19999999999973</v>
      </c>
      <c r="DP55" s="17">
        <f>DO55*VLOOKUP('Données projet'!$B$14,Paramètres!$A$1:$I$89,3,0)*VLOOKUP('Données projet'!$B$14,Paramètres!$A$1:$I$89,5,0)</f>
        <v>143.01455999999982</v>
      </c>
      <c r="DQ55" s="13">
        <f t="shared" si="43"/>
        <v>36.986740267426512</v>
      </c>
      <c r="DR55" s="20">
        <f t="shared" si="16"/>
        <v>313.50226463243422</v>
      </c>
      <c r="DS55" s="59">
        <f t="shared" si="17"/>
        <v>606.83559796576753</v>
      </c>
      <c r="DT55" s="59">
        <f ca="1">AVERAGE(OFFSET($DS$3,0,0,'Données projet'!$E$14+1,1))-AVERAGE(OFFSET($H$3,0,0,'Données projet'!$E$14+1,1))</f>
        <v>156.63226020379989</v>
      </c>
      <c r="DU55" s="59">
        <f t="shared" si="44"/>
        <v>196.0481096619543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4.7109741946405173</v>
      </c>
      <c r="EC55" s="21">
        <f>EXP(-LN(2)/2)*EC54+(1-EXP(-LN(2)/2))/(LN(2)/2)*DW55*DZ55*VLOOKUP('Données projet'!$B$14,Paramètres!$A$1:$I$89,3,0)*0.475*44/12</f>
        <v>4.4304056651009978E-3</v>
      </c>
      <c r="ED55" s="22">
        <f t="shared" si="18"/>
        <v>4.715404600305618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6.3942307692307665</v>
      </c>
      <c r="EJ55" s="12">
        <f>IF('Données projet'!$A$192&gt;35,EJ54+EI55-ER54,IF(A55&lt;'Données projet'!$A$192,$EG$205^A55,IF(A55='Données projet'!$A$192,'Données projet'!$B$192,EJ54+EI55-ER54)))</f>
        <v>114.49679487179483</v>
      </c>
      <c r="EK55" s="17">
        <f>EJ55*VLOOKUP('Données projet'!$B$15,Paramètres!$A$1:$I$89,3,0)*VLOOKUP('Données projet'!$B$15,Paramètres!$A$1:$I$89,5,0)</f>
        <v>116.09974999999996</v>
      </c>
      <c r="EL55" s="13">
        <f t="shared" si="45"/>
        <v>30.763588103307637</v>
      </c>
      <c r="EM55" s="20">
        <f t="shared" si="19"/>
        <v>255.78698052992738</v>
      </c>
      <c r="EN55" s="59">
        <f t="shared" si="20"/>
        <v>549.12031386326066</v>
      </c>
      <c r="EO55" s="59">
        <f ca="1">AVERAGE(OFFSET($EN$3,0,0,'Données projet'!$E$15+1,1))-AVERAGE(OFFSET($H$3,0,0,'Données projet'!$E$15+1,1))</f>
        <v>190.21499310415584</v>
      </c>
      <c r="EP55" s="59">
        <f t="shared" si="46"/>
        <v>136.15730566500173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1.4416666666666664</v>
      </c>
      <c r="FE55" s="12">
        <f>IF('Données projet'!$A$218&gt;35,FE54+FD55-FM54,IF(A55&lt;'Données projet'!$A$218,$FB$205^A55,IF(A55='Données projet'!$A$218,'Données projet'!$B$218,FE54+FD55-FM54)))</f>
        <v>57.091666666666697</v>
      </c>
      <c r="FF55" s="17">
        <f>FE55*VLOOKUP('Données projet'!$B$16,Paramètres!$A$1:$I$89,3,0)*VLOOKUP('Données projet'!$B$16,Paramètres!$A$1:$I$89,5,0)</f>
        <v>65.769600000000025</v>
      </c>
      <c r="FG55" s="13">
        <f t="shared" si="47"/>
        <v>18.619119190525762</v>
      </c>
      <c r="FH55" s="20">
        <f t="shared" si="22"/>
        <v>146.97701925683239</v>
      </c>
      <c r="FI55" s="59">
        <f t="shared" si="23"/>
        <v>440.31035259016573</v>
      </c>
      <c r="FJ55" s="59">
        <f ca="1">AVERAGE(OFFSET($FI$3,0,0,'Données projet'!$E$16+1,1))-AVERAGE(OFFSET($H$3,0,0,'Données projet'!$E$16+1,1))</f>
        <v>14.847345852478327</v>
      </c>
      <c r="FK55" s="59">
        <f t="shared" si="48"/>
        <v>46.764428272166299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0.96435415617160625</v>
      </c>
      <c r="FS55" s="21">
        <f>EXP(-LN(2)/2)*FS54+(1-EXP(-LN(2)/2))/(LN(2)/2)*FM55*FP55*VLOOKUP('Données projet'!$B$16,Paramètres!$A$1:$I$89,3,0)*0.475*44/12</f>
        <v>9.6337670616156862E-4</v>
      </c>
      <c r="FT55" s="22">
        <f t="shared" si="24"/>
        <v>0.96531753287776778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8.8736263736263741</v>
      </c>
      <c r="N56" s="13">
        <f>IF('Données projet'!$A$36&gt;35,N55+M56-V55,IF(A56&lt;'Données projet'!$A$36,$K$205^A56,IF(A56='Données projet'!$A$36,'Données projet'!$B$36,N55+M56-V55)))</f>
        <v>180.69505494505495</v>
      </c>
      <c r="O56" s="13">
        <f>N56*VLOOKUP('Données projet'!$B$9,Paramètres!$A$1:$I$89,3,0)*VLOOKUP('Données projet'!$B$9,Paramètres!$A$1:$I$89,5,0)</f>
        <v>163.49288571428571</v>
      </c>
      <c r="P56" s="13">
        <f t="shared" si="33"/>
        <v>41.629352600963429</v>
      </c>
      <c r="Q56" s="20">
        <f t="shared" si="53"/>
        <v>357.25456506572556</v>
      </c>
      <c r="R56" s="59">
        <f t="shared" si="0"/>
        <v>650.58789839905887</v>
      </c>
      <c r="S56" s="59">
        <f ca="1">AVERAGE(OFFSET($R$3,0,0,'Données projet'!$E$9+1,1))-AVERAGE(OFFSET($H$3,0,0,'Données projet'!$E$9+1,1))</f>
        <v>221.7429870520005</v>
      </c>
      <c r="T56" s="59">
        <f t="shared" si="34"/>
        <v>182.2029938397186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6.8</v>
      </c>
      <c r="AI56" s="13">
        <f>IF('Données projet'!$A$62&gt;35,AI55+AH56-AQ55,IF(A56&lt;'Données projet'!$A$62,$AF$205^A56,IF(A56='Données projet'!$A$62,'Données projet'!$B$62,AI55+AH56-AQ55)))</f>
        <v>262.39999999999986</v>
      </c>
      <c r="AJ56" s="13">
        <f>AI56*VLOOKUP('Données projet'!$B$10,Paramètres!$A$1:$I$89,3,0)*VLOOKUP('Données projet'!$B$10,Paramètres!$A$1:$I$89,5,0)</f>
        <v>208.7654399999999</v>
      </c>
      <c r="AK56" s="13">
        <f t="shared" si="35"/>
        <v>51.665710768737398</v>
      </c>
      <c r="AL56" s="20">
        <f t="shared" si="4"/>
        <v>453.58425425555083</v>
      </c>
      <c r="AM56" s="59">
        <f t="shared" si="5"/>
        <v>746.91758758888409</v>
      </c>
      <c r="AN56" s="59">
        <f ca="1">AVERAGE(OFFSET($AM$3,0,0,'Données projet'!$E$10+1,1))-AVERAGE(OFFSET($H$3,0,0,'Données projet'!$E$10+1,1))</f>
        <v>260.20517190557814</v>
      </c>
      <c r="AO56" s="59">
        <f t="shared" si="36"/>
        <v>307.22009971147133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2.0691695706592874</v>
      </c>
      <c r="AV56" s="21">
        <f>EXP(-LN(2)/25)*AV55+(1-EXP(-LN(2)/25))/(LN(2)/25)*Calculateur!AQ56*Calculateur!AS56*VLOOKUP('Données projet'!$B$10,Paramètres!$A$1:$I$89,3,0)*0.475*44/12</f>
        <v>10.844795132631443</v>
      </c>
      <c r="AW56" s="21">
        <f>EXP(-LN(2)/2)*AW55+(1-EXP(-LN(2)/2))/(LN(2)/2)*AQ56*AT56*VLOOKUP('Données projet'!$B$10,Paramètres!$A$1:$I$89,3,0)*0.475*44/12</f>
        <v>8.2998848307130699E-3</v>
      </c>
      <c r="AX56" s="21">
        <f t="shared" si="6"/>
        <v>12.922264588121443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18</v>
      </c>
      <c r="BD56" s="12">
        <f>IF('Données projet'!$A$88&gt;35,BD55+BC56-BL55,IF(A56&lt;'Données projet'!$A$88,$BA$205^A56,IF(A56='Données projet'!$A$88,'Données projet'!$B$88,BD55+BC56-BL55)))</f>
        <v>381.99999999999972</v>
      </c>
      <c r="BE56" s="13">
        <f>BD56*VLOOKUP('Données projet'!$B$11,Paramètres!$A$1:$I$89,3,0)*VLOOKUP('Données projet'!$B$11,Paramètres!$A$1:$I$89,5,0)</f>
        <v>228.43599999999986</v>
      </c>
      <c r="BF56" s="13">
        <f t="shared" si="37"/>
        <v>55.944373989427987</v>
      </c>
      <c r="BG56" s="20">
        <f t="shared" si="7"/>
        <v>495.29581803158686</v>
      </c>
      <c r="BH56" s="59">
        <f t="shared" si="8"/>
        <v>788.62915136492018</v>
      </c>
      <c r="BI56" s="59">
        <f ca="1">AVERAGE(OFFSET($BH$3,0,0,'Données projet'!$E$11+1,1))-AVERAGE(OFFSET($H$3,0,0,'Données projet'!$E$11+1,1))</f>
        <v>316.58509520829671</v>
      </c>
      <c r="BJ56" s="59">
        <f t="shared" si="38"/>
        <v>240.71332110643596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1.6072398488441173</v>
      </c>
      <c r="BQ56" s="21">
        <f>EXP(-LN(2)/25)*BQ55+(1-EXP(-LN(2)/25))/(LN(2)/25)*Calculateur!BL56*Calculateur!BN56*VLOOKUP('Données projet'!$B$11,Paramètres!$A$1:$I$89,3,0)*0.475*44/12</f>
        <v>8.0692369928193184</v>
      </c>
      <c r="BR56" s="21">
        <f>EXP(-LN(2)/2)*BR55+(1-EXP(-LN(2)/2))/(LN(2)/2)*BL56*BO56*VLOOKUP('Données projet'!$B$11,Paramètres!$A$1:$I$89,3,0)*0.475*44/12</f>
        <v>7.5749307908567704E-3</v>
      </c>
      <c r="BS56" s="22">
        <f t="shared" si="9"/>
        <v>9.6840517724542909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15.6</v>
      </c>
      <c r="BY56" s="12">
        <f>IF('Données projet'!$A$114&gt;35,BY55+BX56-CG55,IF(A56&lt;'Données projet'!$A$114,$BV$205^A56,IF(A56='Données projet'!$A$114,'Données projet'!$B$114,BY55+BX56-CG55)))</f>
        <v>337.7999999999999</v>
      </c>
      <c r="BZ56" s="13">
        <f>BY56*VLOOKUP('Données projet'!$B$12,Paramètres!$A$1:$I$89,3,0)*VLOOKUP('Données projet'!$B$12,Paramètres!$A$1:$I$89,5,0)</f>
        <v>202.00439999999995</v>
      </c>
      <c r="CA56" s="13">
        <f t="shared" si="39"/>
        <v>50.184418192658491</v>
      </c>
      <c r="CB56" s="20">
        <f t="shared" si="10"/>
        <v>439.22885835221342</v>
      </c>
      <c r="CC56" s="59">
        <f t="shared" si="11"/>
        <v>732.56219168554674</v>
      </c>
      <c r="CD56" s="59">
        <f ca="1">AVERAGE(OFFSET($CC$3,0,0,'Données projet'!$E$12+1,1))-AVERAGE(OFFSET($H$3,0,0,'Données projet'!$E$12+1,1))</f>
        <v>270.30888762640245</v>
      </c>
      <c r="CE56" s="59">
        <f t="shared" si="40"/>
        <v>202.23783851977691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1.3582308581781271</v>
      </c>
      <c r="CL56" s="21">
        <f>EXP(-LN(2)/25)*CL55+(1-EXP(-LN(2)/25))/(LN(2)/25)*Calculateur!CG56*Calculateur!CI56*VLOOKUP('Données projet'!$B$12,Paramètres!$A$1:$I$89,3,0)*0.475*44/12</f>
        <v>6.4981284252580886</v>
      </c>
      <c r="CM56" s="21">
        <f>EXP(-LN(2)/2)*CM55+(1-EXP(-LN(2)/2))/(LN(2)/2)*CG56*CJ56*VLOOKUP('Données projet'!$B$12,Paramètres!$A$1:$I$89,3,0)*0.475*44/12</f>
        <v>6.3848871744708342E-3</v>
      </c>
      <c r="CN56" s="22">
        <f t="shared" si="12"/>
        <v>7.8627441706106866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6.8</v>
      </c>
      <c r="CT56" s="12">
        <f>IF('Données projet'!$A$140&gt;35,CT55+CS56-DB55,IF(A56&lt;'Données projet'!$A$140,$CQ$205^A56,IF(A56='Données projet'!$A$140,'Données projet'!$B$140,CT55+CS56-DB55)))</f>
        <v>262.39999999999986</v>
      </c>
      <c r="CU56" s="17">
        <f>CT56*VLOOKUP('Données projet'!$B$13,Paramètres!$A$1:$I$89,3,0)*VLOOKUP('Données projet'!$B$13,Paramètres!$A$1:$I$89,5,0)</f>
        <v>176.01791999999992</v>
      </c>
      <c r="CV56" s="13">
        <f t="shared" si="41"/>
        <v>44.435096548069509</v>
      </c>
      <c r="CW56" s="20">
        <f t="shared" si="13"/>
        <v>383.95567048788757</v>
      </c>
      <c r="CX56" s="59">
        <f t="shared" si="14"/>
        <v>677.28900382122083</v>
      </c>
      <c r="CY56" s="59">
        <f ca="1">AVERAGE(OFFSET($CX$3,0,0,'Données projet'!$E$13+1,1))-AVERAGE(OFFSET($H$3,0,0,'Données projet'!$E$13+1,1))</f>
        <v>207.93042467236967</v>
      </c>
      <c r="CZ56" s="59">
        <f t="shared" si="42"/>
        <v>250.70954318710835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1.7445939517323401</v>
      </c>
      <c r="DG56" s="21">
        <f>EXP(-LN(2)/25)*DG55+(1-EXP(-LN(2)/25))/(LN(2)/25)*Calculateur!DB56*Calculateur!DD56*VLOOKUP('Données projet'!$B$13,Paramètres!$A$1:$I$89,3,0)*0.475*44/12</f>
        <v>9.1436507981010262</v>
      </c>
      <c r="DH56" s="21">
        <f>EXP(-LN(2)/2)*DH55+(1-EXP(-LN(2)/2))/(LN(2)/2)*DB56*DE56*VLOOKUP('Données projet'!$B$13,Paramètres!$A$1:$I$89,3,0)*0.475*44/12</f>
        <v>6.9979421121698429E-3</v>
      </c>
      <c r="DI56" s="22">
        <f t="shared" si="15"/>
        <v>10.895242691945535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5.6</v>
      </c>
      <c r="DO56" s="12">
        <f>IF('Données projet'!$A$166&gt;35,DO55+DN56-DW55,IF(A56&lt;'Données projet'!$A$166,$DL$205^A56,IF(A56='Données projet'!$A$166,'Données projet'!$B$166,DO55+DN56-DW55)))</f>
        <v>218.79999999999973</v>
      </c>
      <c r="DP56" s="17">
        <f>DO56*VLOOKUP('Données projet'!$B$14,Paramètres!$A$1:$I$89,3,0)*VLOOKUP('Données projet'!$B$14,Paramètres!$A$1:$I$89,5,0)</f>
        <v>146.7710399999998</v>
      </c>
      <c r="DQ56" s="13">
        <f t="shared" si="43"/>
        <v>37.84386610242121</v>
      </c>
      <c r="DR56" s="20">
        <f t="shared" si="16"/>
        <v>321.53762812838323</v>
      </c>
      <c r="DS56" s="59">
        <f t="shared" si="17"/>
        <v>614.87096146171655</v>
      </c>
      <c r="DT56" s="59">
        <f ca="1">AVERAGE(OFFSET($DS$3,0,0,'Données projet'!$E$14+1,1))-AVERAGE(OFFSET($H$3,0,0,'Données projet'!$E$14+1,1))</f>
        <v>156.63226020379989</v>
      </c>
      <c r="DU56" s="59">
        <f t="shared" si="44"/>
        <v>196.0481096619543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4.5821523575487069</v>
      </c>
      <c r="EC56" s="21">
        <f>EXP(-LN(2)/2)*EC55+(1-EXP(-LN(2)/2))/(LN(2)/2)*DW56*DZ56*VLOOKUP('Données projet'!$B$14,Paramètres!$A$1:$I$89,3,0)*0.475*44/12</f>
        <v>3.1327698892002118E-3</v>
      </c>
      <c r="ED56" s="22">
        <f t="shared" si="18"/>
        <v>4.5852851274379072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6.3942307692307665</v>
      </c>
      <c r="EJ56" s="12">
        <f>IF('Données projet'!$A$192&gt;35,EJ55+EI56-ER55,IF(A56&lt;'Données projet'!$A$192,$EG$205^A56,IF(A56='Données projet'!$A$192,'Données projet'!$B$192,EJ55+EI56-ER55)))</f>
        <v>120.89102564102561</v>
      </c>
      <c r="EK56" s="17">
        <f>EJ56*VLOOKUP('Données projet'!$B$15,Paramètres!$A$1:$I$89,3,0)*VLOOKUP('Données projet'!$B$15,Paramètres!$A$1:$I$89,5,0)</f>
        <v>122.58349999999999</v>
      </c>
      <c r="EL56" s="13">
        <f t="shared" si="45"/>
        <v>32.276809219275542</v>
      </c>
      <c r="EM56" s="20">
        <f t="shared" si="19"/>
        <v>269.71503855690486</v>
      </c>
      <c r="EN56" s="59">
        <f t="shared" si="20"/>
        <v>563.04837189023817</v>
      </c>
      <c r="EO56" s="59">
        <f ca="1">AVERAGE(OFFSET($EN$3,0,0,'Données projet'!$E$15+1,1))-AVERAGE(OFFSET($H$3,0,0,'Données projet'!$E$15+1,1))</f>
        <v>190.21499310415584</v>
      </c>
      <c r="EP56" s="59">
        <f t="shared" si="46"/>
        <v>136.15730566500173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1.4416666666666664</v>
      </c>
      <c r="FE56" s="12">
        <f>IF('Données projet'!$A$218&gt;35,FE55+FD56-FM55,IF(A56&lt;'Données projet'!$A$218,$FB$205^A56,IF(A56='Données projet'!$A$218,'Données projet'!$B$218,FE55+FD56-FM55)))</f>
        <v>58.53333333333336</v>
      </c>
      <c r="FF56" s="17">
        <f>FE56*VLOOKUP('Données projet'!$B$16,Paramètres!$A$1:$I$89,3,0)*VLOOKUP('Données projet'!$B$16,Paramètres!$A$1:$I$89,5,0)</f>
        <v>67.43040000000002</v>
      </c>
      <c r="FG56" s="13">
        <f t="shared" si="47"/>
        <v>19.0339530244689</v>
      </c>
      <c r="FH56" s="20">
        <f t="shared" si="22"/>
        <v>150.59208151761672</v>
      </c>
      <c r="FI56" s="59">
        <f t="shared" si="23"/>
        <v>443.92541485095001</v>
      </c>
      <c r="FJ56" s="59">
        <f ca="1">AVERAGE(OFFSET($FI$3,0,0,'Données projet'!$E$16+1,1))-AVERAGE(OFFSET($H$3,0,0,'Données projet'!$E$16+1,1))</f>
        <v>14.847345852478327</v>
      </c>
      <c r="FK56" s="59">
        <f t="shared" si="48"/>
        <v>46.764428272166299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0.93798384105791266</v>
      </c>
      <c r="FS56" s="21">
        <f>EXP(-LN(2)/2)*FS55+(1-EXP(-LN(2)/2))/(LN(2)/2)*FM56*FP56*VLOOKUP('Données projet'!$B$16,Paramètres!$A$1:$I$89,3,0)*0.475*44/12</f>
        <v>6.8121020176400526E-4</v>
      </c>
      <c r="FT56" s="22">
        <f t="shared" si="24"/>
        <v>0.9386650512596767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8.8736263736263741</v>
      </c>
      <c r="N57" s="13">
        <f>IF('Données projet'!$A$36&gt;35,N56+M57-V56,IF(A57&lt;'Données projet'!$A$36,$K$205^A57,IF(A57='Données projet'!$A$36,'Données projet'!$B$36,N56+M57-V56)))</f>
        <v>189.56868131868131</v>
      </c>
      <c r="O57" s="13">
        <f>N57*VLOOKUP('Données projet'!$B$9,Paramètres!$A$1:$I$89,3,0)*VLOOKUP('Données projet'!$B$9,Paramètres!$A$1:$I$89,5,0)</f>
        <v>171.52174285714284</v>
      </c>
      <c r="P57" s="13">
        <f t="shared" si="33"/>
        <v>43.430666394282092</v>
      </c>
      <c r="Q57" s="20">
        <f t="shared" si="53"/>
        <v>374.37544611289837</v>
      </c>
      <c r="R57" s="59">
        <f t="shared" si="0"/>
        <v>667.70877944623169</v>
      </c>
      <c r="S57" s="59">
        <f ca="1">AVERAGE(OFFSET($R$3,0,0,'Données projet'!$E$9+1,1))-AVERAGE(OFFSET($H$3,0,0,'Données projet'!$E$9+1,1))</f>
        <v>221.7429870520005</v>
      </c>
      <c r="T57" s="59">
        <f t="shared" si="34"/>
        <v>182.2029938397186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6.8</v>
      </c>
      <c r="AI57" s="13">
        <f>IF('Données projet'!$A$62&gt;35,AI56+AH57-AQ56,IF(A57&lt;'Données projet'!$A$62,$AF$205^A57,IF(A57='Données projet'!$A$62,'Données projet'!$B$62,AI56+AH57-AQ56)))</f>
        <v>269.19999999999987</v>
      </c>
      <c r="AJ57" s="13">
        <f>AI57*VLOOKUP('Données projet'!$B$10,Paramètres!$A$1:$I$89,3,0)*VLOOKUP('Données projet'!$B$10,Paramètres!$A$1:$I$89,5,0)</f>
        <v>214.17551999999992</v>
      </c>
      <c r="AK57" s="13">
        <f t="shared" si="35"/>
        <v>52.846993696165399</v>
      </c>
      <c r="AL57" s="20">
        <f t="shared" si="4"/>
        <v>465.06421135415462</v>
      </c>
      <c r="AM57" s="59">
        <f t="shared" si="5"/>
        <v>758.39754468748788</v>
      </c>
      <c r="AN57" s="59">
        <f ca="1">AVERAGE(OFFSET($AM$3,0,0,'Données projet'!$E$10+1,1))-AVERAGE(OFFSET($H$3,0,0,'Données projet'!$E$10+1,1))</f>
        <v>260.20517190557814</v>
      </c>
      <c r="AO57" s="59">
        <f t="shared" si="36"/>
        <v>307.22009971147133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2.0285944174474779</v>
      </c>
      <c r="AV57" s="21">
        <f>EXP(-LN(2)/25)*AV56+(1-EXP(-LN(2)/25))/(LN(2)/25)*Calculateur!AQ57*Calculateur!AS57*VLOOKUP('Données projet'!$B$10,Paramètres!$A$1:$I$89,3,0)*0.475*44/12</f>
        <v>10.548243639426646</v>
      </c>
      <c r="AW57" s="21">
        <f>EXP(-LN(2)/2)*AW56+(1-EXP(-LN(2)/2))/(LN(2)/2)*AQ57*AT57*VLOOKUP('Données projet'!$B$10,Paramètres!$A$1:$I$89,3,0)*0.475*44/12</f>
        <v>5.8689048468645718E-3</v>
      </c>
      <c r="AX57" s="21">
        <f t="shared" si="6"/>
        <v>12.582706961720989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18</v>
      </c>
      <c r="BD57" s="12">
        <f>IF('Données projet'!$A$88&gt;35,BD56+BC57-BL56,IF(A57&lt;'Données projet'!$A$88,$BA$205^A57,IF(A57='Données projet'!$A$88,'Données projet'!$B$88,BD56+BC57-BL56)))</f>
        <v>399.99999999999972</v>
      </c>
      <c r="BE57" s="13">
        <f>BD57*VLOOKUP('Données projet'!$B$11,Paramètres!$A$1:$I$89,3,0)*VLOOKUP('Données projet'!$B$11,Paramètres!$A$1:$I$89,5,0)</f>
        <v>239.19999999999985</v>
      </c>
      <c r="BF57" s="13">
        <f t="shared" si="37"/>
        <v>58.267373151570702</v>
      </c>
      <c r="BG57" s="20">
        <f t="shared" si="7"/>
        <v>518.08900823898523</v>
      </c>
      <c r="BH57" s="59">
        <f t="shared" si="8"/>
        <v>811.4223415723186</v>
      </c>
      <c r="BI57" s="59">
        <f ca="1">AVERAGE(OFFSET($BH$3,0,0,'Données projet'!$E$11+1,1))-AVERAGE(OFFSET($H$3,0,0,'Données projet'!$E$11+1,1))</f>
        <v>316.58509520829671</v>
      </c>
      <c r="BJ57" s="59">
        <f t="shared" si="38"/>
        <v>240.71332110643596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1.5757228557277934</v>
      </c>
      <c r="BQ57" s="21">
        <f>EXP(-LN(2)/25)*BQ56+(1-EXP(-LN(2)/25))/(LN(2)/25)*Calculateur!BL57*Calculateur!BN57*VLOOKUP('Données projet'!$B$11,Paramètres!$A$1:$I$89,3,0)*0.475*44/12</f>
        <v>7.8485832829079429</v>
      </c>
      <c r="BR57" s="21">
        <f>EXP(-LN(2)/2)*BR56+(1-EXP(-LN(2)/2))/(LN(2)/2)*BL57*BO57*VLOOKUP('Données projet'!$B$11,Paramètres!$A$1:$I$89,3,0)*0.475*44/12</f>
        <v>5.3562849292336E-3</v>
      </c>
      <c r="BS57" s="22">
        <f t="shared" si="9"/>
        <v>9.4296624235649684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15.6</v>
      </c>
      <c r="BY57" s="12">
        <f>IF('Données projet'!$A$114&gt;35,BY56+BX57-CG56,IF(A57&lt;'Données projet'!$A$114,$BV$205^A57,IF(A57='Données projet'!$A$114,'Données projet'!$B$114,BY56+BX57-CG56)))</f>
        <v>353.39999999999992</v>
      </c>
      <c r="BZ57" s="13">
        <f>BY57*VLOOKUP('Données projet'!$B$12,Paramètres!$A$1:$I$89,3,0)*VLOOKUP('Données projet'!$B$12,Paramètres!$A$1:$I$89,5,0)</f>
        <v>211.33319999999995</v>
      </c>
      <c r="CA57" s="13">
        <f t="shared" si="39"/>
        <v>52.226816049120416</v>
      </c>
      <c r="CB57" s="20">
        <f t="shared" si="10"/>
        <v>459.03369461888457</v>
      </c>
      <c r="CC57" s="59">
        <f t="shared" si="11"/>
        <v>752.36702795221788</v>
      </c>
      <c r="CD57" s="59">
        <f ca="1">AVERAGE(OFFSET($CC$3,0,0,'Données projet'!$E$12+1,1))-AVERAGE(OFFSET($H$3,0,0,'Données projet'!$E$12+1,1))</f>
        <v>270.30888762640245</v>
      </c>
      <c r="CE57" s="59">
        <f t="shared" si="40"/>
        <v>202.23783851977691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1.3315967794882759</v>
      </c>
      <c r="CL57" s="21">
        <f>EXP(-LN(2)/25)*CL56+(1-EXP(-LN(2)/25))/(LN(2)/25)*Calculateur!CG57*Calculateur!CI57*VLOOKUP('Données projet'!$B$12,Paramètres!$A$1:$I$89,3,0)*0.475*44/12</f>
        <v>6.3204367617476844</v>
      </c>
      <c r="CM57" s="21">
        <f>EXP(-LN(2)/2)*CM56+(1-EXP(-LN(2)/2))/(LN(2)/2)*CG57*CJ57*VLOOKUP('Données projet'!$B$12,Paramètres!$A$1:$I$89,3,0)*0.475*44/12</f>
        <v>4.5147970181793418E-3</v>
      </c>
      <c r="CN57" s="22">
        <f t="shared" si="12"/>
        <v>7.6565483382541393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6.8</v>
      </c>
      <c r="CT57" s="12">
        <f>IF('Données projet'!$A$140&gt;35,CT56+CS57-DB56,IF(A57&lt;'Données projet'!$A$140,$CQ$205^A57,IF(A57='Données projet'!$A$140,'Données projet'!$B$140,CT56+CS57-DB56)))</f>
        <v>269.19999999999987</v>
      </c>
      <c r="CU57" s="17">
        <f>CT57*VLOOKUP('Données projet'!$B$13,Paramètres!$A$1:$I$89,3,0)*VLOOKUP('Données projet'!$B$13,Paramètres!$A$1:$I$89,5,0)</f>
        <v>180.57935999999992</v>
      </c>
      <c r="CV57" s="13">
        <f t="shared" si="41"/>
        <v>45.451058975564287</v>
      </c>
      <c r="CW57" s="20">
        <f t="shared" si="13"/>
        <v>393.66964638244093</v>
      </c>
      <c r="CX57" s="59">
        <f t="shared" si="14"/>
        <v>687.00297971577425</v>
      </c>
      <c r="CY57" s="59">
        <f ca="1">AVERAGE(OFFSET($CX$3,0,0,'Données projet'!$E$13+1,1))-AVERAGE(OFFSET($H$3,0,0,'Données projet'!$E$13+1,1))</f>
        <v>207.93042467236967</v>
      </c>
      <c r="CZ57" s="59">
        <f t="shared" si="42"/>
        <v>250.70954318710835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1.7103835284361086</v>
      </c>
      <c r="DG57" s="21">
        <f>EXP(-LN(2)/25)*DG56+(1-EXP(-LN(2)/25))/(LN(2)/25)*Calculateur!DB57*Calculateur!DD57*VLOOKUP('Données projet'!$B$13,Paramètres!$A$1:$I$89,3,0)*0.475*44/12</f>
        <v>8.8936171861832563</v>
      </c>
      <c r="DH57" s="21">
        <f>EXP(-LN(2)/2)*DH56+(1-EXP(-LN(2)/2))/(LN(2)/2)*DB57*DE57*VLOOKUP('Données projet'!$B$13,Paramètres!$A$1:$I$89,3,0)*0.475*44/12</f>
        <v>4.9482923218662073E-3</v>
      </c>
      <c r="DI57" s="22">
        <f t="shared" si="15"/>
        <v>10.608949006941232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5.6</v>
      </c>
      <c r="DO57" s="12">
        <f>IF('Données projet'!$A$166&gt;35,DO56+DN57-DW56,IF(A57&lt;'Données projet'!$A$166,$DL$205^A57,IF(A57='Données projet'!$A$166,'Données projet'!$B$166,DO56+DN57-DW56)))</f>
        <v>224.39999999999972</v>
      </c>
      <c r="DP57" s="17">
        <f>DO57*VLOOKUP('Données projet'!$B$14,Paramètres!$A$1:$I$89,3,0)*VLOOKUP('Données projet'!$B$14,Paramètres!$A$1:$I$89,5,0)</f>
        <v>150.52751999999981</v>
      </c>
      <c r="DQ57" s="13">
        <f t="shared" si="43"/>
        <v>38.698441928903449</v>
      </c>
      <c r="DR57" s="20">
        <f t="shared" si="16"/>
        <v>329.56855035950645</v>
      </c>
      <c r="DS57" s="59">
        <f t="shared" si="17"/>
        <v>622.90188369283976</v>
      </c>
      <c r="DT57" s="59">
        <f ca="1">AVERAGE(OFFSET($DS$3,0,0,'Données projet'!$E$14+1,1))-AVERAGE(OFFSET($H$3,0,0,'Données projet'!$E$14+1,1))</f>
        <v>156.63226020379989</v>
      </c>
      <c r="DU57" s="59">
        <f t="shared" si="44"/>
        <v>196.0481096619543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4.4568531603666175</v>
      </c>
      <c r="EC57" s="21">
        <f>EXP(-LN(2)/2)*EC56+(1-EXP(-LN(2)/2))/(LN(2)/2)*DW57*DZ57*VLOOKUP('Données projet'!$B$14,Paramètres!$A$1:$I$89,3,0)*0.475*44/12</f>
        <v>2.2152028325504989E-3</v>
      </c>
      <c r="ED57" s="22">
        <f t="shared" si="18"/>
        <v>4.4590683631991679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6.3942307692307665</v>
      </c>
      <c r="EJ57" s="12">
        <f>IF('Données projet'!$A$192&gt;35,EJ56+EI57-ER56,IF(A57&lt;'Données projet'!$A$192,$EG$205^A57,IF(A57='Données projet'!$A$192,'Données projet'!$B$192,EJ56+EI57-ER56)))</f>
        <v>127.28525641025638</v>
      </c>
      <c r="EK57" s="17">
        <f>EJ57*VLOOKUP('Données projet'!$B$15,Paramètres!$A$1:$I$89,3,0)*VLOOKUP('Données projet'!$B$15,Paramètres!$A$1:$I$89,5,0)</f>
        <v>129.06724999999997</v>
      </c>
      <c r="EL57" s="13">
        <f t="shared" si="45"/>
        <v>33.780737949764791</v>
      </c>
      <c r="EM57" s="20">
        <f t="shared" si="19"/>
        <v>283.62691234584025</v>
      </c>
      <c r="EN57" s="59">
        <f t="shared" si="20"/>
        <v>576.96024567917357</v>
      </c>
      <c r="EO57" s="59">
        <f ca="1">AVERAGE(OFFSET($EN$3,0,0,'Données projet'!$E$15+1,1))-AVERAGE(OFFSET($H$3,0,0,'Données projet'!$E$15+1,1))</f>
        <v>190.21499310415584</v>
      </c>
      <c r="EP57" s="59">
        <f t="shared" si="46"/>
        <v>136.15730566500173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1.4416666666666664</v>
      </c>
      <c r="FE57" s="12">
        <f>IF('Données projet'!$A$218&gt;35,FE56+FD57-FM56,IF(A57&lt;'Données projet'!$A$218,$FB$205^A57,IF(A57='Données projet'!$A$218,'Données projet'!$B$218,FE56+FD57-FM56)))</f>
        <v>59.975000000000023</v>
      </c>
      <c r="FF57" s="17">
        <f>FE57*VLOOKUP('Données projet'!$B$16,Paramètres!$A$1:$I$89,3,0)*VLOOKUP('Données projet'!$B$16,Paramètres!$A$1:$I$89,5,0)</f>
        <v>69.091200000000029</v>
      </c>
      <c r="FG57" s="13">
        <f t="shared" si="47"/>
        <v>19.447599141980522</v>
      </c>
      <c r="FH57" s="20">
        <f t="shared" si="22"/>
        <v>154.20507517228276</v>
      </c>
      <c r="FI57" s="59">
        <f t="shared" si="23"/>
        <v>447.53840850561608</v>
      </c>
      <c r="FJ57" s="59">
        <f ca="1">AVERAGE(OFFSET($FI$3,0,0,'Données projet'!$E$16+1,1))-AVERAGE(OFFSET($H$3,0,0,'Données projet'!$E$16+1,1))</f>
        <v>14.847345852478327</v>
      </c>
      <c r="FK57" s="59">
        <f t="shared" si="48"/>
        <v>46.764428272166299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0.91233462359775763</v>
      </c>
      <c r="FS57" s="21">
        <f>EXP(-LN(2)/2)*FS56+(1-EXP(-LN(2)/2))/(LN(2)/2)*FM57*FP57*VLOOKUP('Données projet'!$B$16,Paramètres!$A$1:$I$89,3,0)*0.475*44/12</f>
        <v>4.8168835308078442E-4</v>
      </c>
      <c r="FT57" s="22">
        <f t="shared" si="24"/>
        <v>0.91281631195083845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198.44230769230768</v>
      </c>
      <c r="L58" s="12">
        <f>VLOOKUP(A58,'Données projet'!$A$35:$I$55,9,0)</f>
        <v>8.8736263736263741</v>
      </c>
      <c r="M58" s="12">
        <f t="array" ref="M58">INDEX(L:L,MIN(IF(ISNUMBER(L58:L254),ROW(L58:L254),"")))</f>
        <v>8.8736263736263741</v>
      </c>
      <c r="N58" s="13">
        <f>IF('Données projet'!$A$36&gt;35,N57+M58-V57,IF(A58&lt;'Données projet'!$A$36,$K$205^A58,IF(A58='Données projet'!$A$36,'Données projet'!$B$36,N57+M58-V57)))</f>
        <v>198.44230769230768</v>
      </c>
      <c r="O58" s="13">
        <f>N58*VLOOKUP('Données projet'!$B$9,Paramètres!$A$1:$I$89,3,0)*VLOOKUP('Données projet'!$B$9,Paramètres!$A$1:$I$89,5,0)</f>
        <v>179.55059999999997</v>
      </c>
      <c r="P58" s="13">
        <f t="shared" si="33"/>
        <v>45.22218840459005</v>
      </c>
      <c r="Q58" s="20">
        <f t="shared" si="53"/>
        <v>391.47927313799431</v>
      </c>
      <c r="R58" s="59">
        <f t="shared" si="0"/>
        <v>684.81260647132763</v>
      </c>
      <c r="S58" s="59">
        <f ca="1">AVERAGE(OFFSET($R$3,0,0,'Données projet'!$E$9+1,1))-AVERAGE(OFFSET($H$3,0,0,'Données projet'!$E$9+1,1))</f>
        <v>221.7429870520005</v>
      </c>
      <c r="T58" s="59">
        <f t="shared" si="34"/>
        <v>182.2029938397186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45.147435897435898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6.8</v>
      </c>
      <c r="AI58" s="13">
        <f>IF('Données projet'!$A$62&gt;35,AI57+AH58-AQ57,IF(A58&lt;'Données projet'!$A$62,$AF$205^A58,IF(A58='Données projet'!$A$62,'Données projet'!$B$62,AI57+AH58-AQ57)))</f>
        <v>275.99999999999989</v>
      </c>
      <c r="AJ58" s="13">
        <f>AI58*VLOOKUP('Données projet'!$B$10,Paramètres!$A$1:$I$89,3,0)*VLOOKUP('Données projet'!$B$10,Paramètres!$A$1:$I$89,5,0)</f>
        <v>219.58559999999991</v>
      </c>
      <c r="AK58" s="13">
        <f t="shared" si="35"/>
        <v>54.024808047218549</v>
      </c>
      <c r="AL58" s="20">
        <f t="shared" si="4"/>
        <v>476.53812734890556</v>
      </c>
      <c r="AM58" s="59">
        <f t="shared" si="5"/>
        <v>769.87146068223888</v>
      </c>
      <c r="AN58" s="59">
        <f ca="1">AVERAGE(OFFSET($AM$3,0,0,'Données projet'!$E$10+1,1))-AVERAGE(OFFSET($H$3,0,0,'Données projet'!$E$10+1,1))</f>
        <v>260.20517190557814</v>
      </c>
      <c r="AO58" s="59">
        <f t="shared" si="36"/>
        <v>307.22009971147133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1.9888149182417523</v>
      </c>
      <c r="AV58" s="21">
        <f>EXP(-LN(2)/25)*AV57+(1-EXP(-LN(2)/25))/(LN(2)/25)*Calculateur!AQ58*Calculateur!AS58*VLOOKUP('Données projet'!$B$10,Paramètres!$A$1:$I$89,3,0)*0.475*44/12</f>
        <v>10.2598013623985</v>
      </c>
      <c r="AW58" s="21">
        <f>EXP(-LN(2)/2)*AW57+(1-EXP(-LN(2)/2))/(LN(2)/2)*AQ58*AT58*VLOOKUP('Données projet'!$B$10,Paramètres!$A$1:$I$89,3,0)*0.475*44/12</f>
        <v>4.149942415356535E-3</v>
      </c>
      <c r="AX58" s="21">
        <f t="shared" si="6"/>
        <v>12.252766223055609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18</v>
      </c>
      <c r="BD58" s="12">
        <f>IF('Données projet'!$A$88&gt;35,BD57+BC58-BL57,IF(A58&lt;'Données projet'!$A$88,$BA$205^A58,IF(A58='Données projet'!$A$88,'Données projet'!$B$88,BD57+BC58-BL57)))</f>
        <v>417.99999999999972</v>
      </c>
      <c r="BE58" s="13">
        <f>BD58*VLOOKUP('Données projet'!$B$11,Paramètres!$A$1:$I$89,3,0)*VLOOKUP('Données projet'!$B$11,Paramètres!$A$1:$I$89,5,0)</f>
        <v>249.96399999999986</v>
      </c>
      <c r="BF58" s="13">
        <f t="shared" si="37"/>
        <v>60.578231929558321</v>
      </c>
      <c r="BG58" s="20">
        <f t="shared" si="7"/>
        <v>540.86105394398044</v>
      </c>
      <c r="BH58" s="59">
        <f t="shared" si="8"/>
        <v>834.19438727731381</v>
      </c>
      <c r="BI58" s="59">
        <f ca="1">AVERAGE(OFFSET($BH$3,0,0,'Données projet'!$E$11+1,1))-AVERAGE(OFFSET($H$3,0,0,'Données projet'!$E$11+1,1))</f>
        <v>316.58509520829671</v>
      </c>
      <c r="BJ58" s="59">
        <f t="shared" si="38"/>
        <v>240.71332110643596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1.544823891623013</v>
      </c>
      <c r="BQ58" s="21">
        <f>EXP(-LN(2)/25)*BQ57+(1-EXP(-LN(2)/25))/(LN(2)/25)*Calculateur!BL58*Calculateur!BN58*VLOOKUP('Données projet'!$B$11,Paramètres!$A$1:$I$89,3,0)*0.475*44/12</f>
        <v>7.633963360297769</v>
      </c>
      <c r="BR58" s="21">
        <f>EXP(-LN(2)/2)*BR57+(1-EXP(-LN(2)/2))/(LN(2)/2)*BL58*BO58*VLOOKUP('Données projet'!$B$11,Paramètres!$A$1:$I$89,3,0)*0.475*44/12</f>
        <v>3.7874653954283856E-3</v>
      </c>
      <c r="BS58" s="22">
        <f t="shared" si="9"/>
        <v>9.1825747173162107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15.6</v>
      </c>
      <c r="BY58" s="12">
        <f>IF('Données projet'!$A$114&gt;35,BY57+BX58-CG57,IF(A58&lt;'Données projet'!$A$114,$BV$205^A58,IF(A58='Données projet'!$A$114,'Données projet'!$B$114,BY57+BX58-CG57)))</f>
        <v>368.99999999999994</v>
      </c>
      <c r="BZ58" s="13">
        <f>BY58*VLOOKUP('Données projet'!$B$12,Paramètres!$A$1:$I$89,3,0)*VLOOKUP('Données projet'!$B$12,Paramètres!$A$1:$I$89,5,0)</f>
        <v>220.66199999999998</v>
      </c>
      <c r="CA58" s="13">
        <f t="shared" si="39"/>
        <v>54.258742979954953</v>
      </c>
      <c r="CB58" s="20">
        <f t="shared" si="10"/>
        <v>478.82029402342147</v>
      </c>
      <c r="CC58" s="59">
        <f t="shared" si="11"/>
        <v>772.15362735675478</v>
      </c>
      <c r="CD58" s="59">
        <f ca="1">AVERAGE(OFFSET($CC$3,0,0,'Données projet'!$E$12+1,1))-AVERAGE(OFFSET($H$3,0,0,'Données projet'!$E$12+1,1))</f>
        <v>270.30888762640245</v>
      </c>
      <c r="CE58" s="59">
        <f t="shared" si="40"/>
        <v>202.23783851977691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1.305484978836349</v>
      </c>
      <c r="CL58" s="21">
        <f>EXP(-LN(2)/25)*CL57+(1-EXP(-LN(2)/25))/(LN(2)/25)*Calculateur!CG58*Calculateur!CI58*VLOOKUP('Données projet'!$B$12,Paramètres!$A$1:$I$89,3,0)*0.475*44/12</f>
        <v>6.1476040861203707</v>
      </c>
      <c r="CM58" s="21">
        <f>EXP(-LN(2)/2)*CM57+(1-EXP(-LN(2)/2))/(LN(2)/2)*CG58*CJ58*VLOOKUP('Données projet'!$B$12,Paramètres!$A$1:$I$89,3,0)*0.475*44/12</f>
        <v>3.1924435872354171E-3</v>
      </c>
      <c r="CN58" s="22">
        <f t="shared" si="12"/>
        <v>7.4562815085439551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6.8</v>
      </c>
      <c r="CT58" s="12">
        <f>IF('Données projet'!$A$140&gt;35,CT57+CS58-DB57,IF(A58&lt;'Données projet'!$A$140,$CQ$205^A58,IF(A58='Données projet'!$A$140,'Données projet'!$B$140,CT57+CS58-DB57)))</f>
        <v>275.99999999999989</v>
      </c>
      <c r="CU58" s="17">
        <f>CT58*VLOOKUP('Données projet'!$B$13,Paramètres!$A$1:$I$89,3,0)*VLOOKUP('Données projet'!$B$13,Paramètres!$A$1:$I$89,5,0)</f>
        <v>185.14079999999993</v>
      </c>
      <c r="CV58" s="13">
        <f t="shared" si="41"/>
        <v>46.464038253813463</v>
      </c>
      <c r="CW58" s="20">
        <f t="shared" si="13"/>
        <v>403.37842662539168</v>
      </c>
      <c r="CX58" s="59">
        <f t="shared" si="14"/>
        <v>696.711759958725</v>
      </c>
      <c r="CY58" s="59">
        <f ca="1">AVERAGE(OFFSET($CX$3,0,0,'Données projet'!$E$13+1,1))-AVERAGE(OFFSET($H$3,0,0,'Données projet'!$E$13+1,1))</f>
        <v>207.93042467236967</v>
      </c>
      <c r="CZ58" s="59">
        <f t="shared" si="42"/>
        <v>250.70954318710835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1.6768439506744184</v>
      </c>
      <c r="DG58" s="21">
        <f>EXP(-LN(2)/25)*DG57+(1-EXP(-LN(2)/25))/(LN(2)/25)*Calculateur!DB58*Calculateur!DD58*VLOOKUP('Données projet'!$B$13,Paramètres!$A$1:$I$89,3,0)*0.475*44/12</f>
        <v>8.6504207565320748</v>
      </c>
      <c r="DH58" s="21">
        <f>EXP(-LN(2)/2)*DH57+(1-EXP(-LN(2)/2))/(LN(2)/2)*DB58*DE58*VLOOKUP('Données projet'!$B$13,Paramètres!$A$1:$I$89,3,0)*0.475*44/12</f>
        <v>3.4989710560849215E-3</v>
      </c>
      <c r="DI58" s="22">
        <f t="shared" si="15"/>
        <v>10.33076367826258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5.6</v>
      </c>
      <c r="DO58" s="12">
        <f>IF('Données projet'!$A$166&gt;35,DO57+DN58-DW57,IF(A58&lt;'Données projet'!$A$166,$DL$205^A58,IF(A58='Données projet'!$A$166,'Données projet'!$B$166,DO57+DN58-DW57)))</f>
        <v>229.99999999999972</v>
      </c>
      <c r="DP58" s="17">
        <f>DO58*VLOOKUP('Données projet'!$B$14,Paramètres!$A$1:$I$89,3,0)*VLOOKUP('Données projet'!$B$14,Paramètres!$A$1:$I$89,5,0)</f>
        <v>154.28399999999982</v>
      </c>
      <c r="DQ58" s="13">
        <f t="shared" si="43"/>
        <v>39.550538702560964</v>
      </c>
      <c r="DR58" s="20">
        <f t="shared" si="16"/>
        <v>337.59515490695998</v>
      </c>
      <c r="DS58" s="59">
        <f t="shared" si="17"/>
        <v>630.92848824029329</v>
      </c>
      <c r="DT58" s="59">
        <f ca="1">AVERAGE(OFFSET($DS$3,0,0,'Données projet'!$E$14+1,1))-AVERAGE(OFFSET($H$3,0,0,'Données projet'!$E$14+1,1))</f>
        <v>156.63226020379989</v>
      </c>
      <c r="DU58" s="59">
        <f t="shared" si="44"/>
        <v>196.0481096619543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4.3349802763206711</v>
      </c>
      <c r="EC58" s="21">
        <f>EXP(-LN(2)/2)*EC57+(1-EXP(-LN(2)/2))/(LN(2)/2)*DW58*DZ58*VLOOKUP('Données projet'!$B$14,Paramètres!$A$1:$I$89,3,0)*0.475*44/12</f>
        <v>1.5663849446001059E-3</v>
      </c>
      <c r="ED58" s="22">
        <f t="shared" si="18"/>
        <v>4.3365466612652712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6.3942307692307665</v>
      </c>
      <c r="EJ58" s="12">
        <f>IF('Données projet'!$A$192&gt;35,EJ57+EI58-ER57,IF(A58&lt;'Données projet'!$A$192,$EG$205^A58,IF(A58='Données projet'!$A$192,'Données projet'!$B$192,EJ57+EI58-ER57)))</f>
        <v>133.67948717948715</v>
      </c>
      <c r="EK58" s="17">
        <f>EJ58*VLOOKUP('Données projet'!$B$15,Paramètres!$A$1:$I$89,3,0)*VLOOKUP('Données projet'!$B$15,Paramètres!$A$1:$I$89,5,0)</f>
        <v>135.55099999999999</v>
      </c>
      <c r="EL58" s="13">
        <f t="shared" si="45"/>
        <v>35.275894365560525</v>
      </c>
      <c r="EM58" s="20">
        <f t="shared" si="19"/>
        <v>297.52350768668458</v>
      </c>
      <c r="EN58" s="59">
        <f t="shared" si="20"/>
        <v>590.8568410200179</v>
      </c>
      <c r="EO58" s="59">
        <f ca="1">AVERAGE(OFFSET($EN$3,0,0,'Données projet'!$E$15+1,1))-AVERAGE(OFFSET($H$3,0,0,'Données projet'!$E$15+1,1))</f>
        <v>190.21499310415584</v>
      </c>
      <c r="EP58" s="59">
        <f t="shared" si="46"/>
        <v>136.15730566500173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1.4416666666666664</v>
      </c>
      <c r="FE58" s="12">
        <f>IF('Données projet'!$A$218&gt;35,FE57+FD58-FM57,IF(A58&lt;'Données projet'!$A$218,$FB$205^A58,IF(A58='Données projet'!$A$218,'Données projet'!$B$218,FE57+FD58-FM57)))</f>
        <v>61.416666666666686</v>
      </c>
      <c r="FF58" s="17">
        <f>FE58*VLOOKUP('Données projet'!$B$16,Paramètres!$A$1:$I$89,3,0)*VLOOKUP('Données projet'!$B$16,Paramètres!$A$1:$I$89,5,0)</f>
        <v>70.75200000000001</v>
      </c>
      <c r="FG58" s="13">
        <f t="shared" si="47"/>
        <v>19.860089378022678</v>
      </c>
      <c r="FH58" s="20">
        <f t="shared" si="22"/>
        <v>157.81605566672286</v>
      </c>
      <c r="FI58" s="59">
        <f t="shared" si="23"/>
        <v>451.1493890000562</v>
      </c>
      <c r="FJ58" s="59">
        <f ca="1">AVERAGE(OFFSET($FI$3,0,0,'Données projet'!$E$16+1,1))-AVERAGE(OFFSET($H$3,0,0,'Données projet'!$E$16+1,1))</f>
        <v>14.847345852478327</v>
      </c>
      <c r="FK58" s="59">
        <f t="shared" si="48"/>
        <v>46.764428272166299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0.88738678533788429</v>
      </c>
      <c r="FS58" s="21">
        <f>EXP(-LN(2)/2)*FS57+(1-EXP(-LN(2)/2))/(LN(2)/2)*FM58*FP58*VLOOKUP('Données projet'!$B$16,Paramètres!$A$1:$I$89,3,0)*0.475*44/12</f>
        <v>3.4060510088200268E-4</v>
      </c>
      <c r="FT58" s="22">
        <f t="shared" si="24"/>
        <v>0.88772739043876625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8.374198717948719</v>
      </c>
      <c r="N59" s="13">
        <f>IF('Données projet'!$A$36&gt;35,N58+M59-V58,IF(A59&lt;'Données projet'!$A$36,$K$205^A59,IF(A59='Données projet'!$A$36,'Données projet'!$B$36,N58+M59-V58)))</f>
        <v>161.6690705128205</v>
      </c>
      <c r="O59" s="13">
        <f>N59*VLOOKUP('Données projet'!$B$9,Paramètres!$A$1:$I$89,3,0)*VLOOKUP('Données projet'!$B$9,Paramètres!$A$1:$I$89,5,0)</f>
        <v>146.27817499999998</v>
      </c>
      <c r="P59" s="13">
        <f t="shared" si="33"/>
        <v>37.731554716297467</v>
      </c>
      <c r="Q59" s="20">
        <f t="shared" si="53"/>
        <v>320.48361258921801</v>
      </c>
      <c r="R59" s="59">
        <f t="shared" si="0"/>
        <v>613.81694592255133</v>
      </c>
      <c r="S59" s="59">
        <f ca="1">AVERAGE(OFFSET($R$3,0,0,'Données projet'!$E$9+1,1))-AVERAGE(OFFSET($H$3,0,0,'Données projet'!$E$9+1,1))</f>
        <v>221.7429870520005</v>
      </c>
      <c r="T59" s="59">
        <f t="shared" si="34"/>
        <v>182.2029938397186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6.8</v>
      </c>
      <c r="AI59" s="13">
        <f>IF('Données projet'!$A$62&gt;35,AI58+AH59-AQ58,IF(A59&lt;'Données projet'!$A$62,$AF$205^A59,IF(A59='Données projet'!$A$62,'Données projet'!$B$62,AI58+AH59-AQ58)))</f>
        <v>282.7999999999999</v>
      </c>
      <c r="AJ59" s="13">
        <f>AI59*VLOOKUP('Données projet'!$B$10,Paramètres!$A$1:$I$89,3,0)*VLOOKUP('Données projet'!$B$10,Paramètres!$A$1:$I$89,5,0)</f>
        <v>224.99567999999994</v>
      </c>
      <c r="AK59" s="13">
        <f t="shared" si="35"/>
        <v>55.199249109676629</v>
      </c>
      <c r="AL59" s="20">
        <f t="shared" si="4"/>
        <v>488.00616819935334</v>
      </c>
      <c r="AM59" s="59">
        <f t="shared" si="5"/>
        <v>781.33950153268665</v>
      </c>
      <c r="AN59" s="59">
        <f ca="1">AVERAGE(OFFSET($AM$3,0,0,'Données projet'!$E$10+1,1))-AVERAGE(OFFSET($H$3,0,0,'Données projet'!$E$10+1,1))</f>
        <v>260.20517190557814</v>
      </c>
      <c r="AO59" s="59">
        <f t="shared" si="36"/>
        <v>307.22009971147133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1.9498154707523523</v>
      </c>
      <c r="AV59" s="21">
        <f>EXP(-LN(2)/25)*AV58+(1-EXP(-LN(2)/25))/(LN(2)/25)*Calculateur!AQ59*Calculateur!AS59*VLOOKUP('Données projet'!$B$10,Paramètres!$A$1:$I$89,3,0)*0.475*44/12</f>
        <v>9.9792465546042077</v>
      </c>
      <c r="AW59" s="21">
        <f>EXP(-LN(2)/2)*AW58+(1-EXP(-LN(2)/2))/(LN(2)/2)*AQ59*AT59*VLOOKUP('Données projet'!$B$10,Paramètres!$A$1:$I$89,3,0)*0.475*44/12</f>
        <v>2.9344524234322859E-3</v>
      </c>
      <c r="AX59" s="21">
        <f t="shared" si="6"/>
        <v>11.931996477779991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18</v>
      </c>
      <c r="BD59" s="12">
        <f>IF('Données projet'!$A$88&gt;35,BD58+BC59-BL58,IF(A59&lt;'Données projet'!$A$88,$BA$205^A59,IF(A59='Données projet'!$A$88,'Données projet'!$B$88,BD58+BC59-BL58)))</f>
        <v>435.99999999999972</v>
      </c>
      <c r="BE59" s="13">
        <f>BD59*VLOOKUP('Données projet'!$B$11,Paramètres!$A$1:$I$89,3,0)*VLOOKUP('Données projet'!$B$11,Paramètres!$A$1:$I$89,5,0)</f>
        <v>260.72799999999984</v>
      </c>
      <c r="BF59" s="13">
        <f t="shared" si="37"/>
        <v>62.87753287516481</v>
      </c>
      <c r="BG59" s="20">
        <f t="shared" si="7"/>
        <v>563.61296975757841</v>
      </c>
      <c r="BH59" s="59">
        <f t="shared" si="8"/>
        <v>856.94630309091167</v>
      </c>
      <c r="BI59" s="59">
        <f ca="1">AVERAGE(OFFSET($BH$3,0,0,'Données projet'!$E$11+1,1))-AVERAGE(OFFSET($H$3,0,0,'Données projet'!$E$11+1,1))</f>
        <v>316.58509520829671</v>
      </c>
      <c r="BJ59" s="59">
        <f t="shared" si="38"/>
        <v>240.71332110643596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1.5145308373578201</v>
      </c>
      <c r="BQ59" s="21">
        <f>EXP(-LN(2)/25)*BQ58+(1-EXP(-LN(2)/25))/(LN(2)/25)*Calculateur!BL59*Calculateur!BN59*VLOOKUP('Données projet'!$B$11,Paramètres!$A$1:$I$89,3,0)*0.475*44/12</f>
        <v>7.4252122307577411</v>
      </c>
      <c r="BR59" s="21">
        <f>EXP(-LN(2)/2)*BR58+(1-EXP(-LN(2)/2))/(LN(2)/2)*BL59*BO59*VLOOKUP('Données projet'!$B$11,Paramètres!$A$1:$I$89,3,0)*0.475*44/12</f>
        <v>2.6781424646168004E-3</v>
      </c>
      <c r="BS59" s="22">
        <f t="shared" si="9"/>
        <v>8.9424212105801786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15.6</v>
      </c>
      <c r="BY59" s="12">
        <f>IF('Données projet'!$A$114&gt;35,BY58+BX59-CG58,IF(A59&lt;'Données projet'!$A$114,$BV$205^A59,IF(A59='Données projet'!$A$114,'Données projet'!$B$114,BY58+BX59-CG58)))</f>
        <v>384.59999999999997</v>
      </c>
      <c r="BZ59" s="13">
        <f>BY59*VLOOKUP('Données projet'!$B$12,Paramètres!$A$1:$I$89,3,0)*VLOOKUP('Données projet'!$B$12,Paramètres!$A$1:$I$89,5,0)</f>
        <v>229.99080000000001</v>
      </c>
      <c r="CA59" s="13">
        <f t="shared" si="39"/>
        <v>56.280692271413919</v>
      </c>
      <c r="CB59" s="20">
        <f t="shared" si="10"/>
        <v>498.58951570604586</v>
      </c>
      <c r="CC59" s="59">
        <f t="shared" si="11"/>
        <v>791.92284903937912</v>
      </c>
      <c r="CD59" s="59">
        <f ca="1">AVERAGE(OFFSET($CC$3,0,0,'Données projet'!$E$12+1,1))-AVERAGE(OFFSET($H$3,0,0,'Données projet'!$E$12+1,1))</f>
        <v>270.30888762640245</v>
      </c>
      <c r="CE59" s="59">
        <f t="shared" si="40"/>
        <v>202.23783851977691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1.2798852146685804</v>
      </c>
      <c r="CL59" s="21">
        <f>EXP(-LN(2)/25)*CL58+(1-EXP(-LN(2)/25))/(LN(2)/25)*Calculateur!CG59*Calculateur!CI59*VLOOKUP('Données projet'!$B$12,Paramètres!$A$1:$I$89,3,0)*0.475*44/12</f>
        <v>5.9794975290969612</v>
      </c>
      <c r="CM59" s="21">
        <f>EXP(-LN(2)/2)*CM58+(1-EXP(-LN(2)/2))/(LN(2)/2)*CG59*CJ59*VLOOKUP('Données projet'!$B$12,Paramètres!$A$1:$I$89,3,0)*0.475*44/12</f>
        <v>2.2573985090896709E-3</v>
      </c>
      <c r="CN59" s="22">
        <f t="shared" si="12"/>
        <v>7.2616401422746319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6.8</v>
      </c>
      <c r="CT59" s="12">
        <f>IF('Données projet'!$A$140&gt;35,CT58+CS59-DB58,IF(A59&lt;'Données projet'!$A$140,$CQ$205^A59,IF(A59='Données projet'!$A$140,'Données projet'!$B$140,CT58+CS59-DB58)))</f>
        <v>282.7999999999999</v>
      </c>
      <c r="CU59" s="17">
        <f>CT59*VLOOKUP('Données projet'!$B$13,Paramètres!$A$1:$I$89,3,0)*VLOOKUP('Données projet'!$B$13,Paramètres!$A$1:$I$89,5,0)</f>
        <v>189.70223999999993</v>
      </c>
      <c r="CV59" s="13">
        <f t="shared" si="41"/>
        <v>47.474116335075863</v>
      </c>
      <c r="CW59" s="20">
        <f t="shared" si="13"/>
        <v>413.08215395025701</v>
      </c>
      <c r="CX59" s="59">
        <f t="shared" si="14"/>
        <v>706.41548728359032</v>
      </c>
      <c r="CY59" s="59">
        <f ca="1">AVERAGE(OFFSET($CX$3,0,0,'Données projet'!$E$13+1,1))-AVERAGE(OFFSET($H$3,0,0,'Données projet'!$E$13+1,1))</f>
        <v>207.93042467236967</v>
      </c>
      <c r="CZ59" s="59">
        <f t="shared" si="42"/>
        <v>250.70954318710835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1.6439620635755123</v>
      </c>
      <c r="DG59" s="21">
        <f>EXP(-LN(2)/25)*DG58+(1-EXP(-LN(2)/25))/(LN(2)/25)*Calculateur!DB59*Calculateur!DD59*VLOOKUP('Données projet'!$B$13,Paramètres!$A$1:$I$89,3,0)*0.475*44/12</f>
        <v>8.4138745460388478</v>
      </c>
      <c r="DH59" s="21">
        <f>EXP(-LN(2)/2)*DH58+(1-EXP(-LN(2)/2))/(LN(2)/2)*DB59*DE59*VLOOKUP('Données projet'!$B$13,Paramètres!$A$1:$I$89,3,0)*0.475*44/12</f>
        <v>2.4741461609331036E-3</v>
      </c>
      <c r="DI59" s="22">
        <f t="shared" si="15"/>
        <v>10.060310755775294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5.6</v>
      </c>
      <c r="DO59" s="12">
        <f>IF('Données projet'!$A$166&gt;35,DO58+DN59-DW58,IF(A59&lt;'Données projet'!$A$166,$DL$205^A59,IF(A59='Données projet'!$A$166,'Données projet'!$B$166,DO58+DN59-DW58)))</f>
        <v>235.59999999999971</v>
      </c>
      <c r="DP59" s="17">
        <f>DO59*VLOOKUP('Données projet'!$B$14,Paramètres!$A$1:$I$89,3,0)*VLOOKUP('Données projet'!$B$14,Paramètres!$A$1:$I$89,5,0)</f>
        <v>158.0404799999998</v>
      </c>
      <c r="DQ59" s="13">
        <f t="shared" si="43"/>
        <v>40.400223726842633</v>
      </c>
      <c r="DR59" s="20">
        <f t="shared" si="16"/>
        <v>345.61755899091719</v>
      </c>
      <c r="DS59" s="59">
        <f t="shared" si="17"/>
        <v>638.9508923242505</v>
      </c>
      <c r="DT59" s="59">
        <f ca="1">AVERAGE(OFFSET($DS$3,0,0,'Données projet'!$E$14+1,1))-AVERAGE(OFFSET($H$3,0,0,'Données projet'!$E$14+1,1))</f>
        <v>156.63226020379989</v>
      </c>
      <c r="DU59" s="59">
        <f t="shared" si="44"/>
        <v>196.0481096619543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4.2164400126979773</v>
      </c>
      <c r="EC59" s="21">
        <f>EXP(-LN(2)/2)*EC58+(1-EXP(-LN(2)/2))/(LN(2)/2)*DW59*DZ59*VLOOKUP('Données projet'!$B$14,Paramètres!$A$1:$I$89,3,0)*0.475*44/12</f>
        <v>1.1076014162752495E-3</v>
      </c>
      <c r="ED59" s="22">
        <f t="shared" si="18"/>
        <v>4.2175476141142525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6.3942307692307665</v>
      </c>
      <c r="EJ59" s="12">
        <f>IF('Données projet'!$A$192&gt;35,EJ58+EI59-ER58,IF(A59&lt;'Données projet'!$A$192,$EG$205^A59,IF(A59='Données projet'!$A$192,'Données projet'!$B$192,EJ58+EI59-ER58)))</f>
        <v>140.07371794871793</v>
      </c>
      <c r="EK59" s="17">
        <f>EJ59*VLOOKUP('Données projet'!$B$15,Paramètres!$A$1:$I$89,3,0)*VLOOKUP('Données projet'!$B$15,Paramètres!$A$1:$I$89,5,0)</f>
        <v>142.03474999999997</v>
      </c>
      <c r="EL59" s="13">
        <f t="shared" si="45"/>
        <v>36.762745973606584</v>
      </c>
      <c r="EM59" s="20">
        <f t="shared" si="19"/>
        <v>311.40563882069802</v>
      </c>
      <c r="EN59" s="59">
        <f t="shared" si="20"/>
        <v>604.73897215403133</v>
      </c>
      <c r="EO59" s="59">
        <f ca="1">AVERAGE(OFFSET($EN$3,0,0,'Données projet'!$E$15+1,1))-AVERAGE(OFFSET($H$3,0,0,'Données projet'!$E$15+1,1))</f>
        <v>190.21499310415584</v>
      </c>
      <c r="EP59" s="59">
        <f t="shared" si="46"/>
        <v>136.15730566500173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1.4416666666666664</v>
      </c>
      <c r="FE59" s="12">
        <f>IF('Données projet'!$A$218&gt;35,FE58+FD59-FM58,IF(A59&lt;'Données projet'!$A$218,$FB$205^A59,IF(A59='Données projet'!$A$218,'Données projet'!$B$218,FE58+FD59-FM58)))</f>
        <v>62.858333333333348</v>
      </c>
      <c r="FF59" s="17">
        <f>FE59*VLOOKUP('Données projet'!$B$16,Paramètres!$A$1:$I$89,3,0)*VLOOKUP('Données projet'!$B$16,Paramètres!$A$1:$I$89,5,0)</f>
        <v>72.412800000000018</v>
      </c>
      <c r="FG59" s="13">
        <f t="shared" si="47"/>
        <v>20.271453987737519</v>
      </c>
      <c r="FH59" s="20">
        <f t="shared" si="22"/>
        <v>161.42507569530952</v>
      </c>
      <c r="FI59" s="59">
        <f t="shared" si="23"/>
        <v>454.75840902864286</v>
      </c>
      <c r="FJ59" s="59">
        <f ca="1">AVERAGE(OFFSET($FI$3,0,0,'Données projet'!$E$16+1,1))-AVERAGE(OFFSET($H$3,0,0,'Données projet'!$E$16+1,1))</f>
        <v>14.847345852478327</v>
      </c>
      <c r="FK59" s="59">
        <f t="shared" si="48"/>
        <v>46.764428272166299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0.8631211470271769</v>
      </c>
      <c r="FS59" s="21">
        <f>EXP(-LN(2)/2)*FS58+(1-EXP(-LN(2)/2))/(LN(2)/2)*FM59*FP59*VLOOKUP('Données projet'!$B$16,Paramètres!$A$1:$I$89,3,0)*0.475*44/12</f>
        <v>2.4084417654039224E-4</v>
      </c>
      <c r="FT59" s="22">
        <f t="shared" si="24"/>
        <v>0.86336199120371726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8.374198717948719</v>
      </c>
      <c r="N60" s="13">
        <f>IF('Données projet'!$A$36&gt;35,N59+M60-V59,IF(A60&lt;'Données projet'!$A$36,$K$205^A60,IF(A60='Données projet'!$A$36,'Données projet'!$B$36,N59+M60-V59)))</f>
        <v>170.04326923076923</v>
      </c>
      <c r="O60" s="13">
        <f>N60*VLOOKUP('Données projet'!$B$9,Paramètres!$A$1:$I$89,3,0)*VLOOKUP('Données projet'!$B$9,Paramètres!$A$1:$I$89,5,0)</f>
        <v>153.85514999999998</v>
      </c>
      <c r="P60" s="13">
        <f t="shared" si="33"/>
        <v>39.453384193994481</v>
      </c>
      <c r="Q60" s="20">
        <f t="shared" si="53"/>
        <v>336.67903038787364</v>
      </c>
      <c r="R60" s="59">
        <f t="shared" si="0"/>
        <v>630.01236372120695</v>
      </c>
      <c r="S60" s="59">
        <f ca="1">AVERAGE(OFFSET($R$3,0,0,'Données projet'!$E$9+1,1))-AVERAGE(OFFSET($H$3,0,0,'Données projet'!$E$9+1,1))</f>
        <v>221.7429870520005</v>
      </c>
      <c r="T60" s="59">
        <f t="shared" si="34"/>
        <v>182.2029938397186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6.8</v>
      </c>
      <c r="AI60" s="13">
        <f>IF('Données projet'!$A$62&gt;35,AI59+AH60-AQ59,IF(A60&lt;'Données projet'!$A$62,$AF$205^A60,IF(A60='Données projet'!$A$62,'Données projet'!$B$62,AI59+AH60-AQ59)))</f>
        <v>289.59999999999991</v>
      </c>
      <c r="AJ60" s="13">
        <f>AI60*VLOOKUP('Données projet'!$B$10,Paramètres!$A$1:$I$89,3,0)*VLOOKUP('Données projet'!$B$10,Paramètres!$A$1:$I$89,5,0)</f>
        <v>230.40575999999996</v>
      </c>
      <c r="AK60" s="13">
        <f t="shared" si="35"/>
        <v>56.370407327556237</v>
      </c>
      <c r="AL60" s="20">
        <f t="shared" si="4"/>
        <v>499.46849142882706</v>
      </c>
      <c r="AM60" s="59">
        <f t="shared" si="5"/>
        <v>792.80182476216032</v>
      </c>
      <c r="AN60" s="59">
        <f ca="1">AVERAGE(OFFSET($AM$3,0,0,'Données projet'!$E$10+1,1))-AVERAGE(OFFSET($H$3,0,0,'Données projet'!$E$10+1,1))</f>
        <v>260.20517190557814</v>
      </c>
      <c r="AO60" s="59">
        <f t="shared" si="36"/>
        <v>307.22009971147133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1.9115807786409051</v>
      </c>
      <c r="AV60" s="21">
        <f>EXP(-LN(2)/25)*AV59+(1-EXP(-LN(2)/25))/(LN(2)/25)*Calculateur!AQ60*Calculateur!AS60*VLOOKUP('Données projet'!$B$10,Paramètres!$A$1:$I$89,3,0)*0.475*44/12</f>
        <v>9.7063635327827864</v>
      </c>
      <c r="AW60" s="21">
        <f>EXP(-LN(2)/2)*AW59+(1-EXP(-LN(2)/2))/(LN(2)/2)*AQ60*AT60*VLOOKUP('Données projet'!$B$10,Paramètres!$A$1:$I$89,3,0)*0.475*44/12</f>
        <v>2.0749712076782675E-3</v>
      </c>
      <c r="AX60" s="21">
        <f t="shared" si="6"/>
        <v>11.62001928263137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18</v>
      </c>
      <c r="BD60" s="12">
        <f>IF('Données projet'!$A$88&gt;35,BD59+BC60-BL59,IF(A60&lt;'Données projet'!$A$88,$BA$205^A60,IF(A60='Données projet'!$A$88,'Données projet'!$B$88,BD59+BC60-BL59)))</f>
        <v>453.99999999999972</v>
      </c>
      <c r="BE60" s="13">
        <f>BD60*VLOOKUP('Données projet'!$B$11,Paramètres!$A$1:$I$89,3,0)*VLOOKUP('Données projet'!$B$11,Paramètres!$A$1:$I$89,5,0)</f>
        <v>271.49199999999985</v>
      </c>
      <c r="BF60" s="13">
        <f t="shared" si="37"/>
        <v>65.165807717935309</v>
      </c>
      <c r="BG60" s="20">
        <f t="shared" si="7"/>
        <v>586.3456817754037</v>
      </c>
      <c r="BH60" s="59">
        <f t="shared" si="8"/>
        <v>879.67901510873708</v>
      </c>
      <c r="BI60" s="59">
        <f ca="1">AVERAGE(OFFSET($BH$3,0,0,'Données projet'!$E$11+1,1))-AVERAGE(OFFSET($H$3,0,0,'Données projet'!$E$11+1,1))</f>
        <v>316.58509520829671</v>
      </c>
      <c r="BJ60" s="59">
        <f t="shared" si="38"/>
        <v>240.71332110643596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1.4848318114098291</v>
      </c>
      <c r="BQ60" s="21">
        <f>EXP(-LN(2)/25)*BQ59+(1-EXP(-LN(2)/25))/(LN(2)/25)*Calculateur!BL60*Calculateur!BN60*VLOOKUP('Données projet'!$B$11,Paramètres!$A$1:$I$89,3,0)*0.475*44/12</f>
        <v>7.2221694118327298</v>
      </c>
      <c r="BR60" s="21">
        <f>EXP(-LN(2)/2)*BR59+(1-EXP(-LN(2)/2))/(LN(2)/2)*BL60*BO60*VLOOKUP('Données projet'!$B$11,Paramètres!$A$1:$I$89,3,0)*0.475*44/12</f>
        <v>1.893732697714193E-3</v>
      </c>
      <c r="BS60" s="22">
        <f t="shared" si="9"/>
        <v>8.7088949559402735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15.6</v>
      </c>
      <c r="BY60" s="12">
        <f>IF('Données projet'!$A$114&gt;35,BY59+BX60-CG59,IF(A60&lt;'Données projet'!$A$114,$BV$205^A60,IF(A60='Données projet'!$A$114,'Données projet'!$B$114,BY59+BX60-CG59)))</f>
        <v>400.2</v>
      </c>
      <c r="BZ60" s="13">
        <f>BY60*VLOOKUP('Données projet'!$B$12,Paramètres!$A$1:$I$89,3,0)*VLOOKUP('Données projet'!$B$12,Paramètres!$A$1:$I$89,5,0)</f>
        <v>239.31960000000004</v>
      </c>
      <c r="CA60" s="13">
        <f t="shared" si="39"/>
        <v>58.293114928060938</v>
      </c>
      <c r="CB60" s="20">
        <f t="shared" si="10"/>
        <v>518.34214516637292</v>
      </c>
      <c r="CC60" s="59">
        <f t="shared" si="11"/>
        <v>811.67547849970629</v>
      </c>
      <c r="CD60" s="59">
        <f ca="1">AVERAGE(OFFSET($CC$3,0,0,'Données projet'!$E$12+1,1))-AVERAGE(OFFSET($H$3,0,0,'Données projet'!$E$12+1,1))</f>
        <v>270.30888762640245</v>
      </c>
      <c r="CE60" s="59">
        <f t="shared" si="40"/>
        <v>202.23783851977691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1.2547874462618274</v>
      </c>
      <c r="CL60" s="21">
        <f>EXP(-LN(2)/25)*CL59+(1-EXP(-LN(2)/25))/(LN(2)/25)*Calculateur!CG60*Calculateur!CI60*VLOOKUP('Données projet'!$B$12,Paramètres!$A$1:$I$89,3,0)*0.475*44/12</f>
        <v>5.8159878547156962</v>
      </c>
      <c r="CM60" s="21">
        <f>EXP(-LN(2)/2)*CM59+(1-EXP(-LN(2)/2))/(LN(2)/2)*CG60*CJ60*VLOOKUP('Données projet'!$B$12,Paramètres!$A$1:$I$89,3,0)*0.475*44/12</f>
        <v>1.5962217936177085E-3</v>
      </c>
      <c r="CN60" s="22">
        <f t="shared" si="12"/>
        <v>7.0723715227711406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6.8</v>
      </c>
      <c r="CT60" s="12">
        <f>IF('Données projet'!$A$140&gt;35,CT59+CS60-DB59,IF(A60&lt;'Données projet'!$A$140,$CQ$205^A60,IF(A60='Données projet'!$A$140,'Données projet'!$B$140,CT59+CS60-DB59)))</f>
        <v>289.59999999999991</v>
      </c>
      <c r="CU60" s="17">
        <f>CT60*VLOOKUP('Données projet'!$B$13,Paramètres!$A$1:$I$89,3,0)*VLOOKUP('Données projet'!$B$13,Paramètres!$A$1:$I$89,5,0)</f>
        <v>194.26367999999994</v>
      </c>
      <c r="CV60" s="13">
        <f t="shared" si="41"/>
        <v>48.481371005731333</v>
      </c>
      <c r="CW60" s="20">
        <f t="shared" si="13"/>
        <v>422.78096383498195</v>
      </c>
      <c r="CX60" s="59">
        <f t="shared" si="14"/>
        <v>716.11429716831526</v>
      </c>
      <c r="CY60" s="59">
        <f ca="1">AVERAGE(OFFSET($CX$3,0,0,'Données projet'!$E$13+1,1))-AVERAGE(OFFSET($H$3,0,0,'Données projet'!$E$13+1,1))</f>
        <v>207.93042467236967</v>
      </c>
      <c r="CZ60" s="59">
        <f t="shared" si="42"/>
        <v>250.70954318710835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1.6117249702266452</v>
      </c>
      <c r="DG60" s="21">
        <f>EXP(-LN(2)/25)*DG59+(1-EXP(-LN(2)/25))/(LN(2)/25)*Calculateur!DB60*Calculateur!DD60*VLOOKUP('Données projet'!$B$13,Paramètres!$A$1:$I$89,3,0)*0.475*44/12</f>
        <v>8.1837967041109838</v>
      </c>
      <c r="DH60" s="21">
        <f>EXP(-LN(2)/2)*DH59+(1-EXP(-LN(2)/2))/(LN(2)/2)*DB60*DE60*VLOOKUP('Données projet'!$B$13,Paramètres!$A$1:$I$89,3,0)*0.475*44/12</f>
        <v>1.7494855280424607E-3</v>
      </c>
      <c r="DI60" s="22">
        <f t="shared" si="15"/>
        <v>9.7972711598656712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5.6</v>
      </c>
      <c r="DO60" s="12">
        <f>IF('Données projet'!$A$166&gt;35,DO59+DN60-DW59,IF(A60&lt;'Données projet'!$A$166,$DL$205^A60,IF(A60='Données projet'!$A$166,'Données projet'!$B$166,DO59+DN60-DW59)))</f>
        <v>241.1999999999997</v>
      </c>
      <c r="DP60" s="17">
        <f>DO60*VLOOKUP('Données projet'!$B$14,Paramètres!$A$1:$I$89,3,0)*VLOOKUP('Données projet'!$B$14,Paramètres!$A$1:$I$89,5,0)</f>
        <v>161.79695999999979</v>
      </c>
      <c r="DQ60" s="13">
        <f t="shared" si="43"/>
        <v>41.247560923222927</v>
      </c>
      <c r="DR60" s="20">
        <f t="shared" si="16"/>
        <v>353.6358739412795</v>
      </c>
      <c r="DS60" s="59">
        <f t="shared" si="17"/>
        <v>646.96920727461281</v>
      </c>
      <c r="DT60" s="59">
        <f ca="1">AVERAGE(OFFSET($DS$3,0,0,'Données projet'!$E$14+1,1))-AVERAGE(OFFSET($H$3,0,0,'Données projet'!$E$14+1,1))</f>
        <v>156.63226020379989</v>
      </c>
      <c r="DU60" s="59">
        <f t="shared" si="44"/>
        <v>196.0481096619543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4.1011412388178075</v>
      </c>
      <c r="EC60" s="21">
        <f>EXP(-LN(2)/2)*EC59+(1-EXP(-LN(2)/2))/(LN(2)/2)*DW60*DZ60*VLOOKUP('Données projet'!$B$14,Paramètres!$A$1:$I$89,3,0)*0.475*44/12</f>
        <v>7.8319247230005295E-4</v>
      </c>
      <c r="ED60" s="22">
        <f t="shared" si="18"/>
        <v>4.1019244312901071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6.3942307692307665</v>
      </c>
      <c r="EJ60" s="12">
        <f>IF('Données projet'!$A$192&gt;35,EJ59+EI60-ER59,IF(A60&lt;'Données projet'!$A$192,$EG$205^A60,IF(A60='Données projet'!$A$192,'Données projet'!$B$192,EJ59+EI60-ER59)))</f>
        <v>146.4679487179487</v>
      </c>
      <c r="EK60" s="17">
        <f>EJ60*VLOOKUP('Données projet'!$B$15,Paramètres!$A$1:$I$89,3,0)*VLOOKUP('Données projet'!$B$15,Paramètres!$A$1:$I$89,5,0)</f>
        <v>148.51850000000002</v>
      </c>
      <c r="EL60" s="13">
        <f t="shared" si="45"/>
        <v>38.241715185767696</v>
      </c>
      <c r="EM60" s="20">
        <f t="shared" si="19"/>
        <v>325.27404144854546</v>
      </c>
      <c r="EN60" s="59">
        <f t="shared" si="20"/>
        <v>618.60737478187878</v>
      </c>
      <c r="EO60" s="59">
        <f ca="1">AVERAGE(OFFSET($EN$3,0,0,'Données projet'!$E$15+1,1))-AVERAGE(OFFSET($H$3,0,0,'Données projet'!$E$15+1,1))</f>
        <v>190.21499310415584</v>
      </c>
      <c r="EP60" s="59">
        <f t="shared" si="46"/>
        <v>136.15730566500173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1.4416666666666664</v>
      </c>
      <c r="FE60" s="12">
        <f>IF('Données projet'!$A$218&gt;35,FE59+FD60-FM59,IF(A60&lt;'Données projet'!$A$218,$FB$205^A60,IF(A60='Données projet'!$A$218,'Données projet'!$B$218,FE59+FD60-FM59)))</f>
        <v>64.300000000000011</v>
      </c>
      <c r="FF60" s="17">
        <f>FE60*VLOOKUP('Données projet'!$B$16,Paramètres!$A$1:$I$89,3,0)*VLOOKUP('Données projet'!$B$16,Paramètres!$A$1:$I$89,5,0)</f>
        <v>74.073600000000013</v>
      </c>
      <c r="FG60" s="13">
        <f t="shared" si="47"/>
        <v>20.681721759254259</v>
      </c>
      <c r="FH60" s="20">
        <f t="shared" si="22"/>
        <v>165.03218539736787</v>
      </c>
      <c r="FI60" s="59">
        <f t="shared" si="23"/>
        <v>458.36551873070118</v>
      </c>
      <c r="FJ60" s="59">
        <f ca="1">AVERAGE(OFFSET($FI$3,0,0,'Données projet'!$E$16+1,1))-AVERAGE(OFFSET($H$3,0,0,'Données projet'!$E$16+1,1))</f>
        <v>14.847345852478327</v>
      </c>
      <c r="FK60" s="59">
        <f t="shared" si="48"/>
        <v>46.764428272166299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0.83951905387215031</v>
      </c>
      <c r="FS60" s="21">
        <f>EXP(-LN(2)/2)*FS59+(1-EXP(-LN(2)/2))/(LN(2)/2)*FM60*FP60*VLOOKUP('Données projet'!$B$16,Paramètres!$A$1:$I$89,3,0)*0.475*44/12</f>
        <v>1.7030255044100137E-4</v>
      </c>
      <c r="FT60" s="22">
        <f t="shared" si="24"/>
        <v>0.83968935642259135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8.374198717948719</v>
      </c>
      <c r="N61" s="13">
        <f>IF('Données projet'!$A$36&gt;35,N60+M61-V60,IF(A61&lt;'Données projet'!$A$36,$K$205^A61,IF(A61='Données projet'!$A$36,'Données projet'!$B$36,N60+M61-V60)))</f>
        <v>178.41746794871796</v>
      </c>
      <c r="O61" s="13">
        <f>N61*VLOOKUP('Données projet'!$B$9,Paramètres!$A$1:$I$89,3,0)*VLOOKUP('Données projet'!$B$9,Paramètres!$A$1:$I$89,5,0)</f>
        <v>161.43212499999998</v>
      </c>
      <c r="P61" s="13">
        <f t="shared" si="33"/>
        <v>41.165367483374254</v>
      </c>
      <c r="Q61" s="20">
        <f t="shared" si="53"/>
        <v>352.85729940854344</v>
      </c>
      <c r="R61" s="59">
        <f t="shared" si="0"/>
        <v>646.1906327418767</v>
      </c>
      <c r="S61" s="59">
        <f ca="1">AVERAGE(OFFSET($R$3,0,0,'Données projet'!$E$9+1,1))-AVERAGE(OFFSET($H$3,0,0,'Données projet'!$E$9+1,1))</f>
        <v>221.7429870520005</v>
      </c>
      <c r="T61" s="59">
        <f t="shared" si="34"/>
        <v>182.2029938397186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6.8</v>
      </c>
      <c r="AI61" s="13">
        <f>IF('Données projet'!$A$62&gt;35,AI60+AH61-AQ60,IF(A61&lt;'Données projet'!$A$62,$AF$205^A61,IF(A61='Données projet'!$A$62,'Données projet'!$B$62,AI60+AH61-AQ60)))</f>
        <v>296.39999999999992</v>
      </c>
      <c r="AJ61" s="13">
        <f>AI61*VLOOKUP('Données projet'!$B$10,Paramètres!$A$1:$I$89,3,0)*VLOOKUP('Données projet'!$B$10,Paramètres!$A$1:$I$89,5,0)</f>
        <v>235.81583999999995</v>
      </c>
      <c r="AK61" s="13">
        <f t="shared" si="35"/>
        <v>57.538368655200898</v>
      </c>
      <c r="AL61" s="20">
        <f t="shared" si="4"/>
        <v>510.92524674114156</v>
      </c>
      <c r="AM61" s="59">
        <f t="shared" si="5"/>
        <v>804.25858007447482</v>
      </c>
      <c r="AN61" s="59">
        <f ca="1">AVERAGE(OFFSET($AM$3,0,0,'Données projet'!$E$10+1,1))-AVERAGE(OFFSET($H$3,0,0,'Données projet'!$E$10+1,1))</f>
        <v>260.20517190557814</v>
      </c>
      <c r="AO61" s="59">
        <f t="shared" si="36"/>
        <v>307.22009971147133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1.874095845520904</v>
      </c>
      <c r="AV61" s="21">
        <f>EXP(-LN(2)/25)*AV60+(1-EXP(-LN(2)/25))/(LN(2)/25)*Calculateur!AQ61*Calculateur!AS61*VLOOKUP('Données projet'!$B$10,Paramètres!$A$1:$I$89,3,0)*0.475*44/12</f>
        <v>9.4409425115433674</v>
      </c>
      <c r="AW61" s="21">
        <f>EXP(-LN(2)/2)*AW60+(1-EXP(-LN(2)/2))/(LN(2)/2)*AQ61*AT61*VLOOKUP('Données projet'!$B$10,Paramètres!$A$1:$I$89,3,0)*0.475*44/12</f>
        <v>1.467226211716143E-3</v>
      </c>
      <c r="AX61" s="21">
        <f t="shared" si="6"/>
        <v>11.316505583275987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18</v>
      </c>
      <c r="BD61" s="12">
        <f>IF('Données projet'!$A$88&gt;35,BD60+BC61-BL60,IF(A61&lt;'Données projet'!$A$88,$BA$205^A61,IF(A61='Données projet'!$A$88,'Données projet'!$B$88,BD60+BC61-BL60)))</f>
        <v>471.99999999999972</v>
      </c>
      <c r="BE61" s="13">
        <f>BD61*VLOOKUP('Données projet'!$B$11,Paramètres!$A$1:$I$89,3,0)*VLOOKUP('Données projet'!$B$11,Paramètres!$A$1:$I$89,5,0)</f>
        <v>282.25599999999986</v>
      </c>
      <c r="BF61" s="13">
        <f t="shared" si="37"/>
        <v>67.443543636985055</v>
      </c>
      <c r="BG61" s="20">
        <f t="shared" si="7"/>
        <v>609.06003850108198</v>
      </c>
      <c r="BH61" s="59">
        <f t="shared" si="8"/>
        <v>902.39337183441535</v>
      </c>
      <c r="BI61" s="59">
        <f ca="1">AVERAGE(OFFSET($BH$3,0,0,'Données projet'!$E$11+1,1))-AVERAGE(OFFSET($H$3,0,0,'Données projet'!$E$11+1,1))</f>
        <v>316.58509520829671</v>
      </c>
      <c r="BJ61" s="59">
        <f t="shared" si="38"/>
        <v>240.71332110643596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1.4557151652460609</v>
      </c>
      <c r="BQ61" s="21">
        <f>EXP(-LN(2)/25)*BQ60+(1-EXP(-LN(2)/25))/(LN(2)/25)*Calculateur!BL61*Calculateur!BN61*VLOOKUP('Données projet'!$B$11,Paramètres!$A$1:$I$89,3,0)*0.475*44/12</f>
        <v>7.0246788094687806</v>
      </c>
      <c r="BR61" s="21">
        <f>EXP(-LN(2)/2)*BR60+(1-EXP(-LN(2)/2))/(LN(2)/2)*BL61*BO61*VLOOKUP('Données projet'!$B$11,Paramètres!$A$1:$I$89,3,0)*0.475*44/12</f>
        <v>1.3390712323084004E-3</v>
      </c>
      <c r="BS61" s="22">
        <f t="shared" si="9"/>
        <v>8.4817330459471503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15.6</v>
      </c>
      <c r="BY61" s="12">
        <f>IF('Données projet'!$A$114&gt;35,BY60+BX61-CG60,IF(A61&lt;'Données projet'!$A$114,$BV$205^A61,IF(A61='Données projet'!$A$114,'Données projet'!$B$114,BY60+BX61-CG60)))</f>
        <v>415.8</v>
      </c>
      <c r="BZ61" s="13">
        <f>BY61*VLOOKUP('Données projet'!$B$12,Paramètres!$A$1:$I$89,3,0)*VLOOKUP('Données projet'!$B$12,Paramètres!$A$1:$I$89,5,0)</f>
        <v>248.64840000000001</v>
      </c>
      <c r="CA61" s="13">
        <f t="shared" si="39"/>
        <v>60.296424802828774</v>
      </c>
      <c r="CB61" s="20">
        <f t="shared" si="10"/>
        <v>538.07890319826015</v>
      </c>
      <c r="CC61" s="59">
        <f t="shared" si="11"/>
        <v>831.41223653159341</v>
      </c>
      <c r="CD61" s="59">
        <f ca="1">AVERAGE(OFFSET($CC$3,0,0,'Données projet'!$E$12+1,1))-AVERAGE(OFFSET($H$3,0,0,'Données projet'!$E$12+1,1))</f>
        <v>270.30888762640245</v>
      </c>
      <c r="CE61" s="59">
        <f t="shared" si="40"/>
        <v>202.23783851977691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1.2301818297854037</v>
      </c>
      <c r="CL61" s="21">
        <f>EXP(-LN(2)/25)*CL60+(1-EXP(-LN(2)/25))/(LN(2)/25)*Calculateur!CG61*Calculateur!CI61*VLOOKUP('Données projet'!$B$12,Paramètres!$A$1:$I$89,3,0)*0.475*44/12</f>
        <v>5.6569493609789872</v>
      </c>
      <c r="CM61" s="21">
        <f>EXP(-LN(2)/2)*CM60+(1-EXP(-LN(2)/2))/(LN(2)/2)*CG61*CJ61*VLOOKUP('Données projet'!$B$12,Paramètres!$A$1:$I$89,3,0)*0.475*44/12</f>
        <v>1.1286992545448354E-3</v>
      </c>
      <c r="CN61" s="22">
        <f t="shared" si="12"/>
        <v>6.8882598900189356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6.8</v>
      </c>
      <c r="CT61" s="12">
        <f>IF('Données projet'!$A$140&gt;35,CT60+CS61-DB60,IF(A61&lt;'Données projet'!$A$140,$CQ$205^A61,IF(A61='Données projet'!$A$140,'Données projet'!$B$140,CT60+CS61-DB60)))</f>
        <v>296.39999999999992</v>
      </c>
      <c r="CU61" s="17">
        <f>CT61*VLOOKUP('Données projet'!$B$13,Paramètres!$A$1:$I$89,3,0)*VLOOKUP('Données projet'!$B$13,Paramètres!$A$1:$I$89,5,0)</f>
        <v>198.82511999999997</v>
      </c>
      <c r="CV61" s="13">
        <f t="shared" si="41"/>
        <v>49.485876190816356</v>
      </c>
      <c r="CW61" s="20">
        <f t="shared" si="13"/>
        <v>432.47498503233845</v>
      </c>
      <c r="CX61" s="59">
        <f t="shared" si="14"/>
        <v>725.80831836567177</v>
      </c>
      <c r="CY61" s="59">
        <f ca="1">AVERAGE(OFFSET($CX$3,0,0,'Données projet'!$E$13+1,1))-AVERAGE(OFFSET($H$3,0,0,'Données projet'!$E$13+1,1))</f>
        <v>207.93042467236967</v>
      </c>
      <c r="CZ61" s="59">
        <f t="shared" si="42"/>
        <v>250.70954318710835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1.5801200266156639</v>
      </c>
      <c r="DG61" s="21">
        <f>EXP(-LN(2)/25)*DG60+(1-EXP(-LN(2)/25))/(LN(2)/25)*Calculateur!DB61*Calculateur!DD61*VLOOKUP('Données projet'!$B$13,Paramètres!$A$1:$I$89,3,0)*0.475*44/12</f>
        <v>7.9600103528699044</v>
      </c>
      <c r="DH61" s="21">
        <f>EXP(-LN(2)/2)*DH60+(1-EXP(-LN(2)/2))/(LN(2)/2)*DB61*DE61*VLOOKUP('Données projet'!$B$13,Paramètres!$A$1:$I$89,3,0)*0.475*44/12</f>
        <v>1.2370730804665518E-3</v>
      </c>
      <c r="DI61" s="22">
        <f t="shared" si="15"/>
        <v>9.5413674525660337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5.6</v>
      </c>
      <c r="DO61" s="12">
        <f>IF('Données projet'!$A$166&gt;35,DO60+DN61-DW60,IF(A61&lt;'Données projet'!$A$166,$DL$205^A61,IF(A61='Données projet'!$A$166,'Données projet'!$B$166,DO60+DN61-DW60)))</f>
        <v>246.7999999999997</v>
      </c>
      <c r="DP61" s="17">
        <f>DO61*VLOOKUP('Données projet'!$B$14,Paramètres!$A$1:$I$89,3,0)*VLOOKUP('Données projet'!$B$14,Paramètres!$A$1:$I$89,5,0)</f>
        <v>165.5534399999998</v>
      </c>
      <c r="DQ61" s="13">
        <f t="shared" si="43"/>
        <v>42.092611075660102</v>
      </c>
      <c r="DR61" s="20">
        <f t="shared" si="16"/>
        <v>361.65020562344097</v>
      </c>
      <c r="DS61" s="59">
        <f t="shared" si="17"/>
        <v>654.98353895677428</v>
      </c>
      <c r="DT61" s="59">
        <f ca="1">AVERAGE(OFFSET($DS$3,0,0,'Données projet'!$E$14+1,1))-AVERAGE(OFFSET($H$3,0,0,'Données projet'!$E$14+1,1))</f>
        <v>156.63226020379989</v>
      </c>
      <c r="DU61" s="59">
        <f t="shared" si="44"/>
        <v>196.0481096619543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3.9889953159726899</v>
      </c>
      <c r="EC61" s="21">
        <f>EXP(-LN(2)/2)*EC60+(1-EXP(-LN(2)/2))/(LN(2)/2)*DW61*DZ61*VLOOKUP('Données projet'!$B$14,Paramètres!$A$1:$I$89,3,0)*0.475*44/12</f>
        <v>5.5380070813762473E-4</v>
      </c>
      <c r="ED61" s="22">
        <f t="shared" si="18"/>
        <v>3.9895491166808275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6.3942307692307665</v>
      </c>
      <c r="EJ61" s="12">
        <f>IF('Données projet'!$A$192&gt;35,EJ60+EI61-ER60,IF(A61&lt;'Données projet'!$A$192,$EG$205^A61,IF(A61='Données projet'!$A$192,'Données projet'!$B$192,EJ60+EI61-ER60)))</f>
        <v>152.86217948717947</v>
      </c>
      <c r="EK61" s="17">
        <f>EJ61*VLOOKUP('Données projet'!$B$15,Paramètres!$A$1:$I$89,3,0)*VLOOKUP('Données projet'!$B$15,Paramètres!$A$1:$I$89,5,0)</f>
        <v>155.00225</v>
      </c>
      <c r="EL61" s="13">
        <f t="shared" si="45"/>
        <v>39.713185446553709</v>
      </c>
      <c r="EM61" s="20">
        <f t="shared" si="19"/>
        <v>339.12938340274769</v>
      </c>
      <c r="EN61" s="59">
        <f t="shared" si="20"/>
        <v>632.46271673608101</v>
      </c>
      <c r="EO61" s="59">
        <f ca="1">AVERAGE(OFFSET($EN$3,0,0,'Données projet'!$E$15+1,1))-AVERAGE(OFFSET($H$3,0,0,'Données projet'!$E$15+1,1))</f>
        <v>190.21499310415584</v>
      </c>
      <c r="EP61" s="59">
        <f t="shared" si="46"/>
        <v>136.15730566500173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1.4416666666666664</v>
      </c>
      <c r="FE61" s="12">
        <f>IF('Données projet'!$A$218&gt;35,FE60+FD61-FM60,IF(A61&lt;'Données projet'!$A$218,$FB$205^A61,IF(A61='Données projet'!$A$218,'Données projet'!$B$218,FE60+FD61-FM60)))</f>
        <v>65.741666666666674</v>
      </c>
      <c r="FF61" s="17">
        <f>FE61*VLOOKUP('Données projet'!$B$16,Paramètres!$A$1:$I$89,3,0)*VLOOKUP('Données projet'!$B$16,Paramètres!$A$1:$I$89,5,0)</f>
        <v>75.734399999999994</v>
      </c>
      <c r="FG61" s="13">
        <f t="shared" si="47"/>
        <v>21.090920116094157</v>
      </c>
      <c r="FH61" s="20">
        <f t="shared" si="22"/>
        <v>168.63743253553062</v>
      </c>
      <c r="FI61" s="59">
        <f t="shared" si="23"/>
        <v>461.97076586886396</v>
      </c>
      <c r="FJ61" s="59">
        <f ca="1">AVERAGE(OFFSET($FI$3,0,0,'Données projet'!$E$16+1,1))-AVERAGE(OFFSET($H$3,0,0,'Données projet'!$E$16+1,1))</f>
        <v>14.847345852478327</v>
      </c>
      <c r="FK61" s="59">
        <f t="shared" si="48"/>
        <v>46.764428272166299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0.81656236119562808</v>
      </c>
      <c r="FS61" s="21">
        <f>EXP(-LN(2)/2)*FS60+(1-EXP(-LN(2)/2))/(LN(2)/2)*FM61*FP61*VLOOKUP('Données projet'!$B$16,Paramètres!$A$1:$I$89,3,0)*0.475*44/12</f>
        <v>1.2042208827019613E-4</v>
      </c>
      <c r="FT61" s="22">
        <f t="shared" si="24"/>
        <v>0.81668278328389832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8.374198717948719</v>
      </c>
      <c r="N62" s="13">
        <f>IF('Données projet'!$A$36&gt;35,N61+M62-V61,IF(A62&lt;'Données projet'!$A$36,$K$205^A62,IF(A62='Données projet'!$A$36,'Données projet'!$B$36,N61+M62-V61)))</f>
        <v>186.79166666666669</v>
      </c>
      <c r="O62" s="13">
        <f>N62*VLOOKUP('Données projet'!$B$9,Paramètres!$A$1:$I$89,3,0)*VLOOKUP('Données projet'!$B$9,Paramètres!$A$1:$I$89,5,0)</f>
        <v>169.00910000000002</v>
      </c>
      <c r="P62" s="13">
        <f t="shared" si="33"/>
        <v>42.868019497909927</v>
      </c>
      <c r="Q62" s="20">
        <f t="shared" si="53"/>
        <v>369.01931645885975</v>
      </c>
      <c r="R62" s="59">
        <f t="shared" si="0"/>
        <v>662.35264979219301</v>
      </c>
      <c r="S62" s="59">
        <f ca="1">AVERAGE(OFFSET($R$3,0,0,'Données projet'!$E$9+1,1))-AVERAGE(OFFSET($H$3,0,0,'Données projet'!$E$9+1,1))</f>
        <v>221.7429870520005</v>
      </c>
      <c r="T62" s="59">
        <f t="shared" si="34"/>
        <v>182.2029938397186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6.8</v>
      </c>
      <c r="AI62" s="13">
        <f>IF('Données projet'!$A$62&gt;35,AI61+AH62-AQ61,IF(A62&lt;'Données projet'!$A$62,$AF$205^A62,IF(A62='Données projet'!$A$62,'Données projet'!$B$62,AI61+AH62-AQ61)))</f>
        <v>303.19999999999993</v>
      </c>
      <c r="AJ62" s="13">
        <f>AI62*VLOOKUP('Données projet'!$B$10,Paramètres!$A$1:$I$89,3,0)*VLOOKUP('Données projet'!$B$10,Paramètres!$A$1:$I$89,5,0)</f>
        <v>241.22591999999997</v>
      </c>
      <c r="AK62" s="13">
        <f t="shared" si="35"/>
        <v>58.703214877960853</v>
      </c>
      <c r="AL62" s="20">
        <f t="shared" si="4"/>
        <v>522.37657657911507</v>
      </c>
      <c r="AM62" s="59">
        <f t="shared" si="5"/>
        <v>815.70990991244844</v>
      </c>
      <c r="AN62" s="59">
        <f ca="1">AVERAGE(OFFSET($AM$3,0,0,'Données projet'!$E$10+1,1))-AVERAGE(OFFSET($H$3,0,0,'Données projet'!$E$10+1,1))</f>
        <v>260.20517190557814</v>
      </c>
      <c r="AO62" s="59">
        <f t="shared" si="36"/>
        <v>307.22009971147133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1.8373459690758345</v>
      </c>
      <c r="AV62" s="21">
        <f>EXP(-LN(2)/25)*AV61+(1-EXP(-LN(2)/25))/(LN(2)/25)*Calculateur!AQ62*Calculateur!AS62*VLOOKUP('Données projet'!$B$10,Paramètres!$A$1:$I$89,3,0)*0.475*44/12</f>
        <v>9.1827794420876252</v>
      </c>
      <c r="AW62" s="21">
        <f>EXP(-LN(2)/2)*AW61+(1-EXP(-LN(2)/2))/(LN(2)/2)*AQ62*AT62*VLOOKUP('Données projet'!$B$10,Paramètres!$A$1:$I$89,3,0)*0.475*44/12</f>
        <v>1.0374856038391337E-3</v>
      </c>
      <c r="AX62" s="21">
        <f t="shared" si="6"/>
        <v>11.021162896767299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18</v>
      </c>
      <c r="BD62" s="12">
        <f>IF('Données projet'!$A$88&gt;35,BD61+BC62-BL61,IF(A62&lt;'Données projet'!$A$88,$BA$205^A62,IF(A62='Données projet'!$A$88,'Données projet'!$B$88,BD61+BC62-BL61)))</f>
        <v>489.99999999999972</v>
      </c>
      <c r="BE62" s="13">
        <f>BD62*VLOOKUP('Données projet'!$B$11,Paramètres!$A$1:$I$89,3,0)*VLOOKUP('Données projet'!$B$11,Paramètres!$A$1:$I$89,5,0)</f>
        <v>293.01999999999987</v>
      </c>
      <c r="BF62" s="13">
        <f t="shared" si="37"/>
        <v>69.711188549176683</v>
      </c>
      <c r="BG62" s="20">
        <f t="shared" si="7"/>
        <v>631.75682005648241</v>
      </c>
      <c r="BH62" s="59">
        <f t="shared" si="8"/>
        <v>925.09015338981567</v>
      </c>
      <c r="BI62" s="59">
        <f ca="1">AVERAGE(OFFSET($BH$3,0,0,'Données projet'!$E$11+1,1))-AVERAGE(OFFSET($H$3,0,0,'Données projet'!$E$11+1,1))</f>
        <v>316.58509520829671</v>
      </c>
      <c r="BJ62" s="59">
        <f t="shared" si="38"/>
        <v>240.71332110643596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1.4271694787541638</v>
      </c>
      <c r="BQ62" s="21">
        <f>EXP(-LN(2)/25)*BQ61+(1-EXP(-LN(2)/25))/(LN(2)/25)*Calculateur!BL62*Calculateur!BN62*VLOOKUP('Données projet'!$B$11,Paramètres!$A$1:$I$89,3,0)*0.475*44/12</f>
        <v>6.8325885980120535</v>
      </c>
      <c r="BR62" s="21">
        <f>EXP(-LN(2)/2)*BR61+(1-EXP(-LN(2)/2))/(LN(2)/2)*BL62*BO62*VLOOKUP('Données projet'!$B$11,Paramètres!$A$1:$I$89,3,0)*0.475*44/12</f>
        <v>9.4686634885709673E-4</v>
      </c>
      <c r="BS62" s="22">
        <f t="shared" si="9"/>
        <v>8.2607049431150745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15.6</v>
      </c>
      <c r="BY62" s="12">
        <f>IF('Données projet'!$A$114&gt;35,BY61+BX62-CG61,IF(A62&lt;'Données projet'!$A$114,$BV$205^A62,IF(A62='Données projet'!$A$114,'Données projet'!$B$114,BY61+BX62-CG61)))</f>
        <v>431.40000000000003</v>
      </c>
      <c r="BZ62" s="13">
        <f>BY62*VLOOKUP('Données projet'!$B$12,Paramètres!$A$1:$I$89,3,0)*VLOOKUP('Données projet'!$B$12,Paramètres!$A$1:$I$89,5,0)</f>
        <v>257.97720000000004</v>
      </c>
      <c r="CA62" s="13">
        <f t="shared" si="39"/>
        <v>62.291002935551688</v>
      </c>
      <c r="CB62" s="20">
        <f t="shared" si="10"/>
        <v>557.80045344608595</v>
      </c>
      <c r="CC62" s="59">
        <f t="shared" si="11"/>
        <v>851.13378677941932</v>
      </c>
      <c r="CD62" s="59">
        <f ca="1">AVERAGE(OFFSET($CC$3,0,0,'Données projet'!$E$12+1,1))-AVERAGE(OFFSET($H$3,0,0,'Données projet'!$E$12+1,1))</f>
        <v>270.30888762640245</v>
      </c>
      <c r="CE62" s="59">
        <f t="shared" si="40"/>
        <v>202.23783851977691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1.2060587144401385</v>
      </c>
      <c r="CL62" s="21">
        <f>EXP(-LN(2)/25)*CL61+(1-EXP(-LN(2)/25))/(LN(2)/25)*Calculateur!CG62*Calculateur!CI62*VLOOKUP('Données projet'!$B$12,Paramètres!$A$1:$I$89,3,0)*0.475*44/12</f>
        <v>5.5022597832169788</v>
      </c>
      <c r="CM62" s="21">
        <f>EXP(-LN(2)/2)*CM61+(1-EXP(-LN(2)/2))/(LN(2)/2)*CG62*CJ62*VLOOKUP('Données projet'!$B$12,Paramètres!$A$1:$I$89,3,0)*0.475*44/12</f>
        <v>7.9811089680885427E-4</v>
      </c>
      <c r="CN62" s="22">
        <f t="shared" si="12"/>
        <v>6.7091166085539262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6.8</v>
      </c>
      <c r="CT62" s="12">
        <f>IF('Données projet'!$A$140&gt;35,CT61+CS62-DB61,IF(A62&lt;'Données projet'!$A$140,$CQ$205^A62,IF(A62='Données projet'!$A$140,'Données projet'!$B$140,CT61+CS62-DB61)))</f>
        <v>303.19999999999993</v>
      </c>
      <c r="CU62" s="17">
        <f>CT62*VLOOKUP('Données projet'!$B$13,Paramètres!$A$1:$I$89,3,0)*VLOOKUP('Données projet'!$B$13,Paramètres!$A$1:$I$89,5,0)</f>
        <v>203.38655999999997</v>
      </c>
      <c r="CV62" s="13">
        <f t="shared" si="41"/>
        <v>50.487702229824656</v>
      </c>
      <c r="CW62" s="20">
        <f t="shared" si="13"/>
        <v>442.16434005027787</v>
      </c>
      <c r="CX62" s="59">
        <f t="shared" si="14"/>
        <v>735.49767338361119</v>
      </c>
      <c r="CY62" s="59">
        <f ca="1">AVERAGE(OFFSET($CX$3,0,0,'Données projet'!$E$13+1,1))-AVERAGE(OFFSET($H$3,0,0,'Données projet'!$E$13+1,1))</f>
        <v>207.93042467236967</v>
      </c>
      <c r="CZ62" s="59">
        <f t="shared" si="42"/>
        <v>250.70954318710835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1.5491348366717816</v>
      </c>
      <c r="DG62" s="21">
        <f>EXP(-LN(2)/25)*DG61+(1-EXP(-LN(2)/25))/(LN(2)/25)*Calculateur!DB62*Calculateur!DD62*VLOOKUP('Données projet'!$B$13,Paramètres!$A$1:$I$89,3,0)*0.475*44/12</f>
        <v>7.7423434511719256</v>
      </c>
      <c r="DH62" s="21">
        <f>EXP(-LN(2)/2)*DH61+(1-EXP(-LN(2)/2))/(LN(2)/2)*DB62*DE62*VLOOKUP('Données projet'!$B$13,Paramètres!$A$1:$I$89,3,0)*0.475*44/12</f>
        <v>8.7474276402123036E-4</v>
      </c>
      <c r="DI62" s="22">
        <f t="shared" si="15"/>
        <v>9.2923530306077282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5.6</v>
      </c>
      <c r="DO62" s="12">
        <f>IF('Données projet'!$A$166&gt;35,DO61+DN62-DW61,IF(A62&lt;'Données projet'!$A$166,$DL$205^A62,IF(A62='Données projet'!$A$166,'Données projet'!$B$166,DO61+DN62-DW61)))</f>
        <v>252.39999999999969</v>
      </c>
      <c r="DP62" s="17">
        <f>DO62*VLOOKUP('Données projet'!$B$14,Paramètres!$A$1:$I$89,3,0)*VLOOKUP('Données projet'!$B$14,Paramètres!$A$1:$I$89,5,0)</f>
        <v>169.30991999999981</v>
      </c>
      <c r="DQ62" s="13">
        <f t="shared" si="43"/>
        <v>42.935432052241438</v>
      </c>
      <c r="DR62" s="20">
        <f t="shared" si="16"/>
        <v>369.66065482432015</v>
      </c>
      <c r="DS62" s="59">
        <f t="shared" si="17"/>
        <v>662.99398815765346</v>
      </c>
      <c r="DT62" s="59">
        <f ca="1">AVERAGE(OFFSET($DS$3,0,0,'Données projet'!$E$14+1,1))-AVERAGE(OFFSET($H$3,0,0,'Données projet'!$E$14+1,1))</f>
        <v>156.63226020379989</v>
      </c>
      <c r="DU62" s="59">
        <f t="shared" si="44"/>
        <v>196.0481096619543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3.8799160292852699</v>
      </c>
      <c r="EC62" s="21">
        <f>EXP(-LN(2)/2)*EC61+(1-EXP(-LN(2)/2))/(LN(2)/2)*DW62*DZ62*VLOOKUP('Données projet'!$B$14,Paramètres!$A$1:$I$89,3,0)*0.475*44/12</f>
        <v>3.9159623615002648E-4</v>
      </c>
      <c r="ED62" s="22">
        <f t="shared" si="18"/>
        <v>3.8803076255214197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>
        <f>VLOOKUP(A62,'Données projet'!$A$191:$I$211,2,0)</f>
        <v>159.25641025641025</v>
      </c>
      <c r="EH62" s="12">
        <f>VLOOKUP(A62,'Données projet'!$A$191:$I$211,9,0)</f>
        <v>6.3942307692307665</v>
      </c>
      <c r="EI62" s="12">
        <f t="array" ref="EI62">INDEX(EH:EH,MIN(IF(ISNUMBER(EH62:EH258),ROW(EH62:EH258),"")))</f>
        <v>6.3942307692307665</v>
      </c>
      <c r="EJ62" s="12">
        <f>IF('Données projet'!$A$192&gt;35,EJ61+EI62-ER61,IF(A62&lt;'Données projet'!$A$192,$EG$205^A62,IF(A62='Données projet'!$A$192,'Données projet'!$B$192,EJ61+EI62-ER61)))</f>
        <v>159.25641025641025</v>
      </c>
      <c r="EK62" s="17">
        <f>EJ62*VLOOKUP('Données projet'!$B$15,Paramètres!$A$1:$I$89,3,0)*VLOOKUP('Données projet'!$B$15,Paramètres!$A$1:$I$89,5,0)</f>
        <v>161.48599999999999</v>
      </c>
      <c r="EL62" s="13">
        <f t="shared" si="45"/>
        <v>41.177506306658742</v>
      </c>
      <c r="EM62" s="20">
        <f t="shared" si="19"/>
        <v>352.97227348409729</v>
      </c>
      <c r="EN62" s="59">
        <f t="shared" si="20"/>
        <v>646.30560681743054</v>
      </c>
      <c r="EO62" s="59">
        <f ca="1">AVERAGE(OFFSET($EN$3,0,0,'Données projet'!$E$15+1,1))-AVERAGE(OFFSET($H$3,0,0,'Données projet'!$E$15+1,1))</f>
        <v>190.21499310415584</v>
      </c>
      <c r="EP62" s="59">
        <f t="shared" si="46"/>
        <v>136.15730566500173</v>
      </c>
      <c r="EQ62" s="15">
        <f>IF(ISNA(VLOOKUP(A62,'Données projet'!$A$191:$I$211,3,0)),0,VLOOKUP(A62,'Données projet'!$A$191:$I$211,3,0))</f>
        <v>3</v>
      </c>
      <c r="ER62" s="15">
        <f>IF(ISNA(VLOOKUP(A62,'Données projet'!$A$191:$I$211,4,0)),0,VLOOKUP(A62,'Données projet'!$A$191:$I$211,4,0))</f>
        <v>38.942307692307693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1.4416666666666664</v>
      </c>
      <c r="FE62" s="12">
        <f>IF('Données projet'!$A$218&gt;35,FE61+FD62-FM61,IF(A62&lt;'Données projet'!$A$218,$FB$205^A62,IF(A62='Données projet'!$A$218,'Données projet'!$B$218,FE61+FD62-FM61)))</f>
        <v>67.183333333333337</v>
      </c>
      <c r="FF62" s="17">
        <f>FE62*VLOOKUP('Données projet'!$B$16,Paramètres!$A$1:$I$89,3,0)*VLOOKUP('Données projet'!$B$16,Paramètres!$A$1:$I$89,5,0)</f>
        <v>77.395199999999988</v>
      </c>
      <c r="FG62" s="13">
        <f t="shared" si="47"/>
        <v>21.499075210339306</v>
      </c>
      <c r="FH62" s="20">
        <f t="shared" si="22"/>
        <v>172.24086265800759</v>
      </c>
      <c r="FI62" s="59">
        <f t="shared" si="23"/>
        <v>465.5741959913409</v>
      </c>
      <c r="FJ62" s="59">
        <f ca="1">AVERAGE(OFFSET($FI$3,0,0,'Données projet'!$E$16+1,1))-AVERAGE(OFFSET($H$3,0,0,'Données projet'!$E$16+1,1))</f>
        <v>14.847345852478327</v>
      </c>
      <c r="FK62" s="59">
        <f t="shared" si="48"/>
        <v>46.764428272166299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0.79423342048758538</v>
      </c>
      <c r="FS62" s="21">
        <f>EXP(-LN(2)/2)*FS61+(1-EXP(-LN(2)/2))/(LN(2)/2)*FM62*FP62*VLOOKUP('Données projet'!$B$16,Paramètres!$A$1:$I$89,3,0)*0.475*44/12</f>
        <v>8.5151275220500698E-5</v>
      </c>
      <c r="FT62" s="22">
        <f t="shared" si="24"/>
        <v>0.79431857176280585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8.374198717948719</v>
      </c>
      <c r="N63" s="13">
        <f>IF('Données projet'!$A$36&gt;35,N62+M63-V62,IF(A63&lt;'Données projet'!$A$36,$K$205^A63,IF(A63='Données projet'!$A$36,'Données projet'!$B$36,N62+M63-V62)))</f>
        <v>195.16586538461542</v>
      </c>
      <c r="O63" s="13">
        <f>N63*VLOOKUP('Données projet'!$B$9,Paramètres!$A$1:$I$89,3,0)*VLOOKUP('Données projet'!$B$9,Paramètres!$A$1:$I$89,5,0)</f>
        <v>176.58607500000002</v>
      </c>
      <c r="P63" s="13">
        <f t="shared" si="33"/>
        <v>44.561806372041332</v>
      </c>
      <c r="Q63" s="20">
        <f t="shared" si="53"/>
        <v>385.16589338963871</v>
      </c>
      <c r="R63" s="59">
        <f t="shared" si="0"/>
        <v>678.49922672297203</v>
      </c>
      <c r="S63" s="59">
        <f ca="1">AVERAGE(OFFSET($R$3,0,0,'Données projet'!$E$9+1,1))-AVERAGE(OFFSET($H$3,0,0,'Données projet'!$E$9+1,1))</f>
        <v>221.7429870520005</v>
      </c>
      <c r="T63" s="59">
        <f t="shared" si="34"/>
        <v>182.2029938397186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310</v>
      </c>
      <c r="AG63" s="12">
        <f>VLOOKUP(A63,'Données projet'!$A$61:$I$81,9,0)</f>
        <v>6.8</v>
      </c>
      <c r="AH63" s="12">
        <f t="array" ref="AH63">INDEX(AG:AG,MIN(IF(ISNUMBER(AG63:AG259),ROW(AG63:AG259),"")))</f>
        <v>6.8</v>
      </c>
      <c r="AI63" s="13">
        <f>IF('Données projet'!$A$62&gt;35,AI62+AH63-AQ62,IF(A63&lt;'Données projet'!$A$62,$AF$205^A63,IF(A63='Données projet'!$A$62,'Données projet'!$B$62,AI62+AH63-AQ62)))</f>
        <v>309.99999999999994</v>
      </c>
      <c r="AJ63" s="13">
        <f>AI63*VLOOKUP('Données projet'!$B$10,Paramètres!$A$1:$I$89,3,0)*VLOOKUP('Données projet'!$B$10,Paramètres!$A$1:$I$89,5,0)</f>
        <v>246.63599999999997</v>
      </c>
      <c r="AK63" s="13">
        <f t="shared" si="35"/>
        <v>59.865023903294535</v>
      </c>
      <c r="AL63" s="20">
        <f t="shared" si="4"/>
        <v>533.82261663157112</v>
      </c>
      <c r="AM63" s="59">
        <f t="shared" si="5"/>
        <v>827.15594996490449</v>
      </c>
      <c r="AN63" s="59">
        <f ca="1">AVERAGE(OFFSET($AM$3,0,0,'Données projet'!$E$10+1,1))-AVERAGE(OFFSET($H$3,0,0,'Données projet'!$E$10+1,1))</f>
        <v>260.20517190557814</v>
      </c>
      <c r="AO63" s="59">
        <f t="shared" si="36"/>
        <v>307.22009971147133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30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1.8013167352926416</v>
      </c>
      <c r="AV63" s="21">
        <f>EXP(-LN(2)/25)*AV62+(1-EXP(-LN(2)/25))/(LN(2)/25)*Calculateur!AQ63*Calculateur!AS63*VLOOKUP('Données projet'!$B$10,Paramètres!$A$1:$I$89,3,0)*0.475*44/12</f>
        <v>8.9316758553423554</v>
      </c>
      <c r="AW63" s="21">
        <f>EXP(-LN(2)/2)*AW62+(1-EXP(-LN(2)/2))/(LN(2)/2)*AQ63*AT63*VLOOKUP('Données projet'!$B$10,Paramètres!$A$1:$I$89,3,0)*0.475*44/12</f>
        <v>7.3361310585807148E-4</v>
      </c>
      <c r="AX63" s="21">
        <f t="shared" si="6"/>
        <v>10.733726203740854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508</v>
      </c>
      <c r="BB63" s="12">
        <f>VLOOKUP(A63,'Données projet'!$A$87:$I$107,9,0)</f>
        <v>18</v>
      </c>
      <c r="BC63" s="12">
        <f t="array" ref="BC63">INDEX(BB:BB,MIN(IF(ISNUMBER(BB63:BB259),ROW(BB63:BB259),"")))</f>
        <v>18</v>
      </c>
      <c r="BD63" s="12">
        <f>IF('Données projet'!$A$88&gt;35,BD62+BC63-BL62,IF(A63&lt;'Données projet'!$A$88,$BA$205^A63,IF(A63='Données projet'!$A$88,'Données projet'!$B$88,BD62+BC63-BL62)))</f>
        <v>507.99999999999972</v>
      </c>
      <c r="BE63" s="13">
        <f>BD63*VLOOKUP('Données projet'!$B$11,Paramètres!$A$1:$I$89,3,0)*VLOOKUP('Données projet'!$B$11,Paramètres!$A$1:$I$89,5,0)</f>
        <v>303.78399999999988</v>
      </c>
      <c r="BF63" s="13">
        <f t="shared" si="37"/>
        <v>71.969155598417572</v>
      </c>
      <c r="BG63" s="20">
        <f t="shared" si="7"/>
        <v>654.43674600057705</v>
      </c>
      <c r="BH63" s="59">
        <f t="shared" si="8"/>
        <v>947.77007933391042</v>
      </c>
      <c r="BI63" s="59">
        <f ca="1">AVERAGE(OFFSET($BH$3,0,0,'Données projet'!$E$11+1,1))-AVERAGE(OFFSET($H$3,0,0,'Données projet'!$E$11+1,1))</f>
        <v>316.58509520829671</v>
      </c>
      <c r="BJ63" s="59">
        <f t="shared" si="38"/>
        <v>240.71332110643596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108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1.3991835557632231</v>
      </c>
      <c r="BQ63" s="21">
        <f>EXP(-LN(2)/25)*BQ62+(1-EXP(-LN(2)/25))/(LN(2)/25)*Calculateur!BL63*Calculateur!BN63*VLOOKUP('Données projet'!$B$11,Paramètres!$A$1:$I$89,3,0)*0.475*44/12</f>
        <v>6.6457511034891956</v>
      </c>
      <c r="BR63" s="21">
        <f>EXP(-LN(2)/2)*BR62+(1-EXP(-LN(2)/2))/(LN(2)/2)*BL63*BO63*VLOOKUP('Données projet'!$B$11,Paramètres!$A$1:$I$89,3,0)*0.475*44/12</f>
        <v>6.6953561615420033E-4</v>
      </c>
      <c r="BS63" s="22">
        <f t="shared" si="9"/>
        <v>8.0456041948685737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447</v>
      </c>
      <c r="BW63" s="12">
        <f>VLOOKUP(A63,'Données projet'!$A$113:$I$133,9,0)</f>
        <v>15.6</v>
      </c>
      <c r="BX63" s="12">
        <f t="array" ref="BX63">INDEX(BW:BW,MIN(IF(ISNUMBER(BW63:BW259),ROW(BW63:BW259),"")))</f>
        <v>15.6</v>
      </c>
      <c r="BY63" s="12">
        <f>IF('Données projet'!$A$114&gt;35,BY62+BX63-CG62,IF(A63&lt;'Données projet'!$A$114,$BV$205^A63,IF(A63='Données projet'!$A$114,'Données projet'!$B$114,BY62+BX63-CG62)))</f>
        <v>447.00000000000006</v>
      </c>
      <c r="BZ63" s="13">
        <f>BY63*VLOOKUP('Données projet'!$B$12,Paramètres!$A$1:$I$89,3,0)*VLOOKUP('Données projet'!$B$12,Paramètres!$A$1:$I$89,5,0)</f>
        <v>267.30600000000004</v>
      </c>
      <c r="CA63" s="13">
        <f t="shared" si="39"/>
        <v>64.27720124631206</v>
      </c>
      <c r="CB63" s="20">
        <f t="shared" si="10"/>
        <v>577.50740883732692</v>
      </c>
      <c r="CC63" s="59">
        <f t="shared" si="11"/>
        <v>870.84074217066018</v>
      </c>
      <c r="CD63" s="59">
        <f ca="1">AVERAGE(OFFSET($CC$3,0,0,'Données projet'!$E$12+1,1))-AVERAGE(OFFSET($H$3,0,0,'Données projet'!$E$12+1,1))</f>
        <v>270.30888762640245</v>
      </c>
      <c r="CE63" s="59">
        <f t="shared" si="40"/>
        <v>202.23783851977691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90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1.1824086386731465</v>
      </c>
      <c r="CL63" s="21">
        <f>EXP(-LN(2)/25)*CL62+(1-EXP(-LN(2)/25))/(LN(2)/25)*Calculateur!CG63*Calculateur!CI63*VLOOKUP('Données projet'!$B$12,Paramètres!$A$1:$I$89,3,0)*0.475*44/12</f>
        <v>5.3518002000936438</v>
      </c>
      <c r="CM63" s="21">
        <f>EXP(-LN(2)/2)*CM62+(1-EXP(-LN(2)/2))/(LN(2)/2)*CG63*CJ63*VLOOKUP('Données projet'!$B$12,Paramètres!$A$1:$I$89,3,0)*0.475*44/12</f>
        <v>5.6434962727241772E-4</v>
      </c>
      <c r="CN63" s="22">
        <f t="shared" si="12"/>
        <v>6.5347731883940634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310</v>
      </c>
      <c r="CR63" s="12">
        <f>VLOOKUP(A63,'Données projet'!$A$139:$I$159,9,0)</f>
        <v>6.8</v>
      </c>
      <c r="CS63" s="12">
        <f t="array" ref="CS63">INDEX(CR:CR,MIN(IF(ISNUMBER(CR63:CR259),ROW(CR63:CR259),"")))</f>
        <v>6.8</v>
      </c>
      <c r="CT63" s="12">
        <f>IF('Données projet'!$A$140&gt;35,CT62+CS63-DB62,IF(A63&lt;'Données projet'!$A$140,$CQ$205^A63,IF(A63='Données projet'!$A$140,'Données projet'!$B$140,CT62+CS63-DB62)))</f>
        <v>309.99999999999994</v>
      </c>
      <c r="CU63" s="17">
        <f>CT63*VLOOKUP('Données projet'!$B$13,Paramètres!$A$1:$I$89,3,0)*VLOOKUP('Données projet'!$B$13,Paramètres!$A$1:$I$89,5,0)</f>
        <v>207.94799999999998</v>
      </c>
      <c r="CV63" s="13">
        <f t="shared" si="41"/>
        <v>51.486916127068838</v>
      </c>
      <c r="CW63" s="20">
        <f t="shared" si="13"/>
        <v>451.84914558797823</v>
      </c>
      <c r="CX63" s="59">
        <f t="shared" si="14"/>
        <v>745.18247892131149</v>
      </c>
      <c r="CY63" s="59">
        <f ca="1">AVERAGE(OFFSET($CX$3,0,0,'Données projet'!$E$13+1,1))-AVERAGE(OFFSET($H$3,0,0,'Données projet'!$E$13+1,1))</f>
        <v>207.93042467236967</v>
      </c>
      <c r="CZ63" s="59">
        <f t="shared" si="42"/>
        <v>250.70954318710835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30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1.5187572474035993</v>
      </c>
      <c r="DG63" s="21">
        <f>EXP(-LN(2)/25)*DG62+(1-EXP(-LN(2)/25))/(LN(2)/25)*Calculateur!DB63*Calculateur!DD63*VLOOKUP('Données projet'!$B$13,Paramètres!$A$1:$I$89,3,0)*0.475*44/12</f>
        <v>7.5306286623474827</v>
      </c>
      <c r="DH63" s="21">
        <f>EXP(-LN(2)/2)*DH62+(1-EXP(-LN(2)/2))/(LN(2)/2)*DB63*DE63*VLOOKUP('Données projet'!$B$13,Paramètres!$A$1:$I$89,3,0)*0.475*44/12</f>
        <v>6.1853654023327591E-4</v>
      </c>
      <c r="DI63" s="22">
        <f t="shared" si="15"/>
        <v>9.0500044462913163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258</v>
      </c>
      <c r="DM63" s="12">
        <f>VLOOKUP(A63,'Données projet'!$A$165:$I$185,9,0)</f>
        <v>5.6</v>
      </c>
      <c r="DN63" s="12">
        <f t="array" ref="DN63">INDEX(DM:DM,MIN(IF(ISNUMBER(DM63:DM259),ROW(DM63:DM259),"")))</f>
        <v>5.6</v>
      </c>
      <c r="DO63" s="12">
        <f>IF('Données projet'!$A$166&gt;35,DO62+DN63-DW62,IF(A63&lt;'Données projet'!$A$166,$DL$205^A63,IF(A63='Données projet'!$A$166,'Données projet'!$B$166,DO62+DN63-DW62)))</f>
        <v>257.99999999999972</v>
      </c>
      <c r="DP63" s="17">
        <f>DO63*VLOOKUP('Données projet'!$B$14,Paramètres!$A$1:$I$89,3,0)*VLOOKUP('Données projet'!$B$14,Paramètres!$A$1:$I$89,5,0)</f>
        <v>173.06639999999982</v>
      </c>
      <c r="DQ63" s="13">
        <f t="shared" si="43"/>
        <v>43.776079006603076</v>
      </c>
      <c r="DR63" s="20">
        <f t="shared" si="16"/>
        <v>377.66731760316674</v>
      </c>
      <c r="DS63" s="59">
        <f t="shared" si="17"/>
        <v>671.00065093650005</v>
      </c>
      <c r="DT63" s="59">
        <f ca="1">AVERAGE(OFFSET($DS$3,0,0,'Données projet'!$E$14+1,1))-AVERAGE(OFFSET($H$3,0,0,'Données projet'!$E$14+1,1))</f>
        <v>156.63226020379989</v>
      </c>
      <c r="DU63" s="59">
        <f t="shared" si="44"/>
        <v>196.0481096619543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25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3.7738195214285479</v>
      </c>
      <c r="EC63" s="21">
        <f>EXP(-LN(2)/2)*EC62+(1-EXP(-LN(2)/2))/(LN(2)/2)*DW63*DZ63*VLOOKUP('Données projet'!$B$14,Paramètres!$A$1:$I$89,3,0)*0.475*44/12</f>
        <v>2.7690035406881236E-4</v>
      </c>
      <c r="ED63" s="22">
        <f t="shared" si="18"/>
        <v>3.774096421782617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5.9431089743589762</v>
      </c>
      <c r="EJ63" s="12">
        <f>IF('Données projet'!$A$192&gt;35,EJ62+EI63-ER62,IF(A63&lt;'Données projet'!$A$192,$EG$205^A63,IF(A63='Données projet'!$A$192,'Données projet'!$B$192,EJ62+EI63-ER62)))</f>
        <v>126.25721153846153</v>
      </c>
      <c r="EK63" s="17">
        <f>EJ63*VLOOKUP('Données projet'!$B$15,Paramètres!$A$1:$I$89,3,0)*VLOOKUP('Données projet'!$B$15,Paramètres!$A$1:$I$89,5,0)</f>
        <v>128.0248125</v>
      </c>
      <c r="EL63" s="13">
        <f t="shared" si="45"/>
        <v>33.539545602958114</v>
      </c>
      <c r="EM63" s="20">
        <f t="shared" si="19"/>
        <v>281.39125702931875</v>
      </c>
      <c r="EN63" s="59">
        <f t="shared" si="20"/>
        <v>574.72459036265207</v>
      </c>
      <c r="EO63" s="59">
        <f ca="1">AVERAGE(OFFSET($EN$3,0,0,'Données projet'!$E$15+1,1))-AVERAGE(OFFSET($H$3,0,0,'Données projet'!$E$15+1,1))</f>
        <v>190.21499310415584</v>
      </c>
      <c r="EP63" s="59">
        <f t="shared" si="46"/>
        <v>136.15730566500173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68.625</v>
      </c>
      <c r="FC63" s="12">
        <f>VLOOKUP(A63,'Données projet'!$A$217:$I$237,9,0)</f>
        <v>1.4416666666666664</v>
      </c>
      <c r="FD63" s="12">
        <f t="array" ref="FD63">INDEX(FC:FC,MIN(IF(ISNUMBER(FC63:FC259),ROW(FC63:FC259),"")))</f>
        <v>1.4416666666666664</v>
      </c>
      <c r="FE63" s="12">
        <f>IF('Données projet'!$A$218&gt;35,FE62+FD63-FM62,IF(A63&lt;'Données projet'!$A$218,$FB$205^A63,IF(A63='Données projet'!$A$218,'Données projet'!$B$218,FE62+FD63-FM62)))</f>
        <v>68.625</v>
      </c>
      <c r="FF63" s="17">
        <f>FE63*VLOOKUP('Données projet'!$B$16,Paramètres!$A$1:$I$89,3,0)*VLOOKUP('Données projet'!$B$16,Paramètres!$A$1:$I$89,5,0)</f>
        <v>79.055999999999997</v>
      </c>
      <c r="FG63" s="13">
        <f t="shared" si="47"/>
        <v>21.90621200757878</v>
      </c>
      <c r="FH63" s="20">
        <f t="shared" si="22"/>
        <v>175.84251924653304</v>
      </c>
      <c r="FI63" s="59">
        <f t="shared" si="23"/>
        <v>469.17585257986639</v>
      </c>
      <c r="FJ63" s="59">
        <f ca="1">AVERAGE(OFFSET($FI$3,0,0,'Données projet'!$E$16+1,1))-AVERAGE(OFFSET($H$3,0,0,'Données projet'!$E$16+1,1))</f>
        <v>14.847345852478327</v>
      </c>
      <c r="FK63" s="59">
        <f t="shared" si="48"/>
        <v>46.764428272166299</v>
      </c>
      <c r="FL63" s="15">
        <f>IF(ISNA(VLOOKUP(A63,'Données projet'!$A$217:$I$237,3,0)),0,VLOOKUP(A63,'Données projet'!$A$217:$I$237,3,0))</f>
        <v>6</v>
      </c>
      <c r="FM63" s="15">
        <f>IF(ISNA(VLOOKUP(A63,'Données projet'!$A$217:$I$237,4,0)),0,VLOOKUP(A63,'Données projet'!$A$217:$I$237,4,0))</f>
        <v>8.0416666666666679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0.77251506583743201</v>
      </c>
      <c r="FS63" s="21">
        <f>EXP(-LN(2)/2)*FS62+(1-EXP(-LN(2)/2))/(LN(2)/2)*FM63*FP63*VLOOKUP('Données projet'!$B$16,Paramètres!$A$1:$I$89,3,0)*0.475*44/12</f>
        <v>6.0211044135098079E-5</v>
      </c>
      <c r="FT63" s="22">
        <f t="shared" si="24"/>
        <v>0.77257527688156713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8.374198717948719</v>
      </c>
      <c r="N64" s="13">
        <f>IF('Données projet'!$A$36&gt;35,N63+M64-V63,IF(A64&lt;'Données projet'!$A$36,$K$205^A64,IF(A64='Données projet'!$A$36,'Données projet'!$B$36,N63+M64-V63)))</f>
        <v>203.54006410256414</v>
      </c>
      <c r="O64" s="13">
        <f>N64*VLOOKUP('Données projet'!$B$9,Paramètres!$A$1:$I$89,3,0)*VLOOKUP('Données projet'!$B$9,Paramètres!$A$1:$I$89,5,0)</f>
        <v>184.16305000000003</v>
      </c>
      <c r="P64" s="13">
        <f t="shared" si="33"/>
        <v>46.247151975893182</v>
      </c>
      <c r="Q64" s="20">
        <f t="shared" si="53"/>
        <v>401.29776844134739</v>
      </c>
      <c r="R64" s="59">
        <f t="shared" si="0"/>
        <v>694.6311017746807</v>
      </c>
      <c r="S64" s="59">
        <f ca="1">AVERAGE(OFFSET($R$3,0,0,'Données projet'!$E$9+1,1))-AVERAGE(OFFSET($H$3,0,0,'Données projet'!$E$9+1,1))</f>
        <v>221.7429870520005</v>
      </c>
      <c r="T64" s="59">
        <f t="shared" si="34"/>
        <v>182.2029938397186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4.9000000000000004</v>
      </c>
      <c r="AI64" s="13">
        <f>IF('Données projet'!$A$62&gt;35,AI63+AH64-AQ63,IF(A64&lt;'Données projet'!$A$62,$AF$205^A64,IF(A64='Données projet'!$A$62,'Données projet'!$B$62,AI63+AH64-AQ63)))</f>
        <v>284.89999999999992</v>
      </c>
      <c r="AJ64" s="13">
        <f>AI64*VLOOKUP('Données projet'!$B$10,Paramètres!$A$1:$I$89,3,0)*VLOOKUP('Données projet'!$B$10,Paramètres!$A$1:$I$89,5,0)</f>
        <v>226.66643999999994</v>
      </c>
      <c r="AK64" s="13">
        <f t="shared" si="35"/>
        <v>55.561276600641385</v>
      </c>
      <c r="AL64" s="20">
        <f t="shared" si="4"/>
        <v>491.5466064127836</v>
      </c>
      <c r="AM64" s="59">
        <f t="shared" si="5"/>
        <v>784.87993974611686</v>
      </c>
      <c r="AN64" s="59">
        <f ca="1">AVERAGE(OFFSET($AM$3,0,0,'Données projet'!$E$10+1,1))-AVERAGE(OFFSET($H$3,0,0,'Données projet'!$E$10+1,1))</f>
        <v>260.20517190557814</v>
      </c>
      <c r="AO64" s="59">
        <f t="shared" si="36"/>
        <v>307.22009971147133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1.7659940128082743</v>
      </c>
      <c r="AV64" s="21">
        <f>EXP(-LN(2)/25)*AV63+(1-EXP(-LN(2)/25))/(LN(2)/25)*Calculateur!AQ64*Calculateur!AS64*VLOOKUP('Données projet'!$B$10,Paramètres!$A$1:$I$89,3,0)*0.475*44/12</f>
        <v>8.687438709381599</v>
      </c>
      <c r="AW64" s="21">
        <f>EXP(-LN(2)/2)*AW63+(1-EXP(-LN(2)/2))/(LN(2)/2)*AQ64*AT64*VLOOKUP('Données projet'!$B$10,Paramètres!$A$1:$I$89,3,0)*0.475*44/12</f>
        <v>5.1874280191956687E-4</v>
      </c>
      <c r="AX64" s="21">
        <f t="shared" si="6"/>
        <v>10.453951464991793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16.399999999999999</v>
      </c>
      <c r="BD64" s="12">
        <f>IF('Données projet'!$A$88&gt;35,BD63+BC64-BL63,IF(A64&lt;'Données projet'!$A$88,$BA$205^A64,IF(A64='Données projet'!$A$88,'Données projet'!$B$88,BD63+BC64-BL63)))</f>
        <v>416.39999999999975</v>
      </c>
      <c r="BE64" s="13">
        <f>BD64*VLOOKUP('Données projet'!$B$11,Paramètres!$A$1:$I$89,3,0)*VLOOKUP('Données projet'!$B$11,Paramètres!$A$1:$I$89,5,0)</f>
        <v>249.00719999999987</v>
      </c>
      <c r="BF64" s="13">
        <f t="shared" si="37"/>
        <v>60.373298466513951</v>
      </c>
      <c r="BG64" s="20">
        <f t="shared" si="7"/>
        <v>538.83770149584484</v>
      </c>
      <c r="BH64" s="59">
        <f t="shared" si="8"/>
        <v>832.1710348291781</v>
      </c>
      <c r="BI64" s="59">
        <f ca="1">AVERAGE(OFFSET($BH$3,0,0,'Données projet'!$E$11+1,1))-AVERAGE(OFFSET($H$3,0,0,'Données projet'!$E$11+1,1))</f>
        <v>316.58509520829671</v>
      </c>
      <c r="BJ64" s="59">
        <f t="shared" si="38"/>
        <v>240.71332110643596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1.3717464196524072</v>
      </c>
      <c r="BQ64" s="21">
        <f>EXP(-LN(2)/25)*BQ63+(1-EXP(-LN(2)/25))/(LN(2)/25)*Calculateur!BL64*Calculateur!BN64*VLOOKUP('Données projet'!$B$11,Paramètres!$A$1:$I$89,3,0)*0.475*44/12</f>
        <v>6.464022690079422</v>
      </c>
      <c r="BR64" s="21">
        <f>EXP(-LN(2)/2)*BR63+(1-EXP(-LN(2)/2))/(LN(2)/2)*BL64*BO64*VLOOKUP('Données projet'!$B$11,Paramètres!$A$1:$I$89,3,0)*0.475*44/12</f>
        <v>4.7343317442854842E-4</v>
      </c>
      <c r="BS64" s="22">
        <f t="shared" si="9"/>
        <v>7.8362425429062572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14.1</v>
      </c>
      <c r="BY64" s="12">
        <f>IF('Données projet'!$A$114&gt;35,BY63+BX64-CG63,IF(A64&lt;'Données projet'!$A$114,$BV$205^A64,IF(A64='Données projet'!$A$114,'Données projet'!$B$114,BY63+BX64-CG63)))</f>
        <v>371.10000000000008</v>
      </c>
      <c r="BZ64" s="13">
        <f>BY64*VLOOKUP('Données projet'!$B$12,Paramètres!$A$1:$I$89,3,0)*VLOOKUP('Données projet'!$B$12,Paramètres!$A$1:$I$89,5,0)</f>
        <v>221.91780000000006</v>
      </c>
      <c r="CA64" s="13">
        <f t="shared" si="39"/>
        <v>54.531499284124365</v>
      </c>
      <c r="CB64" s="20">
        <f t="shared" si="10"/>
        <v>481.4825295865167</v>
      </c>
      <c r="CC64" s="59">
        <f t="shared" si="11"/>
        <v>774.81586291985002</v>
      </c>
      <c r="CD64" s="59">
        <f ca="1">AVERAGE(OFFSET($CC$3,0,0,'Données projet'!$E$12+1,1))-AVERAGE(OFFSET($H$3,0,0,'Données projet'!$E$12+1,1))</f>
        <v>270.30888762640245</v>
      </c>
      <c r="CE64" s="59">
        <f t="shared" si="40"/>
        <v>202.23783851977691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1.1592223264668233</v>
      </c>
      <c r="CL64" s="21">
        <f>EXP(-LN(2)/25)*CL63+(1-EXP(-LN(2)/25))/(LN(2)/25)*Calculateur!CG64*Calculateur!CI64*VLOOKUP('Données projet'!$B$12,Paramètres!$A$1:$I$89,3,0)*0.475*44/12</f>
        <v>5.2054549421831426</v>
      </c>
      <c r="CM64" s="21">
        <f>EXP(-LN(2)/2)*CM63+(1-EXP(-LN(2)/2))/(LN(2)/2)*CG64*CJ64*VLOOKUP('Données projet'!$B$12,Paramètres!$A$1:$I$89,3,0)*0.475*44/12</f>
        <v>3.9905544840442714E-4</v>
      </c>
      <c r="CN64" s="22">
        <f t="shared" si="12"/>
        <v>6.3650763240983705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4.9000000000000004</v>
      </c>
      <c r="CT64" s="12">
        <f>IF('Données projet'!$A$140&gt;35,CT63+CS64-DB63,IF(A64&lt;'Données projet'!$A$140,$CQ$205^A64,IF(A64='Données projet'!$A$140,'Données projet'!$B$140,CT63+CS64-DB63)))</f>
        <v>284.89999999999992</v>
      </c>
      <c r="CU64" s="17">
        <f>CT64*VLOOKUP('Données projet'!$B$13,Paramètres!$A$1:$I$89,3,0)*VLOOKUP('Données projet'!$B$13,Paramètres!$A$1:$I$89,5,0)</f>
        <v>191.11091999999994</v>
      </c>
      <c r="CV64" s="13">
        <f t="shared" si="41"/>
        <v>47.785478092704217</v>
      </c>
      <c r="CW64" s="20">
        <f t="shared" si="13"/>
        <v>416.07789334479304</v>
      </c>
      <c r="CX64" s="59">
        <f t="shared" si="14"/>
        <v>709.41122667812635</v>
      </c>
      <c r="CY64" s="59">
        <f ca="1">AVERAGE(OFFSET($CX$3,0,0,'Données projet'!$E$13+1,1))-AVERAGE(OFFSET($H$3,0,0,'Données projet'!$E$13+1,1))</f>
        <v>207.93042467236967</v>
      </c>
      <c r="CZ64" s="59">
        <f t="shared" si="42"/>
        <v>250.70954318710835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1.488975344132466</v>
      </c>
      <c r="DG64" s="21">
        <f>EXP(-LN(2)/25)*DG63+(1-EXP(-LN(2)/25))/(LN(2)/25)*Calculateur!DB64*Calculateur!DD64*VLOOKUP('Données projet'!$B$13,Paramètres!$A$1:$I$89,3,0)*0.475*44/12</f>
        <v>7.324703225557041</v>
      </c>
      <c r="DH64" s="21">
        <f>EXP(-LN(2)/2)*DH63+(1-EXP(-LN(2)/2))/(LN(2)/2)*DB64*DE64*VLOOKUP('Données projet'!$B$13,Paramètres!$A$1:$I$89,3,0)*0.475*44/12</f>
        <v>4.3737138201061518E-4</v>
      </c>
      <c r="DI64" s="22">
        <f t="shared" si="15"/>
        <v>8.8141159410715186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4.0999999999999996</v>
      </c>
      <c r="DO64" s="12">
        <f>IF('Données projet'!$A$166&gt;35,DO63+DN64-DW63,IF(A64&lt;'Données projet'!$A$166,$DL$205^A64,IF(A64='Données projet'!$A$166,'Données projet'!$B$166,DO63+DN64-DW63)))</f>
        <v>237.09999999999974</v>
      </c>
      <c r="DP64" s="17">
        <f>DO64*VLOOKUP('Données projet'!$B$14,Paramètres!$A$1:$I$89,3,0)*VLOOKUP('Données projet'!$B$14,Paramètres!$A$1:$I$89,5,0)</f>
        <v>159.04667999999984</v>
      </c>
      <c r="DQ64" s="13">
        <f t="shared" si="43"/>
        <v>40.627416689910589</v>
      </c>
      <c r="DR64" s="20">
        <f t="shared" si="16"/>
        <v>347.76571840159392</v>
      </c>
      <c r="DS64" s="59">
        <f t="shared" si="17"/>
        <v>641.09905173492723</v>
      </c>
      <c r="DT64" s="59">
        <f ca="1">AVERAGE(OFFSET($DS$3,0,0,'Données projet'!$E$14+1,1))-AVERAGE(OFFSET($H$3,0,0,'Données projet'!$E$14+1,1))</f>
        <v>156.63226020379989</v>
      </c>
      <c r="DU64" s="59">
        <f t="shared" si="44"/>
        <v>196.0481096619543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3.6706242281585411</v>
      </c>
      <c r="EC64" s="21">
        <f>EXP(-LN(2)/2)*EC63+(1-EXP(-LN(2)/2))/(LN(2)/2)*DW64*DZ64*VLOOKUP('Données projet'!$B$14,Paramètres!$A$1:$I$89,3,0)*0.475*44/12</f>
        <v>1.9579811807501324E-4</v>
      </c>
      <c r="ED64" s="22">
        <f t="shared" si="18"/>
        <v>3.670820026276616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5.9431089743589762</v>
      </c>
      <c r="EJ64" s="12">
        <f>IF('Données projet'!$A$192&gt;35,EJ63+EI64-ER63,IF(A64&lt;'Données projet'!$A$192,$EG$205^A64,IF(A64='Données projet'!$A$192,'Données projet'!$B$192,EJ63+EI64-ER63)))</f>
        <v>132.2003205128205</v>
      </c>
      <c r="EK64" s="17">
        <f>EJ64*VLOOKUP('Données projet'!$B$15,Paramètres!$A$1:$I$89,3,0)*VLOOKUP('Données projet'!$B$15,Paramètres!$A$1:$I$89,5,0)</f>
        <v>134.05112499999998</v>
      </c>
      <c r="EL64" s="13">
        <f t="shared" si="45"/>
        <v>34.930776988059094</v>
      </c>
      <c r="EM64" s="20">
        <f t="shared" si="19"/>
        <v>294.31014596253618</v>
      </c>
      <c r="EN64" s="59">
        <f t="shared" si="20"/>
        <v>587.6434792958695</v>
      </c>
      <c r="EO64" s="59">
        <f ca="1">AVERAGE(OFFSET($EN$3,0,0,'Données projet'!$E$15+1,1))-AVERAGE(OFFSET($H$3,0,0,'Données projet'!$E$15+1,1))</f>
        <v>190.21499310415584</v>
      </c>
      <c r="EP64" s="59">
        <f t="shared" si="46"/>
        <v>136.15730566500173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1.3791666666666671</v>
      </c>
      <c r="FE64" s="12">
        <f>IF('Données projet'!$A$218&gt;35,FE63+FD64-FM63,IF(A64&lt;'Données projet'!$A$218,$FB$205^A64,IF(A64='Données projet'!$A$218,'Données projet'!$B$218,FE63+FD64-FM63)))</f>
        <v>61.962499999999991</v>
      </c>
      <c r="FF64" s="17">
        <f>FE64*VLOOKUP('Données projet'!$B$16,Paramètres!$A$1:$I$89,3,0)*VLOOKUP('Données projet'!$B$16,Paramètres!$A$1:$I$89,5,0)</f>
        <v>71.380799999999979</v>
      </c>
      <c r="FG64" s="13">
        <f t="shared" si="47"/>
        <v>20.01596807357717</v>
      </c>
      <c r="FH64" s="20">
        <f t="shared" si="22"/>
        <v>159.18270439481353</v>
      </c>
      <c r="FI64" s="59">
        <f t="shared" si="23"/>
        <v>452.51603772814684</v>
      </c>
      <c r="FJ64" s="59">
        <f ca="1">AVERAGE(OFFSET($FI$3,0,0,'Données projet'!$E$16+1,1))-AVERAGE(OFFSET($H$3,0,0,'Données projet'!$E$16+1,1))</f>
        <v>14.847345852478327</v>
      </c>
      <c r="FK64" s="59">
        <f t="shared" si="48"/>
        <v>46.764428272166299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0.75139060073730568</v>
      </c>
      <c r="FS64" s="21">
        <f>EXP(-LN(2)/2)*FS63+(1-EXP(-LN(2)/2))/(LN(2)/2)*FM64*FP64*VLOOKUP('Données projet'!$B$16,Paramètres!$A$1:$I$89,3,0)*0.475*44/12</f>
        <v>4.2575637610250356E-5</v>
      </c>
      <c r="FT64" s="22">
        <f t="shared" si="24"/>
        <v>0.75143317637491591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8.374198717948719</v>
      </c>
      <c r="N65" s="13">
        <f>IF('Données projet'!$A$36&gt;35,N64+M65-V64,IF(A65&lt;'Données projet'!$A$36,$K$205^A65,IF(A65='Données projet'!$A$36,'Données projet'!$B$36,N64+M65-V64)))</f>
        <v>211.91426282051287</v>
      </c>
      <c r="O65" s="13">
        <f>N65*VLOOKUP('Données projet'!$B$9,Paramètres!$A$1:$I$89,3,0)*VLOOKUP('Données projet'!$B$9,Paramètres!$A$1:$I$89,5,0)</f>
        <v>191.74002500000003</v>
      </c>
      <c r="P65" s="13">
        <f t="shared" si="33"/>
        <v>47.924443327659169</v>
      </c>
      <c r="Q65" s="20">
        <f t="shared" si="53"/>
        <v>417.41561567067311</v>
      </c>
      <c r="R65" s="59">
        <f t="shared" si="0"/>
        <v>710.74894900400636</v>
      </c>
      <c r="S65" s="59">
        <f ca="1">AVERAGE(OFFSET($R$3,0,0,'Données projet'!$E$9+1,1))-AVERAGE(OFFSET($H$3,0,0,'Données projet'!$E$9+1,1))</f>
        <v>221.7429870520005</v>
      </c>
      <c r="T65" s="59">
        <f t="shared" si="34"/>
        <v>182.2029938397186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4.9000000000000004</v>
      </c>
      <c r="AI65" s="13">
        <f>IF('Données projet'!$A$62&gt;35,AI64+AH65-AQ64,IF(A65&lt;'Données projet'!$A$62,$AF$205^A65,IF(A65='Données projet'!$A$62,'Données projet'!$B$62,AI64+AH65-AQ64)))</f>
        <v>289.7999999999999</v>
      </c>
      <c r="AJ65" s="13">
        <f>AI65*VLOOKUP('Données projet'!$B$10,Paramètres!$A$1:$I$89,3,0)*VLOOKUP('Données projet'!$B$10,Paramètres!$A$1:$I$89,5,0)</f>
        <v>230.56487999999993</v>
      </c>
      <c r="AK65" s="13">
        <f t="shared" si="35"/>
        <v>56.404804351341944</v>
      </c>
      <c r="AL65" s="20">
        <f t="shared" si="4"/>
        <v>499.80553357858707</v>
      </c>
      <c r="AM65" s="59">
        <f t="shared" si="5"/>
        <v>793.13886691192033</v>
      </c>
      <c r="AN65" s="59">
        <f ca="1">AVERAGE(OFFSET($AM$3,0,0,'Données projet'!$E$10+1,1))-AVERAGE(OFFSET($H$3,0,0,'Données projet'!$E$10+1,1))</f>
        <v>260.20517190557814</v>
      </c>
      <c r="AO65" s="59">
        <f t="shared" si="36"/>
        <v>307.22009971147133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1.7313639473670921</v>
      </c>
      <c r="AV65" s="21">
        <f>EXP(-LN(2)/25)*AV64+(1-EXP(-LN(2)/25))/(LN(2)/25)*Calculateur!AQ65*Calculateur!AS65*VLOOKUP('Données projet'!$B$10,Paramètres!$A$1:$I$89,3,0)*0.475*44/12</f>
        <v>8.4498802410210132</v>
      </c>
      <c r="AW65" s="21">
        <f>EXP(-LN(2)/2)*AW64+(1-EXP(-LN(2)/2))/(LN(2)/2)*AQ65*AT65*VLOOKUP('Données projet'!$B$10,Paramètres!$A$1:$I$89,3,0)*0.475*44/12</f>
        <v>3.6680655292903574E-4</v>
      </c>
      <c r="AX65" s="21">
        <f t="shared" si="6"/>
        <v>10.181610994941034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16.399999999999999</v>
      </c>
      <c r="BD65" s="12">
        <f>IF('Données projet'!$A$88&gt;35,BD64+BC65-BL64,IF(A65&lt;'Données projet'!$A$88,$BA$205^A65,IF(A65='Données projet'!$A$88,'Données projet'!$B$88,BD64+BC65-BL64)))</f>
        <v>432.79999999999973</v>
      </c>
      <c r="BE65" s="13">
        <f>BD65*VLOOKUP('Données projet'!$B$11,Paramètres!$A$1:$I$89,3,0)*VLOOKUP('Données projet'!$B$11,Paramètres!$A$1:$I$89,5,0)</f>
        <v>258.81439999999986</v>
      </c>
      <c r="BF65" s="13">
        <f t="shared" si="37"/>
        <v>62.469588762855253</v>
      </c>
      <c r="BG65" s="20">
        <f t="shared" si="7"/>
        <v>559.56961376197262</v>
      </c>
      <c r="BH65" s="59">
        <f t="shared" si="8"/>
        <v>852.90294709530599</v>
      </c>
      <c r="BI65" s="59">
        <f ca="1">AVERAGE(OFFSET($BH$3,0,0,'Données projet'!$E$11+1,1))-AVERAGE(OFFSET($H$3,0,0,'Données projet'!$E$11+1,1))</f>
        <v>316.58509520829671</v>
      </c>
      <c r="BJ65" s="59">
        <f t="shared" si="38"/>
        <v>240.71332110643596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1.3448473090457238</v>
      </c>
      <c r="BQ65" s="21">
        <f>EXP(-LN(2)/25)*BQ64+(1-EXP(-LN(2)/25))/(LN(2)/25)*Calculateur!BL65*Calculateur!BN65*VLOOKUP('Données projet'!$B$11,Paramètres!$A$1:$I$89,3,0)*0.475*44/12</f>
        <v>6.2872636496910204</v>
      </c>
      <c r="BR65" s="21">
        <f>EXP(-LN(2)/2)*BR64+(1-EXP(-LN(2)/2))/(LN(2)/2)*BL65*BO65*VLOOKUP('Données projet'!$B$11,Paramètres!$A$1:$I$89,3,0)*0.475*44/12</f>
        <v>3.3476780807710022E-4</v>
      </c>
      <c r="BS65" s="22">
        <f t="shared" si="9"/>
        <v>7.6324457265448213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14.1</v>
      </c>
      <c r="BY65" s="12">
        <f>IF('Données projet'!$A$114&gt;35,BY64+BX65-CG64,IF(A65&lt;'Données projet'!$A$114,$BV$205^A65,IF(A65='Données projet'!$A$114,'Données projet'!$B$114,BY64+BX65-CG64)))</f>
        <v>385.2000000000001</v>
      </c>
      <c r="BZ65" s="13">
        <f>BY65*VLOOKUP('Données projet'!$B$12,Paramètres!$A$1:$I$89,3,0)*VLOOKUP('Données projet'!$B$12,Paramètres!$A$1:$I$89,5,0)</f>
        <v>230.34960000000009</v>
      </c>
      <c r="CA65" s="13">
        <f t="shared" si="39"/>
        <v>56.35826654142631</v>
      </c>
      <c r="CB65" s="20">
        <f t="shared" si="10"/>
        <v>499.34953422631764</v>
      </c>
      <c r="CC65" s="59">
        <f t="shared" si="11"/>
        <v>792.68286755965096</v>
      </c>
      <c r="CD65" s="59">
        <f ca="1">AVERAGE(OFFSET($CC$3,0,0,'Données projet'!$E$12+1,1))-AVERAGE(OFFSET($H$3,0,0,'Données projet'!$E$12+1,1))</f>
        <v>270.30888762640245</v>
      </c>
      <c r="CE65" s="59">
        <f t="shared" si="40"/>
        <v>202.23783851977691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1.1364906837006121</v>
      </c>
      <c r="CL65" s="21">
        <f>EXP(-LN(2)/25)*CL64+(1-EXP(-LN(2)/25))/(LN(2)/25)*Calculateur!CG65*Calculateur!CI65*VLOOKUP('Données projet'!$B$12,Paramètres!$A$1:$I$89,3,0)*0.475*44/12</f>
        <v>5.0631115030461666</v>
      </c>
      <c r="CM65" s="21">
        <f>EXP(-LN(2)/2)*CM64+(1-EXP(-LN(2)/2))/(LN(2)/2)*CG65*CJ65*VLOOKUP('Données projet'!$B$12,Paramètres!$A$1:$I$89,3,0)*0.475*44/12</f>
        <v>2.8217481363620886E-4</v>
      </c>
      <c r="CN65" s="22">
        <f t="shared" si="12"/>
        <v>6.1998843615604144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4.9000000000000004</v>
      </c>
      <c r="CT65" s="12">
        <f>IF('Données projet'!$A$140&gt;35,CT64+CS65-DB64,IF(A65&lt;'Données projet'!$A$140,$CQ$205^A65,IF(A65='Données projet'!$A$140,'Données projet'!$B$140,CT64+CS65-DB64)))</f>
        <v>289.7999999999999</v>
      </c>
      <c r="CU65" s="17">
        <f>CT65*VLOOKUP('Données projet'!$B$13,Paramètres!$A$1:$I$89,3,0)*VLOOKUP('Données projet'!$B$13,Paramètres!$A$1:$I$89,5,0)</f>
        <v>194.39783999999992</v>
      </c>
      <c r="CV65" s="13">
        <f t="shared" si="41"/>
        <v>48.510954167370699</v>
      </c>
      <c r="CW65" s="20">
        <f t="shared" si="13"/>
        <v>423.06614984150383</v>
      </c>
      <c r="CX65" s="59">
        <f t="shared" si="14"/>
        <v>716.39948317483709</v>
      </c>
      <c r="CY65" s="59">
        <f ca="1">AVERAGE(OFFSET($CX$3,0,0,'Données projet'!$E$13+1,1))-AVERAGE(OFFSET($H$3,0,0,'Données projet'!$E$13+1,1))</f>
        <v>207.93042467236967</v>
      </c>
      <c r="CZ65" s="59">
        <f t="shared" si="42"/>
        <v>250.70954318710835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1.4597774458193125</v>
      </c>
      <c r="DG65" s="21">
        <f>EXP(-LN(2)/25)*DG64+(1-EXP(-LN(2)/25))/(LN(2)/25)*Calculateur!DB65*Calculateur!DD65*VLOOKUP('Données projet'!$B$13,Paramètres!$A$1:$I$89,3,0)*0.475*44/12</f>
        <v>7.1244088306647821</v>
      </c>
      <c r="DH65" s="21">
        <f>EXP(-LN(2)/2)*DH64+(1-EXP(-LN(2)/2))/(LN(2)/2)*DB65*DE65*VLOOKUP('Données projet'!$B$13,Paramètres!$A$1:$I$89,3,0)*0.475*44/12</f>
        <v>3.0926827011663795E-4</v>
      </c>
      <c r="DI65" s="22">
        <f t="shared" si="15"/>
        <v>8.5844955447542119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4.0999999999999996</v>
      </c>
      <c r="DO65" s="12">
        <f>IF('Données projet'!$A$166&gt;35,DO64+DN65-DW64,IF(A65&lt;'Données projet'!$A$166,$DL$205^A65,IF(A65='Données projet'!$A$166,'Données projet'!$B$166,DO64+DN65-DW64)))</f>
        <v>241.19999999999973</v>
      </c>
      <c r="DP65" s="17">
        <f>DO65*VLOOKUP('Données projet'!$B$14,Paramètres!$A$1:$I$89,3,0)*VLOOKUP('Données projet'!$B$14,Paramètres!$A$1:$I$89,5,0)</f>
        <v>161.79695999999981</v>
      </c>
      <c r="DQ65" s="13">
        <f t="shared" si="43"/>
        <v>41.247560923222927</v>
      </c>
      <c r="DR65" s="20">
        <f t="shared" si="16"/>
        <v>353.63587394127961</v>
      </c>
      <c r="DS65" s="59">
        <f t="shared" si="17"/>
        <v>646.96920727461293</v>
      </c>
      <c r="DT65" s="59">
        <f ca="1">AVERAGE(OFFSET($DS$3,0,0,'Données projet'!$E$14+1,1))-AVERAGE(OFFSET($H$3,0,0,'Données projet'!$E$14+1,1))</f>
        <v>156.63226020379989</v>
      </c>
      <c r="DU65" s="59">
        <f t="shared" si="44"/>
        <v>196.0481096619543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3.5702508156098069</v>
      </c>
      <c r="EC65" s="21">
        <f>EXP(-LN(2)/2)*EC64+(1-EXP(-LN(2)/2))/(LN(2)/2)*DW65*DZ65*VLOOKUP('Données projet'!$B$14,Paramètres!$A$1:$I$89,3,0)*0.475*44/12</f>
        <v>1.3845017703440618E-4</v>
      </c>
      <c r="ED65" s="22">
        <f t="shared" si="18"/>
        <v>3.5703892657868415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5.9431089743589762</v>
      </c>
      <c r="EJ65" s="12">
        <f>IF('Données projet'!$A$192&gt;35,EJ64+EI65-ER64,IF(A65&lt;'Données projet'!$A$192,$EG$205^A65,IF(A65='Données projet'!$A$192,'Données projet'!$B$192,EJ64+EI65-ER64)))</f>
        <v>138.14342948717947</v>
      </c>
      <c r="EK65" s="17">
        <f>EJ65*VLOOKUP('Données projet'!$B$15,Paramètres!$A$1:$I$89,3,0)*VLOOKUP('Données projet'!$B$15,Paramètres!$A$1:$I$89,5,0)</f>
        <v>140.0774375</v>
      </c>
      <c r="EL65" s="13">
        <f t="shared" si="45"/>
        <v>36.314744767883546</v>
      </c>
      <c r="EM65" s="20">
        <f t="shared" si="19"/>
        <v>307.2163841165638</v>
      </c>
      <c r="EN65" s="59">
        <f t="shared" si="20"/>
        <v>600.54971744989712</v>
      </c>
      <c r="EO65" s="59">
        <f ca="1">AVERAGE(OFFSET($EN$3,0,0,'Données projet'!$E$15+1,1))-AVERAGE(OFFSET($H$3,0,0,'Données projet'!$E$15+1,1))</f>
        <v>190.21499310415584</v>
      </c>
      <c r="EP65" s="59">
        <f t="shared" si="46"/>
        <v>136.15730566500173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1.3791666666666671</v>
      </c>
      <c r="FE65" s="12">
        <f>IF('Données projet'!$A$218&gt;35,FE64+FD65-FM64,IF(A65&lt;'Données projet'!$A$218,$FB$205^A65,IF(A65='Données projet'!$A$218,'Données projet'!$B$218,FE64+FD65-FM64)))</f>
        <v>63.341666666666661</v>
      </c>
      <c r="FF65" s="17">
        <f>FE65*VLOOKUP('Données projet'!$B$16,Paramètres!$A$1:$I$89,3,0)*VLOOKUP('Données projet'!$B$16,Paramètres!$A$1:$I$89,5,0)</f>
        <v>72.969599999999986</v>
      </c>
      <c r="FG65" s="13">
        <f t="shared" si="47"/>
        <v>20.409121242015409</v>
      </c>
      <c r="FH65" s="20">
        <f t="shared" si="22"/>
        <v>162.63460616317681</v>
      </c>
      <c r="FI65" s="59">
        <f t="shared" si="23"/>
        <v>455.9679394965101</v>
      </c>
      <c r="FJ65" s="59">
        <f ca="1">AVERAGE(OFFSET($FI$3,0,0,'Données projet'!$E$16+1,1))-AVERAGE(OFFSET($H$3,0,0,'Données projet'!$E$16+1,1))</f>
        <v>14.847345852478327</v>
      </c>
      <c r="FK65" s="59">
        <f t="shared" si="48"/>
        <v>46.764428272166299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0.73084378524622973</v>
      </c>
      <c r="FS65" s="21">
        <f>EXP(-LN(2)/2)*FS64+(1-EXP(-LN(2)/2))/(LN(2)/2)*FM65*FP65*VLOOKUP('Données projet'!$B$16,Paramètres!$A$1:$I$89,3,0)*0.475*44/12</f>
        <v>3.0105522067549043E-5</v>
      </c>
      <c r="FT65" s="22">
        <f t="shared" si="24"/>
        <v>0.73087389076829723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220.28846153846152</v>
      </c>
      <c r="L66" s="12">
        <f>VLOOKUP(A66,'Données projet'!$A$35:$I$55,9,0)</f>
        <v>8.374198717948719</v>
      </c>
      <c r="M66" s="12">
        <f t="array" ref="M66">INDEX(L:L,MIN(IF(ISNUMBER(L66:L262),ROW(L66:L262),"")))</f>
        <v>8.374198717948719</v>
      </c>
      <c r="N66" s="13">
        <f>IF('Données projet'!$A$36&gt;35,N65+M66-V65,IF(A66&lt;'Données projet'!$A$36,$K$205^A66,IF(A66='Données projet'!$A$36,'Données projet'!$B$36,N65+M66-V65)))</f>
        <v>220.2884615384616</v>
      </c>
      <c r="O66" s="13">
        <f>N66*VLOOKUP('Données projet'!$B$9,Paramètres!$A$1:$I$89,3,0)*VLOOKUP('Données projet'!$B$9,Paramètres!$A$1:$I$89,5,0)</f>
        <v>199.31700000000006</v>
      </c>
      <c r="P66" s="13">
        <f t="shared" si="33"/>
        <v>49.59403512638746</v>
      </c>
      <c r="Q66" s="20">
        <f t="shared" si="53"/>
        <v>433.52005284512489</v>
      </c>
      <c r="R66" s="59">
        <f t="shared" si="0"/>
        <v>726.85338617845821</v>
      </c>
      <c r="S66" s="59">
        <f ca="1">AVERAGE(OFFSET($R$3,0,0,'Données projet'!$E$9+1,1))-AVERAGE(OFFSET($H$3,0,0,'Données projet'!$E$9+1,1))</f>
        <v>221.7429870520005</v>
      </c>
      <c r="T66" s="59">
        <f t="shared" si="34"/>
        <v>182.2029938397186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41.724358974358978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4.9000000000000004</v>
      </c>
      <c r="AI66" s="13">
        <f>IF('Données projet'!$A$62&gt;35,AI65+AH66-AQ65,IF(A66&lt;'Données projet'!$A$62,$AF$205^A66,IF(A66='Données projet'!$A$62,'Données projet'!$B$62,AI65+AH66-AQ65)))</f>
        <v>294.69999999999987</v>
      </c>
      <c r="AJ66" s="13">
        <f>AI66*VLOOKUP('Données projet'!$B$10,Paramètres!$A$1:$I$89,3,0)*VLOOKUP('Données projet'!$B$10,Paramètres!$A$1:$I$89,5,0)</f>
        <v>234.46331999999992</v>
      </c>
      <c r="AK66" s="13">
        <f t="shared" si="35"/>
        <v>57.24667349069928</v>
      </c>
      <c r="AL66" s="20">
        <f t="shared" si="4"/>
        <v>508.06157199630115</v>
      </c>
      <c r="AM66" s="59">
        <f t="shared" si="5"/>
        <v>801.39490532963441</v>
      </c>
      <c r="AN66" s="59">
        <f ca="1">AVERAGE(OFFSET($AM$3,0,0,'Données projet'!$E$10+1,1))-AVERAGE(OFFSET($H$3,0,0,'Données projet'!$E$10+1,1))</f>
        <v>260.20517190557814</v>
      </c>
      <c r="AO66" s="59">
        <f t="shared" si="36"/>
        <v>307.22009971147133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1.6974129563869573</v>
      </c>
      <c r="AV66" s="21">
        <f>EXP(-LN(2)/25)*AV65+(1-EXP(-LN(2)/25))/(LN(2)/25)*Calculateur!AQ66*Calculateur!AS66*VLOOKUP('Données projet'!$B$10,Paramètres!$A$1:$I$89,3,0)*0.475*44/12</f>
        <v>8.2188178214704042</v>
      </c>
      <c r="AW66" s="21">
        <f>EXP(-LN(2)/2)*AW65+(1-EXP(-LN(2)/2))/(LN(2)/2)*AQ66*AT66*VLOOKUP('Données projet'!$B$10,Paramètres!$A$1:$I$89,3,0)*0.475*44/12</f>
        <v>2.5937140095978344E-4</v>
      </c>
      <c r="AX66" s="21">
        <f t="shared" si="6"/>
        <v>9.9164901492583208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16.399999999999999</v>
      </c>
      <c r="BD66" s="12">
        <f>IF('Données projet'!$A$88&gt;35,BD65+BC66-BL65,IF(A66&lt;'Données projet'!$A$88,$BA$205^A66,IF(A66='Données projet'!$A$88,'Données projet'!$B$88,BD65+BC66-BL65)))</f>
        <v>449.1999999999997</v>
      </c>
      <c r="BE66" s="13">
        <f>BD66*VLOOKUP('Données projet'!$B$11,Paramètres!$A$1:$I$89,3,0)*VLOOKUP('Données projet'!$B$11,Paramètres!$A$1:$I$89,5,0)</f>
        <v>268.62159999999983</v>
      </c>
      <c r="BF66" s="13">
        <f t="shared" si="37"/>
        <v>64.556650936372577</v>
      </c>
      <c r="BG66" s="20">
        <f t="shared" si="7"/>
        <v>580.28545371418193</v>
      </c>
      <c r="BH66" s="59">
        <f t="shared" si="8"/>
        <v>873.6187870475153</v>
      </c>
      <c r="BI66" s="59">
        <f ca="1">AVERAGE(OFFSET($BH$3,0,0,'Données projet'!$E$11+1,1))-AVERAGE(OFFSET($H$3,0,0,'Données projet'!$E$11+1,1))</f>
        <v>316.58509520829671</v>
      </c>
      <c r="BJ66" s="59">
        <f t="shared" si="38"/>
        <v>240.71332110643596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1.3184756735912002</v>
      </c>
      <c r="BQ66" s="21">
        <f>EXP(-LN(2)/25)*BQ65+(1-EXP(-LN(2)/25))/(LN(2)/25)*Calculateur!BL66*Calculateur!BN66*VLOOKUP('Données projet'!$B$11,Paramètres!$A$1:$I$89,3,0)*0.475*44/12</f>
        <v>6.1153380945573934</v>
      </c>
      <c r="BR66" s="21">
        <f>EXP(-LN(2)/2)*BR65+(1-EXP(-LN(2)/2))/(LN(2)/2)*BL66*BO66*VLOOKUP('Données projet'!$B$11,Paramètres!$A$1:$I$89,3,0)*0.475*44/12</f>
        <v>2.3671658721427426E-4</v>
      </c>
      <c r="BS66" s="22">
        <f t="shared" si="9"/>
        <v>7.434050484735808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14.1</v>
      </c>
      <c r="BY66" s="12">
        <f>IF('Données projet'!$A$114&gt;35,BY65+BX66-CG65,IF(A66&lt;'Données projet'!$A$114,$BV$205^A66,IF(A66='Données projet'!$A$114,'Données projet'!$B$114,BY65+BX66-CG65)))</f>
        <v>399.30000000000013</v>
      </c>
      <c r="BZ66" s="13">
        <f>BY66*VLOOKUP('Données projet'!$B$12,Paramètres!$A$1:$I$89,3,0)*VLOOKUP('Données projet'!$B$12,Paramètres!$A$1:$I$89,5,0)</f>
        <v>238.78140000000008</v>
      </c>
      <c r="CA66" s="13">
        <f t="shared" si="39"/>
        <v>58.177265129918027</v>
      </c>
      <c r="CB66" s="20">
        <f t="shared" si="10"/>
        <v>517.20300843460734</v>
      </c>
      <c r="CC66" s="59">
        <f t="shared" si="11"/>
        <v>810.53634176794071</v>
      </c>
      <c r="CD66" s="59">
        <f ca="1">AVERAGE(OFFSET($CC$3,0,0,'Données projet'!$E$12+1,1))-AVERAGE(OFFSET($H$3,0,0,'Données projet'!$E$12+1,1))</f>
        <v>270.30888762640245</v>
      </c>
      <c r="CE66" s="59">
        <f t="shared" si="40"/>
        <v>202.23783851977691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1.1142047945841134</v>
      </c>
      <c r="CL66" s="21">
        <f>EXP(-LN(2)/25)*CL65+(1-EXP(-LN(2)/25))/(LN(2)/25)*Calculateur!CG66*Calculateur!CI66*VLOOKUP('Données projet'!$B$12,Paramètres!$A$1:$I$89,3,0)*0.475*44/12</f>
        <v>4.924660452737907</v>
      </c>
      <c r="CM66" s="21">
        <f>EXP(-LN(2)/2)*CM65+(1-EXP(-LN(2)/2))/(LN(2)/2)*CG66*CJ66*VLOOKUP('Données projet'!$B$12,Paramètres!$A$1:$I$89,3,0)*0.475*44/12</f>
        <v>1.9952772420221357E-4</v>
      </c>
      <c r="CN66" s="22">
        <f t="shared" si="12"/>
        <v>6.0390647750462225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4.9000000000000004</v>
      </c>
      <c r="CT66" s="12">
        <f>IF('Données projet'!$A$140&gt;35,CT65+CS66-DB65,IF(A66&lt;'Données projet'!$A$140,$CQ$205^A66,IF(A66='Données projet'!$A$140,'Données projet'!$B$140,CT65+CS66-DB65)))</f>
        <v>294.69999999999987</v>
      </c>
      <c r="CU66" s="17">
        <f>CT66*VLOOKUP('Données projet'!$B$13,Paramètres!$A$1:$I$89,3,0)*VLOOKUP('Données projet'!$B$13,Paramètres!$A$1:$I$89,5,0)</f>
        <v>197.68475999999993</v>
      </c>
      <c r="CV66" s="13">
        <f t="shared" si="41"/>
        <v>49.235003753287103</v>
      </c>
      <c r="CW66" s="20">
        <f t="shared" si="13"/>
        <v>430.05192187030821</v>
      </c>
      <c r="CX66" s="59">
        <f t="shared" si="14"/>
        <v>723.38525520364146</v>
      </c>
      <c r="CY66" s="59">
        <f ca="1">AVERAGE(OFFSET($CX$3,0,0,'Données projet'!$E$13+1,1))-AVERAGE(OFFSET($H$3,0,0,'Données projet'!$E$13+1,1))</f>
        <v>207.93042467236967</v>
      </c>
      <c r="CZ66" s="59">
        <f t="shared" si="42"/>
        <v>250.70954318710835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1.4311521004831202</v>
      </c>
      <c r="DG66" s="21">
        <f>EXP(-LN(2)/25)*DG65+(1-EXP(-LN(2)/25))/(LN(2)/25)*Calculateur!DB66*Calculateur!DD66*VLOOKUP('Données projet'!$B$13,Paramètres!$A$1:$I$89,3,0)*0.475*44/12</f>
        <v>6.9295914965338765</v>
      </c>
      <c r="DH66" s="21">
        <f>EXP(-LN(2)/2)*DH65+(1-EXP(-LN(2)/2))/(LN(2)/2)*DB66*DE66*VLOOKUP('Données projet'!$B$13,Paramètres!$A$1:$I$89,3,0)*0.475*44/12</f>
        <v>2.1868569100530759E-4</v>
      </c>
      <c r="DI66" s="22">
        <f t="shared" si="15"/>
        <v>8.3609622827080017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4.0999999999999996</v>
      </c>
      <c r="DO66" s="12">
        <f>IF('Données projet'!$A$166&gt;35,DO65+DN66-DW65,IF(A66&lt;'Données projet'!$A$166,$DL$205^A66,IF(A66='Données projet'!$A$166,'Données projet'!$B$166,DO65+DN66-DW65)))</f>
        <v>245.29999999999973</v>
      </c>
      <c r="DP66" s="17">
        <f>DO66*VLOOKUP('Données projet'!$B$14,Paramètres!$A$1:$I$89,3,0)*VLOOKUP('Données projet'!$B$14,Paramètres!$A$1:$I$89,5,0)</f>
        <v>164.54723999999982</v>
      </c>
      <c r="DQ66" s="13">
        <f t="shared" si="43"/>
        <v>41.866479285519468</v>
      </c>
      <c r="DR66" s="20">
        <f t="shared" si="16"/>
        <v>359.50389442227942</v>
      </c>
      <c r="DS66" s="59">
        <f t="shared" si="17"/>
        <v>652.83722775561273</v>
      </c>
      <c r="DT66" s="59">
        <f ca="1">AVERAGE(OFFSET($DS$3,0,0,'Données projet'!$E$14+1,1))-AVERAGE(OFFSET($H$3,0,0,'Données projet'!$E$14+1,1))</f>
        <v>156.63226020379989</v>
      </c>
      <c r="DU66" s="59">
        <f t="shared" si="44"/>
        <v>196.0481096619543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3.4726221193056261</v>
      </c>
      <c r="EC66" s="21">
        <f>EXP(-LN(2)/2)*EC65+(1-EXP(-LN(2)/2))/(LN(2)/2)*DW66*DZ66*VLOOKUP('Données projet'!$B$14,Paramètres!$A$1:$I$89,3,0)*0.475*44/12</f>
        <v>9.7899059037506619E-5</v>
      </c>
      <c r="ED66" s="22">
        <f t="shared" si="18"/>
        <v>3.4727200183646638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5.9431089743589762</v>
      </c>
      <c r="EJ66" s="12">
        <f>IF('Données projet'!$A$192&gt;35,EJ65+EI66-ER65,IF(A66&lt;'Données projet'!$A$192,$EG$205^A66,IF(A66='Données projet'!$A$192,'Données projet'!$B$192,EJ65+EI66-ER65)))</f>
        <v>144.08653846153845</v>
      </c>
      <c r="EK66" s="17">
        <f>EJ66*VLOOKUP('Données projet'!$B$15,Paramètres!$A$1:$I$89,3,0)*VLOOKUP('Données projet'!$B$15,Paramètres!$A$1:$I$89,5,0)</f>
        <v>146.10374999999999</v>
      </c>
      <c r="EL66" s="13">
        <f t="shared" si="45"/>
        <v>37.691797153104957</v>
      </c>
      <c r="EM66" s="20">
        <f t="shared" si="19"/>
        <v>320.11057795832443</v>
      </c>
      <c r="EN66" s="59">
        <f t="shared" si="20"/>
        <v>613.44391129165774</v>
      </c>
      <c r="EO66" s="59">
        <f ca="1">AVERAGE(OFFSET($EN$3,0,0,'Données projet'!$E$15+1,1))-AVERAGE(OFFSET($H$3,0,0,'Données projet'!$E$15+1,1))</f>
        <v>190.21499310415584</v>
      </c>
      <c r="EP66" s="59">
        <f t="shared" si="46"/>
        <v>136.15730566500173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1.3791666666666671</v>
      </c>
      <c r="FE66" s="12">
        <f>IF('Données projet'!$A$218&gt;35,FE65+FD66-FM65,IF(A66&lt;'Données projet'!$A$218,$FB$205^A66,IF(A66='Données projet'!$A$218,'Données projet'!$B$218,FE65+FD66-FM65)))</f>
        <v>64.720833333333331</v>
      </c>
      <c r="FF66" s="17">
        <f>FE66*VLOOKUP('Données projet'!$B$16,Paramètres!$A$1:$I$89,3,0)*VLOOKUP('Données projet'!$B$16,Paramètres!$A$1:$I$89,5,0)</f>
        <v>74.558399999999992</v>
      </c>
      <c r="FG66" s="13">
        <f t="shared" si="47"/>
        <v>20.801279169886971</v>
      </c>
      <c r="FH66" s="20">
        <f t="shared" si="22"/>
        <v>166.08477455421976</v>
      </c>
      <c r="FI66" s="59">
        <f t="shared" si="23"/>
        <v>459.41810788755311</v>
      </c>
      <c r="FJ66" s="59">
        <f ca="1">AVERAGE(OFFSET($FI$3,0,0,'Données projet'!$E$16+1,1))-AVERAGE(OFFSET($H$3,0,0,'Données projet'!$E$16+1,1))</f>
        <v>14.847345852478327</v>
      </c>
      <c r="FK66" s="59">
        <f t="shared" si="48"/>
        <v>46.764428272166299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0.7108588235052673</v>
      </c>
      <c r="FS66" s="21">
        <f>EXP(-LN(2)/2)*FS65+(1-EXP(-LN(2)/2))/(LN(2)/2)*FM66*FP66*VLOOKUP('Données projet'!$B$16,Paramètres!$A$1:$I$89,3,0)*0.475*44/12</f>
        <v>2.1287818805125181E-5</v>
      </c>
      <c r="FT66" s="22">
        <f t="shared" si="24"/>
        <v>0.71088011132407247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8.1001602564102555</v>
      </c>
      <c r="N67" s="13">
        <f>IF('Données projet'!$A$36&gt;35,N66+M67-V66,IF(A67&lt;'Données projet'!$A$36,$K$205^A67,IF(A67='Données projet'!$A$36,'Données projet'!$B$36,N66+M67-V66)))</f>
        <v>186.66426282051287</v>
      </c>
      <c r="O67" s="13">
        <f>N67*VLOOKUP('Données projet'!$B$9,Paramètres!$A$1:$I$89,3,0)*VLOOKUP('Données projet'!$B$9,Paramètres!$A$1:$I$89,5,0)</f>
        <v>168.89382500000005</v>
      </c>
      <c r="P67" s="13">
        <f t="shared" si="33"/>
        <v>42.842183132845896</v>
      </c>
      <c r="Q67" s="20">
        <f t="shared" ref="Q67:Q98" si="54">(O67+P67)*0.475*44/12</f>
        <v>368.77354749803999</v>
      </c>
      <c r="R67" s="59">
        <f t="shared" ref="R67:R130" si="55">Q67+(I67+J67)*44/12</f>
        <v>662.10688083137325</v>
      </c>
      <c r="S67" s="59">
        <f ca="1">AVERAGE(OFFSET($R$3,0,0,'Données projet'!$E$9+1,1))-AVERAGE(OFFSET($H$3,0,0,'Données projet'!$E$9+1,1))</f>
        <v>221.7429870520005</v>
      </c>
      <c r="T67" s="59">
        <f t="shared" si="34"/>
        <v>182.2029938397186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4.9000000000000004</v>
      </c>
      <c r="AI67" s="13">
        <f>IF('Données projet'!$A$62&gt;35,AI66+AH67-AQ66,IF(A67&lt;'Données projet'!$A$62,$AF$205^A67,IF(A67='Données projet'!$A$62,'Données projet'!$B$62,AI66+AH67-AQ66)))</f>
        <v>299.59999999999985</v>
      </c>
      <c r="AJ67" s="13">
        <f>AI67*VLOOKUP('Données projet'!$B$10,Paramètres!$A$1:$I$89,3,0)*VLOOKUP('Données projet'!$B$10,Paramètres!$A$1:$I$89,5,0)</f>
        <v>238.36175999999992</v>
      </c>
      <c r="AK67" s="13">
        <f t="shared" si="35"/>
        <v>58.086914779719031</v>
      </c>
      <c r="AL67" s="20">
        <f t="shared" si="4"/>
        <v>516.3147752413438</v>
      </c>
      <c r="AM67" s="59">
        <f t="shared" si="5"/>
        <v>809.64810857467705</v>
      </c>
      <c r="AN67" s="59">
        <f ca="1">AVERAGE(OFFSET($AM$3,0,0,'Données projet'!$E$10+1,1))-AVERAGE(OFFSET($H$3,0,0,'Données projet'!$E$10+1,1))</f>
        <v>260.20517190557814</v>
      </c>
      <c r="AO67" s="59">
        <f t="shared" si="36"/>
        <v>307.22009971147133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1.6641277236318832</v>
      </c>
      <c r="AV67" s="21">
        <f>EXP(-LN(2)/25)*AV66+(1-EXP(-LN(2)/25))/(LN(2)/25)*Calculateur!AQ67*Calculateur!AS67*VLOOKUP('Données projet'!$B$10,Paramètres!$A$1:$I$89,3,0)*0.475*44/12</f>
        <v>7.9940738159334508</v>
      </c>
      <c r="AW67" s="21">
        <f>EXP(-LN(2)/2)*AW66+(1-EXP(-LN(2)/2))/(LN(2)/2)*AQ67*AT67*VLOOKUP('Données projet'!$B$10,Paramètres!$A$1:$I$89,3,0)*0.475*44/12</f>
        <v>1.8340327646451787E-4</v>
      </c>
      <c r="AX67" s="21">
        <f t="shared" si="6"/>
        <v>9.6583849428417992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16.399999999999999</v>
      </c>
      <c r="BD67" s="12">
        <f>IF('Données projet'!$A$88&gt;35,BD66+BC67-BL66,IF(A67&lt;'Données projet'!$A$88,$BA$205^A67,IF(A67='Données projet'!$A$88,'Données projet'!$B$88,BD66+BC67-BL66)))</f>
        <v>465.59999999999968</v>
      </c>
      <c r="BE67" s="13">
        <f>BD67*VLOOKUP('Données projet'!$B$11,Paramètres!$A$1:$I$89,3,0)*VLOOKUP('Données projet'!$B$11,Paramètres!$A$1:$I$89,5,0)</f>
        <v>278.42879999999985</v>
      </c>
      <c r="BF67" s="13">
        <f t="shared" si="37"/>
        <v>66.634860488094674</v>
      </c>
      <c r="BG67" s="20">
        <f t="shared" si="7"/>
        <v>600.9858753500979</v>
      </c>
      <c r="BH67" s="59">
        <f t="shared" si="8"/>
        <v>894.31920868343127</v>
      </c>
      <c r="BI67" s="59">
        <f ca="1">AVERAGE(OFFSET($BH$3,0,0,'Données projet'!$E$11+1,1))-AVERAGE(OFFSET($H$3,0,0,'Données projet'!$E$11+1,1))</f>
        <v>316.58509520829671</v>
      </c>
      <c r="BJ67" s="59">
        <f t="shared" si="38"/>
        <v>240.71332110643596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1.2926211698228305</v>
      </c>
      <c r="BQ67" s="21">
        <f>EXP(-LN(2)/25)*BQ66+(1-EXP(-LN(2)/25))/(LN(2)/25)*Calculateur!BL67*Calculateur!BN67*VLOOKUP('Données projet'!$B$11,Paramètres!$A$1:$I$89,3,0)*0.475*44/12</f>
        <v>5.9481138527700681</v>
      </c>
      <c r="BR67" s="21">
        <f>EXP(-LN(2)/2)*BR66+(1-EXP(-LN(2)/2))/(LN(2)/2)*BL67*BO67*VLOOKUP('Données projet'!$B$11,Paramètres!$A$1:$I$89,3,0)*0.475*44/12</f>
        <v>1.6738390403855014E-4</v>
      </c>
      <c r="BS67" s="22">
        <f t="shared" si="9"/>
        <v>7.2409024064969376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14.1</v>
      </c>
      <c r="BY67" s="12">
        <f>IF('Données projet'!$A$114&gt;35,BY66+BX67-CG66,IF(A67&lt;'Données projet'!$A$114,$BV$205^A67,IF(A67='Données projet'!$A$114,'Données projet'!$B$114,BY66+BX67-CG66)))</f>
        <v>413.40000000000015</v>
      </c>
      <c r="BZ67" s="13">
        <f>BY67*VLOOKUP('Données projet'!$B$12,Paramètres!$A$1:$I$89,3,0)*VLOOKUP('Données projet'!$B$12,Paramètres!$A$1:$I$89,5,0)</f>
        <v>247.21320000000011</v>
      </c>
      <c r="CA67" s="13">
        <f t="shared" si="39"/>
        <v>59.988800807398761</v>
      </c>
      <c r="CB67" s="20">
        <f t="shared" si="10"/>
        <v>535.04348473955304</v>
      </c>
      <c r="CC67" s="59">
        <f t="shared" si="11"/>
        <v>828.37681807288641</v>
      </c>
      <c r="CD67" s="59">
        <f ca="1">AVERAGE(OFFSET($CC$3,0,0,'Données projet'!$E$12+1,1))-AVERAGE(OFFSET($H$3,0,0,'Données projet'!$E$12+1,1))</f>
        <v>270.30888762640245</v>
      </c>
      <c r="CE67" s="59">
        <f t="shared" si="40"/>
        <v>202.23783851977691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1.092355918160139</v>
      </c>
      <c r="CL67" s="21">
        <f>EXP(-LN(2)/25)*CL66+(1-EXP(-LN(2)/25))/(LN(2)/25)*Calculateur!CG67*Calculateur!CI67*VLOOKUP('Données projet'!$B$12,Paramètres!$A$1:$I$89,3,0)*0.475*44/12</f>
        <v>4.7899953536811513</v>
      </c>
      <c r="CM67" s="21">
        <f>EXP(-LN(2)/2)*CM66+(1-EXP(-LN(2)/2))/(LN(2)/2)*CG67*CJ67*VLOOKUP('Données projet'!$B$12,Paramètres!$A$1:$I$89,3,0)*0.475*44/12</f>
        <v>1.4108740681810443E-4</v>
      </c>
      <c r="CN67" s="22">
        <f t="shared" si="12"/>
        <v>5.8824923592481086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4.9000000000000004</v>
      </c>
      <c r="CT67" s="12">
        <f>IF('Données projet'!$A$140&gt;35,CT66+CS67-DB66,IF(A67&lt;'Données projet'!$A$140,$CQ$205^A67,IF(A67='Données projet'!$A$140,'Données projet'!$B$140,CT66+CS67-DB66)))</f>
        <v>299.59999999999985</v>
      </c>
      <c r="CU67" s="17">
        <f>CT67*VLOOKUP('Données projet'!$B$13,Paramètres!$A$1:$I$89,3,0)*VLOOKUP('Données projet'!$B$13,Paramètres!$A$1:$I$89,5,0)</f>
        <v>200.97167999999994</v>
      </c>
      <c r="CV67" s="13">
        <f t="shared" si="41"/>
        <v>49.957653306457651</v>
      </c>
      <c r="CW67" s="20">
        <f t="shared" si="13"/>
        <v>437.03525550874696</v>
      </c>
      <c r="CX67" s="59">
        <f t="shared" si="14"/>
        <v>730.36858884208027</v>
      </c>
      <c r="CY67" s="59">
        <f ca="1">AVERAGE(OFFSET($CX$3,0,0,'Données projet'!$E$13+1,1))-AVERAGE(OFFSET($H$3,0,0,'Données projet'!$E$13+1,1))</f>
        <v>207.93042467236967</v>
      </c>
      <c r="CZ67" s="59">
        <f t="shared" si="42"/>
        <v>250.70954318710835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1.4030880807092343</v>
      </c>
      <c r="DG67" s="21">
        <f>EXP(-LN(2)/25)*DG66+(1-EXP(-LN(2)/25))/(LN(2)/25)*Calculateur!DB67*Calculateur!DD67*VLOOKUP('Données projet'!$B$13,Paramètres!$A$1:$I$89,3,0)*0.475*44/12</f>
        <v>6.7401014526497782</v>
      </c>
      <c r="DH67" s="21">
        <f>EXP(-LN(2)/2)*DH66+(1-EXP(-LN(2)/2))/(LN(2)/2)*DB67*DE67*VLOOKUP('Données projet'!$B$13,Paramètres!$A$1:$I$89,3,0)*0.475*44/12</f>
        <v>1.5463413505831898E-4</v>
      </c>
      <c r="DI67" s="22">
        <f t="shared" si="15"/>
        <v>8.143344167494071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4.0999999999999996</v>
      </c>
      <c r="DO67" s="12">
        <f>IF('Données projet'!$A$166&gt;35,DO66+DN67-DW66,IF(A67&lt;'Données projet'!$A$166,$DL$205^A67,IF(A67='Données projet'!$A$166,'Données projet'!$B$166,DO66+DN67-DW66)))</f>
        <v>249.39999999999972</v>
      </c>
      <c r="DP67" s="17">
        <f>DO67*VLOOKUP('Données projet'!$B$14,Paramètres!$A$1:$I$89,3,0)*VLOOKUP('Données projet'!$B$14,Paramètres!$A$1:$I$89,5,0)</f>
        <v>167.29751999999982</v>
      </c>
      <c r="DQ67" s="13">
        <f t="shared" si="43"/>
        <v>42.48419463117073</v>
      </c>
      <c r="DR67" s="20">
        <f t="shared" si="16"/>
        <v>365.36981964928873</v>
      </c>
      <c r="DS67" s="59">
        <f t="shared" si="17"/>
        <v>658.70315298262199</v>
      </c>
      <c r="DT67" s="59">
        <f ca="1">AVERAGE(OFFSET($DS$3,0,0,'Données projet'!$E$14+1,1))-AVERAGE(OFFSET($H$3,0,0,'Données projet'!$E$14+1,1))</f>
        <v>156.63226020379989</v>
      </c>
      <c r="DU67" s="59">
        <f t="shared" si="44"/>
        <v>196.0481096619543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3.3776630848359535</v>
      </c>
      <c r="EC67" s="21">
        <f>EXP(-LN(2)/2)*EC66+(1-EXP(-LN(2)/2))/(LN(2)/2)*DW67*DZ67*VLOOKUP('Données projet'!$B$14,Paramètres!$A$1:$I$89,3,0)*0.475*44/12</f>
        <v>6.9225088517203091E-5</v>
      </c>
      <c r="ED67" s="22">
        <f t="shared" si="18"/>
        <v>3.3777323099244705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5.9431089743589762</v>
      </c>
      <c r="EJ67" s="12">
        <f>IF('Données projet'!$A$192&gt;35,EJ66+EI67-ER66,IF(A67&lt;'Données projet'!$A$192,$EG$205^A67,IF(A67='Données projet'!$A$192,'Données projet'!$B$192,EJ66+EI67-ER66)))</f>
        <v>150.02964743589743</v>
      </c>
      <c r="EK67" s="17">
        <f>EJ67*VLOOKUP('Données projet'!$B$15,Paramètres!$A$1:$I$89,3,0)*VLOOKUP('Données projet'!$B$15,Paramètres!$A$1:$I$89,5,0)</f>
        <v>152.13006250000001</v>
      </c>
      <c r="EL67" s="13">
        <f t="shared" si="45"/>
        <v>39.06225200390233</v>
      </c>
      <c r="EM67" s="20">
        <f t="shared" si="19"/>
        <v>332.99328109429655</v>
      </c>
      <c r="EN67" s="59">
        <f t="shared" si="20"/>
        <v>626.32661442762992</v>
      </c>
      <c r="EO67" s="59">
        <f ca="1">AVERAGE(OFFSET($EN$3,0,0,'Données projet'!$E$15+1,1))-AVERAGE(OFFSET($H$3,0,0,'Données projet'!$E$15+1,1))</f>
        <v>190.21499310415584</v>
      </c>
      <c r="EP67" s="59">
        <f t="shared" si="46"/>
        <v>136.15730566500173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1.3791666666666671</v>
      </c>
      <c r="FE67" s="12">
        <f>IF('Données projet'!$A$218&gt;35,FE66+FD67-FM66,IF(A67&lt;'Données projet'!$A$218,$FB$205^A67,IF(A67='Données projet'!$A$218,'Données projet'!$B$218,FE66+FD67-FM66)))</f>
        <v>66.099999999999994</v>
      </c>
      <c r="FF67" s="17">
        <f>FE67*VLOOKUP('Données projet'!$B$16,Paramètres!$A$1:$I$89,3,0)*VLOOKUP('Données projet'!$B$16,Paramètres!$A$1:$I$89,5,0)</f>
        <v>76.147199999999984</v>
      </c>
      <c r="FG67" s="13">
        <f t="shared" si="47"/>
        <v>21.192465508132916</v>
      </c>
      <c r="FH67" s="20">
        <f t="shared" si="22"/>
        <v>169.53325075999811</v>
      </c>
      <c r="FI67" s="59">
        <f t="shared" si="23"/>
        <v>462.86658409333143</v>
      </c>
      <c r="FJ67" s="59">
        <f ca="1">AVERAGE(OFFSET($FI$3,0,0,'Données projet'!$E$16+1,1))-AVERAGE(OFFSET($H$3,0,0,'Données projet'!$E$16+1,1))</f>
        <v>14.847345852478327</v>
      </c>
      <c r="FK67" s="59">
        <f t="shared" si="48"/>
        <v>46.764428272166299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0.69142035159407489</v>
      </c>
      <c r="FS67" s="21">
        <f>EXP(-LN(2)/2)*FS66+(1-EXP(-LN(2)/2))/(LN(2)/2)*FM67*FP67*VLOOKUP('Données projet'!$B$16,Paramètres!$A$1:$I$89,3,0)*0.475*44/12</f>
        <v>1.5052761033774525E-5</v>
      </c>
      <c r="FT67" s="22">
        <f t="shared" si="24"/>
        <v>0.69143540435510864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8.1001602564102555</v>
      </c>
      <c r="N68" s="13">
        <f>IF('Données projet'!$A$36&gt;35,N67+M68-V67,IF(A68&lt;'Données projet'!$A$36,$K$205^A68,IF(A68='Données projet'!$A$36,'Données projet'!$B$36,N67+M68-V67)))</f>
        <v>194.76442307692312</v>
      </c>
      <c r="O68" s="13">
        <f>N68*VLOOKUP('Données projet'!$B$9,Paramètres!$A$1:$I$89,3,0)*VLOOKUP('Données projet'!$B$9,Paramètres!$A$1:$I$89,5,0)</f>
        <v>176.22285000000002</v>
      </c>
      <c r="P68" s="13">
        <f t="shared" si="33"/>
        <v>44.480805480154558</v>
      </c>
      <c r="Q68" s="20">
        <f t="shared" si="54"/>
        <v>384.39219996126917</v>
      </c>
      <c r="R68" s="59">
        <f t="shared" si="55"/>
        <v>677.72553329460243</v>
      </c>
      <c r="S68" s="59">
        <f ca="1">AVERAGE(OFFSET($R$3,0,0,'Données projet'!$E$9+1,1))-AVERAGE(OFFSET($H$3,0,0,'Données projet'!$E$9+1,1))</f>
        <v>221.7429870520005</v>
      </c>
      <c r="T68" s="59">
        <f t="shared" si="34"/>
        <v>182.2029938397186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4.9000000000000004</v>
      </c>
      <c r="AI68" s="13">
        <f>IF('Données projet'!$A$62&gt;35,AI67+AH68-AQ67,IF(A68&lt;'Données projet'!$A$62,$AF$205^A68,IF(A68='Données projet'!$A$62,'Données projet'!$B$62,AI67+AH68-AQ67)))</f>
        <v>304.49999999999983</v>
      </c>
      <c r="AJ68" s="13">
        <f>AI68*VLOOKUP('Données projet'!$B$10,Paramètres!$A$1:$I$89,3,0)*VLOOKUP('Données projet'!$B$10,Paramètres!$A$1:$I$89,5,0)</f>
        <v>242.26019999999986</v>
      </c>
      <c r="AK68" s="13">
        <f t="shared" si="35"/>
        <v>58.925557915516166</v>
      </c>
      <c r="AL68" s="20">
        <f t="shared" ref="AL68:AL131" si="58">(AJ68+AK68)*0.475*44/12</f>
        <v>524.5651950361904</v>
      </c>
      <c r="AM68" s="59">
        <f t="shared" ref="AM68:AM131" si="59">AL68+(AD68+AE68)*44/12</f>
        <v>817.89852836952377</v>
      </c>
      <c r="AN68" s="59">
        <f ca="1">AVERAGE(OFFSET($AM$3,0,0,'Données projet'!$E$10+1,1))-AVERAGE(OFFSET($H$3,0,0,'Données projet'!$E$10+1,1))</f>
        <v>260.20517190557814</v>
      </c>
      <c r="AO68" s="59">
        <f t="shared" si="36"/>
        <v>307.22009971147133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1.6314951939891487</v>
      </c>
      <c r="AV68" s="21">
        <f>EXP(-LN(2)/25)*AV67+(1-EXP(-LN(2)/25))/(LN(2)/25)*Calculateur!AQ68*Calculateur!AS68*VLOOKUP('Données projet'!$B$10,Paramètres!$A$1:$I$89,3,0)*0.475*44/12</f>
        <v>7.7754754470466789</v>
      </c>
      <c r="AW68" s="21">
        <f>EXP(-LN(2)/2)*AW67+(1-EXP(-LN(2)/2))/(LN(2)/2)*AQ68*AT68*VLOOKUP('Données projet'!$B$10,Paramètres!$A$1:$I$89,3,0)*0.475*44/12</f>
        <v>1.2968570047989172E-4</v>
      </c>
      <c r="AX68" s="21">
        <f t="shared" ref="AX68:AX131" si="60">SUM(AU68:AW68)</f>
        <v>9.4071003267363089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16.399999999999999</v>
      </c>
      <c r="BD68" s="12">
        <f>IF('Données projet'!$A$88&gt;35,BD67+BC68-BL67,IF(A68&lt;'Données projet'!$A$88,$BA$205^A68,IF(A68='Données projet'!$A$88,'Données projet'!$B$88,BD67+BC68-BL67)))</f>
        <v>481.99999999999966</v>
      </c>
      <c r="BE68" s="13">
        <f>BD68*VLOOKUP('Données projet'!$B$11,Paramètres!$A$1:$I$89,3,0)*VLOOKUP('Données projet'!$B$11,Paramètres!$A$1:$I$89,5,0)</f>
        <v>288.23599999999982</v>
      </c>
      <c r="BF68" s="13">
        <f t="shared" si="37"/>
        <v>68.704564966369475</v>
      </c>
      <c r="BG68" s="20">
        <f t="shared" ref="BG68:BG131" si="61">(BE68+BF68)*0.475*44/12</f>
        <v>621.67148398309314</v>
      </c>
      <c r="BH68" s="59">
        <f t="shared" ref="BH68:BH131" si="62">BG68+(AY68+AZ68)*44/12</f>
        <v>915.0048173164264</v>
      </c>
      <c r="BI68" s="59">
        <f ca="1">AVERAGE(OFFSET($BH$3,0,0,'Données projet'!$E$11+1,1))-AVERAGE(OFFSET($H$3,0,0,'Données projet'!$E$11+1,1))</f>
        <v>316.58509520829671</v>
      </c>
      <c r="BJ68" s="59">
        <f t="shared" si="38"/>
        <v>240.71332110643596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1.2672736571036682</v>
      </c>
      <c r="BQ68" s="21">
        <f>EXP(-LN(2)/25)*BQ67+(1-EXP(-LN(2)/25))/(LN(2)/25)*Calculateur!BL68*Calculateur!BN68*VLOOKUP('Données projet'!$B$11,Paramètres!$A$1:$I$89,3,0)*0.475*44/12</f>
        <v>5.7854623666683578</v>
      </c>
      <c r="BR68" s="21">
        <f>EXP(-LN(2)/2)*BR67+(1-EXP(-LN(2)/2))/(LN(2)/2)*BL68*BO68*VLOOKUP('Données projet'!$B$11,Paramètres!$A$1:$I$89,3,0)*0.475*44/12</f>
        <v>1.1835829360713715E-4</v>
      </c>
      <c r="BS68" s="22">
        <f t="shared" ref="BS68:BS131" si="63">SUM(BP68:BR68)</f>
        <v>7.0528543820656324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14.1</v>
      </c>
      <c r="BY68" s="12">
        <f>IF('Données projet'!$A$114&gt;35,BY67+BX68-CG67,IF(A68&lt;'Données projet'!$A$114,$BV$205^A68,IF(A68='Données projet'!$A$114,'Données projet'!$B$114,BY67+BX68-CG67)))</f>
        <v>427.50000000000017</v>
      </c>
      <c r="BZ68" s="13">
        <f>BY68*VLOOKUP('Données projet'!$B$12,Paramètres!$A$1:$I$89,3,0)*VLOOKUP('Données projet'!$B$12,Paramètres!$A$1:$I$89,5,0)</f>
        <v>255.64500000000012</v>
      </c>
      <c r="CA68" s="13">
        <f t="shared" si="39"/>
        <v>61.793157291319226</v>
      </c>
      <c r="CB68" s="20">
        <f t="shared" ref="CB68:CB131" si="64">(BZ68+CA68)*0.475*44/12</f>
        <v>552.87145728238113</v>
      </c>
      <c r="CC68" s="59">
        <f t="shared" ref="CC68:CC131" si="65">CB68+(BT68+BU68)*44/12</f>
        <v>846.2047906157145</v>
      </c>
      <c r="CD68" s="59">
        <f ca="1">AVERAGE(OFFSET($CC$3,0,0,'Données projet'!$E$12+1,1))-AVERAGE(OFFSET($H$3,0,0,'Données projet'!$E$12+1,1))</f>
        <v>270.30888762640245</v>
      </c>
      <c r="CE68" s="59">
        <f t="shared" si="40"/>
        <v>202.23783851977691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1.0709354848763399</v>
      </c>
      <c r="CL68" s="21">
        <f>EXP(-LN(2)/25)*CL67+(1-EXP(-LN(2)/25))/(LN(2)/25)*Calculateur!CG68*Calculateur!CI68*VLOOKUP('Données projet'!$B$12,Paramètres!$A$1:$I$89,3,0)*0.475*44/12</f>
        <v>4.6590126788398321</v>
      </c>
      <c r="CM68" s="21">
        <f>EXP(-LN(2)/2)*CM67+(1-EXP(-LN(2)/2))/(LN(2)/2)*CG68*CJ68*VLOOKUP('Données projet'!$B$12,Paramètres!$A$1:$I$89,3,0)*0.475*44/12</f>
        <v>9.9763862101106784E-5</v>
      </c>
      <c r="CN68" s="22">
        <f t="shared" ref="CN68:CN131" si="66">SUM(CK68:CM68)</f>
        <v>5.7300479275782727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4.9000000000000004</v>
      </c>
      <c r="CT68" s="12">
        <f>IF('Données projet'!$A$140&gt;35,CT67+CS68-DB67,IF(A68&lt;'Données projet'!$A$140,$CQ$205^A68,IF(A68='Données projet'!$A$140,'Données projet'!$B$140,CT67+CS68-DB67)))</f>
        <v>304.49999999999983</v>
      </c>
      <c r="CU68" s="17">
        <f>CT68*VLOOKUP('Données projet'!$B$13,Paramètres!$A$1:$I$89,3,0)*VLOOKUP('Données projet'!$B$13,Paramètres!$A$1:$I$89,5,0)</f>
        <v>204.25859999999989</v>
      </c>
      <c r="CV68" s="13">
        <f t="shared" si="41"/>
        <v>50.678928367887181</v>
      </c>
      <c r="CW68" s="20">
        <f t="shared" ref="CW68:CW131" si="67">(CU68+CV68)*0.475*44/12</f>
        <v>444.01619524073664</v>
      </c>
      <c r="CX68" s="59">
        <f t="shared" ref="CX68:CX131" si="68">CW68+(CO68+CP68)*44/12</f>
        <v>737.34952857406995</v>
      </c>
      <c r="CY68" s="59">
        <f ca="1">AVERAGE(OFFSET($CX$3,0,0,'Données projet'!$E$13+1,1))-AVERAGE(OFFSET($H$3,0,0,'Données projet'!$E$13+1,1))</f>
        <v>207.93042467236967</v>
      </c>
      <c r="CZ68" s="59">
        <f t="shared" si="42"/>
        <v>250.70954318710835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1.3755743792457522</v>
      </c>
      <c r="DG68" s="21">
        <f>EXP(-LN(2)/25)*DG67+(1-EXP(-LN(2)/25))/(LN(2)/25)*Calculateur!DB68*Calculateur!DD68*VLOOKUP('Données projet'!$B$13,Paramètres!$A$1:$I$89,3,0)*0.475*44/12</f>
        <v>6.5557930239805398</v>
      </c>
      <c r="DH68" s="21">
        <f>EXP(-LN(2)/2)*DH67+(1-EXP(-LN(2)/2))/(LN(2)/2)*DB68*DE68*VLOOKUP('Données projet'!$B$13,Paramètres!$A$1:$I$89,3,0)*0.475*44/12</f>
        <v>1.093428455026538E-4</v>
      </c>
      <c r="DI68" s="22">
        <f t="shared" ref="DI68:DI131" si="69">SUM(DF68:DH68)</f>
        <v>7.9314767460717945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4.0999999999999996</v>
      </c>
      <c r="DO68" s="12">
        <f>IF('Données projet'!$A$166&gt;35,DO67+DN68-DW67,IF(A68&lt;'Données projet'!$A$166,$DL$205^A68,IF(A68='Données projet'!$A$166,'Données projet'!$B$166,DO67+DN68-DW67)))</f>
        <v>253.49999999999972</v>
      </c>
      <c r="DP68" s="17">
        <f>DO68*VLOOKUP('Données projet'!$B$14,Paramètres!$A$1:$I$89,3,0)*VLOOKUP('Données projet'!$B$14,Paramètres!$A$1:$I$89,5,0)</f>
        <v>170.04779999999982</v>
      </c>
      <c r="DQ68" s="13">
        <f t="shared" si="43"/>
        <v>43.100729020040831</v>
      </c>
      <c r="DR68" s="20">
        <f t="shared" ref="DR68:DR131" si="70">(DP68+DQ68)*0.475*44/12</f>
        <v>371.23368804323746</v>
      </c>
      <c r="DS68" s="59">
        <f t="shared" ref="DS68:DS131" si="71">DR68+(DJ68+DK68)*44/12</f>
        <v>664.56702137657078</v>
      </c>
      <c r="DT68" s="59">
        <f ca="1">AVERAGE(OFFSET($DS$3,0,0,'Données projet'!$E$14+1,1))-AVERAGE(OFFSET($H$3,0,0,'Données projet'!$E$14+1,1))</f>
        <v>156.63226020379989</v>
      </c>
      <c r="DU68" s="59">
        <f t="shared" si="44"/>
        <v>196.0481096619543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3.2853007101575322</v>
      </c>
      <c r="EC68" s="21">
        <f>EXP(-LN(2)/2)*EC67+(1-EXP(-LN(2)/2))/(LN(2)/2)*DW68*DZ68*VLOOKUP('Données projet'!$B$14,Paramètres!$A$1:$I$89,3,0)*0.475*44/12</f>
        <v>4.894952951875331E-5</v>
      </c>
      <c r="ED68" s="22">
        <f t="shared" ref="ED68:ED131" si="72">SUM(EA68:EC68)</f>
        <v>3.2853496596870508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5.9431089743589762</v>
      </c>
      <c r="EJ68" s="12">
        <f>IF('Données projet'!$A$192&gt;35,EJ67+EI68-ER67,IF(A68&lt;'Données projet'!$A$192,$EG$205^A68,IF(A68='Données projet'!$A$192,'Données projet'!$B$192,EJ67+EI68-ER67)))</f>
        <v>155.97275641025641</v>
      </c>
      <c r="EK68" s="17">
        <f>EJ68*VLOOKUP('Données projet'!$B$15,Paramètres!$A$1:$I$89,3,0)*VLOOKUP('Données projet'!$B$15,Paramètres!$A$1:$I$89,5,0)</f>
        <v>158.15637500000003</v>
      </c>
      <c r="EL68" s="13">
        <f t="shared" si="45"/>
        <v>40.426400572135641</v>
      </c>
      <c r="EM68" s="20">
        <f t="shared" ref="EM68:EM131" si="73">(EK68+EL68)*0.475*44/12</f>
        <v>345.86500078813629</v>
      </c>
      <c r="EN68" s="59">
        <f t="shared" ref="EN68:EN131" si="74">EM68+(EE68+EF68)*44/12</f>
        <v>639.19833412146954</v>
      </c>
      <c r="EO68" s="59">
        <f ca="1">AVERAGE(OFFSET($EN$3,0,0,'Données projet'!$E$15+1,1))-AVERAGE(OFFSET($H$3,0,0,'Données projet'!$E$15+1,1))</f>
        <v>190.21499310415584</v>
      </c>
      <c r="EP68" s="59">
        <f t="shared" si="46"/>
        <v>136.15730566500173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1.3791666666666671</v>
      </c>
      <c r="FE68" s="12">
        <f>IF('Données projet'!$A$218&gt;35,FE67+FD68-FM67,IF(A68&lt;'Données projet'!$A$218,$FB$205^A68,IF(A68='Données projet'!$A$218,'Données projet'!$B$218,FE67+FD68-FM67)))</f>
        <v>67.479166666666657</v>
      </c>
      <c r="FF68" s="17">
        <f>FE68*VLOOKUP('Données projet'!$B$16,Paramètres!$A$1:$I$89,3,0)*VLOOKUP('Données projet'!$B$16,Paramètres!$A$1:$I$89,5,0)</f>
        <v>77.735999999999976</v>
      </c>
      <c r="FG68" s="13">
        <f t="shared" si="47"/>
        <v>21.582702864347226</v>
      </c>
      <c r="FH68" s="20">
        <f t="shared" ref="FH68:FH131" si="76">(FF68+FG68)*0.475*44/12</f>
        <v>172.98007415540471</v>
      </c>
      <c r="FI68" s="59">
        <f t="shared" ref="FI68:FI131" si="77">FH68+(EZ68+FA68)*44/12</f>
        <v>466.31340748873799</v>
      </c>
      <c r="FJ68" s="59">
        <f ca="1">AVERAGE(OFFSET($FI$3,0,0,'Données projet'!$E$16+1,1))-AVERAGE(OFFSET($H$3,0,0,'Données projet'!$E$16+1,1))</f>
        <v>14.847345852478327</v>
      </c>
      <c r="FK68" s="59">
        <f t="shared" si="48"/>
        <v>46.764428272166299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0.67251342571951889</v>
      </c>
      <c r="FS68" s="21">
        <f>EXP(-LN(2)/2)*FS67+(1-EXP(-LN(2)/2))/(LN(2)/2)*FM68*FP68*VLOOKUP('Données projet'!$B$16,Paramètres!$A$1:$I$89,3,0)*0.475*44/12</f>
        <v>1.0643909402562592E-5</v>
      </c>
      <c r="FT68" s="22">
        <f t="shared" ref="FT68:FT131" si="78">SUM(FQ68:FS68)</f>
        <v>0.67252406962892142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8.1001602564102555</v>
      </c>
      <c r="N69" s="13">
        <f>IF('Données projet'!$A$36&gt;35,N68+M69-V68,IF(A69&lt;'Données projet'!$A$36,$K$205^A69,IF(A69='Données projet'!$A$36,'Données projet'!$B$36,N68+M69-V68)))</f>
        <v>202.86458333333337</v>
      </c>
      <c r="O69" s="13">
        <f>N69*VLOOKUP('Données projet'!$B$9,Paramètres!$A$1:$I$89,3,0)*VLOOKUP('Données projet'!$B$9,Paramètres!$A$1:$I$89,5,0)</f>
        <v>183.55187500000002</v>
      </c>
      <c r="P69" s="13">
        <f t="shared" ref="P69:P132" si="87">EXP(-1.0587+0.8836*LN(O69)+0.284)</f>
        <v>46.111511982372384</v>
      </c>
      <c r="Q69" s="20">
        <f t="shared" si="54"/>
        <v>399.99706566096523</v>
      </c>
      <c r="R69" s="59">
        <f t="shared" si="55"/>
        <v>693.33039899429855</v>
      </c>
      <c r="S69" s="59">
        <f ca="1">AVERAGE(OFFSET($R$3,0,0,'Données projet'!$E$9+1,1))-AVERAGE(OFFSET($H$3,0,0,'Données projet'!$E$9+1,1))</f>
        <v>221.7429870520005</v>
      </c>
      <c r="T69" s="59">
        <f t="shared" ref="T69:T132" si="88">$T$3</f>
        <v>182.2029938397186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4.9000000000000004</v>
      </c>
      <c r="AI69" s="13">
        <f>IF('Données projet'!$A$62&gt;35,AI68+AH69-AQ68,IF(A69&lt;'Données projet'!$A$62,$AF$205^A69,IF(A69='Données projet'!$A$62,'Données projet'!$B$62,AI68+AH69-AQ68)))</f>
        <v>309.39999999999981</v>
      </c>
      <c r="AJ69" s="13">
        <f>AI69*VLOOKUP('Données projet'!$B$10,Paramètres!$A$1:$I$89,3,0)*VLOOKUP('Données projet'!$B$10,Paramètres!$A$1:$I$89,5,0)</f>
        <v>246.15863999999985</v>
      </c>
      <c r="AK69" s="13">
        <f t="shared" ref="AK69:AK132" si="89">EXP(-1.0587+0.8836*LN(AJ69)+0.284)</f>
        <v>59.762631584626781</v>
      </c>
      <c r="AL69" s="20">
        <f t="shared" si="58"/>
        <v>532.8128813432246</v>
      </c>
      <c r="AM69" s="59">
        <f t="shared" si="59"/>
        <v>826.14621467655797</v>
      </c>
      <c r="AN69" s="59">
        <f ca="1">AVERAGE(OFFSET($AM$3,0,0,'Données projet'!$E$10+1,1))-AVERAGE(OFFSET($H$3,0,0,'Données projet'!$E$10+1,1))</f>
        <v>260.20517190557814</v>
      </c>
      <c r="AO69" s="59">
        <f t="shared" ref="AO69:AO132" si="90">$AO$3</f>
        <v>307.22009971147133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1.5995025683488304</v>
      </c>
      <c r="AV69" s="21">
        <f>EXP(-LN(2)/25)*AV68+(1-EXP(-LN(2)/25))/(LN(2)/25)*Calculateur!AQ69*Calculateur!AS69*VLOOKUP('Données projet'!$B$10,Paramètres!$A$1:$I$89,3,0)*0.475*44/12</f>
        <v>7.5628546620527048</v>
      </c>
      <c r="AW69" s="21">
        <f>EXP(-LN(2)/2)*AW68+(1-EXP(-LN(2)/2))/(LN(2)/2)*AQ69*AT69*VLOOKUP('Données projet'!$B$10,Paramètres!$A$1:$I$89,3,0)*0.475*44/12</f>
        <v>9.1701638232258935E-5</v>
      </c>
      <c r="AX69" s="21">
        <f t="shared" si="60"/>
        <v>9.1624489320397693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16.399999999999999</v>
      </c>
      <c r="BD69" s="12">
        <f>IF('Données projet'!$A$88&gt;35,BD68+BC69-BL68,IF(A69&lt;'Données projet'!$A$88,$BA$205^A69,IF(A69='Données projet'!$A$88,'Données projet'!$B$88,BD68+BC69-BL68)))</f>
        <v>498.39999999999964</v>
      </c>
      <c r="BE69" s="13">
        <f>BD69*VLOOKUP('Données projet'!$B$11,Paramètres!$A$1:$I$89,3,0)*VLOOKUP('Données projet'!$B$11,Paramètres!$A$1:$I$89,5,0)</f>
        <v>298.04319999999979</v>
      </c>
      <c r="BF69" s="13">
        <f t="shared" ref="BF69:BF132" si="91">EXP(-1.0587+0.8836*LN(BE69)+0.284)</f>
        <v>70.766086927307597</v>
      </c>
      <c r="BG69" s="20">
        <f t="shared" si="61"/>
        <v>642.3428413983936</v>
      </c>
      <c r="BH69" s="59">
        <f t="shared" si="62"/>
        <v>935.67617473172686</v>
      </c>
      <c r="BI69" s="59">
        <f ca="1">AVERAGE(OFFSET($BH$3,0,0,'Données projet'!$E$11+1,1))-AVERAGE(OFFSET($H$3,0,0,'Données projet'!$E$11+1,1))</f>
        <v>316.58509520829671</v>
      </c>
      <c r="BJ69" s="59">
        <f t="shared" ref="BJ69:BJ132" si="92">$BJ$3</f>
        <v>240.71332110643596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1.2424231936484726</v>
      </c>
      <c r="BQ69" s="21">
        <f>EXP(-LN(2)/25)*BQ68+(1-EXP(-LN(2)/25))/(LN(2)/25)*Calculateur!BL69*Calculateur!BN69*VLOOKUP('Données projet'!$B$11,Paramètres!$A$1:$I$89,3,0)*0.475*44/12</f>
        <v>5.6272585940075688</v>
      </c>
      <c r="BR69" s="21">
        <f>EXP(-LN(2)/2)*BR68+(1-EXP(-LN(2)/2))/(LN(2)/2)*BL69*BO69*VLOOKUP('Données projet'!$B$11,Paramètres!$A$1:$I$89,3,0)*0.475*44/12</f>
        <v>8.3691952019275081E-5</v>
      </c>
      <c r="BS69" s="22">
        <f t="shared" si="63"/>
        <v>6.8697654796080609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14.1</v>
      </c>
      <c r="BY69" s="12">
        <f>IF('Données projet'!$A$114&gt;35,BY68+BX69-CG68,IF(A69&lt;'Données projet'!$A$114,$BV$205^A69,IF(A69='Données projet'!$A$114,'Données projet'!$B$114,BY68+BX69-CG68)))</f>
        <v>441.60000000000019</v>
      </c>
      <c r="BZ69" s="13">
        <f>BY69*VLOOKUP('Données projet'!$B$12,Paramètres!$A$1:$I$89,3,0)*VLOOKUP('Données projet'!$B$12,Paramètres!$A$1:$I$89,5,0)</f>
        <v>264.07680000000016</v>
      </c>
      <c r="CA69" s="13">
        <f t="shared" ref="CA69:CA132" si="93">EXP(-1.0587+0.8836*LN(BZ69)+0.284)</f>
        <v>63.590598521565674</v>
      </c>
      <c r="CB69" s="20">
        <f t="shared" si="64"/>
        <v>570.6873857583937</v>
      </c>
      <c r="CC69" s="59">
        <f t="shared" si="65"/>
        <v>864.02071909172696</v>
      </c>
      <c r="CD69" s="59">
        <f ca="1">AVERAGE(OFFSET($CC$3,0,0,'Données projet'!$E$12+1,1))-AVERAGE(OFFSET($H$3,0,0,'Données projet'!$E$12+1,1))</f>
        <v>270.30888762640245</v>
      </c>
      <c r="CE69" s="59">
        <f t="shared" ref="CE69:CE132" si="94">$CE$3</f>
        <v>202.23783851977691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1.0499350932240619</v>
      </c>
      <c r="CL69" s="21">
        <f>EXP(-LN(2)/25)*CL68+(1-EXP(-LN(2)/25))/(LN(2)/25)*Calculateur!CG69*Calculateur!CI69*VLOOKUP('Données projet'!$B$12,Paramètres!$A$1:$I$89,3,0)*0.475*44/12</f>
        <v>4.5316117321301288</v>
      </c>
      <c r="CM69" s="21">
        <f>EXP(-LN(2)/2)*CM68+(1-EXP(-LN(2)/2))/(LN(2)/2)*CG69*CJ69*VLOOKUP('Données projet'!$B$12,Paramètres!$A$1:$I$89,3,0)*0.475*44/12</f>
        <v>7.0543703409052216E-5</v>
      </c>
      <c r="CN69" s="22">
        <f t="shared" si="66"/>
        <v>5.5816173690576001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4.9000000000000004</v>
      </c>
      <c r="CT69" s="12">
        <f>IF('Données projet'!$A$140&gt;35,CT68+CS69-DB68,IF(A69&lt;'Données projet'!$A$140,$CQ$205^A69,IF(A69='Données projet'!$A$140,'Données projet'!$B$140,CT68+CS69-DB68)))</f>
        <v>309.39999999999981</v>
      </c>
      <c r="CU69" s="17">
        <f>CT69*VLOOKUP('Données projet'!$B$13,Paramètres!$A$1:$I$89,3,0)*VLOOKUP('Données projet'!$B$13,Paramètres!$A$1:$I$89,5,0)</f>
        <v>207.54551999999987</v>
      </c>
      <c r="CV69" s="13">
        <f t="shared" ref="CV69:CV132" si="95">EXP(-1.0587+0.8836*LN(CU69)+0.284)</f>
        <v>51.398853609432223</v>
      </c>
      <c r="CW69" s="20">
        <f t="shared" si="67"/>
        <v>450.99478403642752</v>
      </c>
      <c r="CX69" s="59">
        <f t="shared" si="68"/>
        <v>744.32811736976078</v>
      </c>
      <c r="CY69" s="59">
        <f ca="1">AVERAGE(OFFSET($CX$3,0,0,'Données projet'!$E$13+1,1))-AVERAGE(OFFSET($H$3,0,0,'Données projet'!$E$13+1,1))</f>
        <v>207.93042467236967</v>
      </c>
      <c r="CZ69" s="59">
        <f t="shared" ref="CZ69:CZ132" si="96">$CZ$3</f>
        <v>250.70954318710835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1.3486002046862682</v>
      </c>
      <c r="DG69" s="21">
        <f>EXP(-LN(2)/25)*DG68+(1-EXP(-LN(2)/25))/(LN(2)/25)*Calculateur!DB69*Calculateur!DD69*VLOOKUP('Données projet'!$B$13,Paramètres!$A$1:$I$89,3,0)*0.475*44/12</f>
        <v>6.3765245189856206</v>
      </c>
      <c r="DH69" s="21">
        <f>EXP(-LN(2)/2)*DH68+(1-EXP(-LN(2)/2))/(LN(2)/2)*DB69*DE69*VLOOKUP('Données projet'!$B$13,Paramètres!$A$1:$I$89,3,0)*0.475*44/12</f>
        <v>7.7317067529159489E-5</v>
      </c>
      <c r="DI69" s="22">
        <f t="shared" si="69"/>
        <v>7.7252020407394175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4.0999999999999996</v>
      </c>
      <c r="DO69" s="12">
        <f>IF('Données projet'!$A$166&gt;35,DO68+DN69-DW68,IF(A69&lt;'Données projet'!$A$166,$DL$205^A69,IF(A69='Données projet'!$A$166,'Données projet'!$B$166,DO68+DN69-DW68)))</f>
        <v>257.59999999999974</v>
      </c>
      <c r="DP69" s="17">
        <f>DO69*VLOOKUP('Données projet'!$B$14,Paramètres!$A$1:$I$89,3,0)*VLOOKUP('Données projet'!$B$14,Paramètres!$A$1:$I$89,5,0)</f>
        <v>172.79807999999983</v>
      </c>
      <c r="DQ69" s="13">
        <f t="shared" ref="DQ69:DQ132" si="97">EXP(-1.0587+0.8836*LN(DP69)+0.284)</f>
        <v>43.716103757502381</v>
      </c>
      <c r="DR69" s="20">
        <f t="shared" si="70"/>
        <v>377.09553671098297</v>
      </c>
      <c r="DS69" s="59">
        <f t="shared" si="71"/>
        <v>670.42887004431623</v>
      </c>
      <c r="DT69" s="59">
        <f ca="1">AVERAGE(OFFSET($DS$3,0,0,'Données projet'!$E$14+1,1))-AVERAGE(OFFSET($H$3,0,0,'Données projet'!$E$14+1,1))</f>
        <v>156.63226020379989</v>
      </c>
      <c r="DU69" s="59">
        <f t="shared" ref="DU69:DU132" si="98">$DU$3</f>
        <v>196.0481096619543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3.1954639894718189</v>
      </c>
      <c r="EC69" s="21">
        <f>EXP(-LN(2)/2)*EC68+(1-EXP(-LN(2)/2))/(LN(2)/2)*DW69*DZ69*VLOOKUP('Données projet'!$B$14,Paramètres!$A$1:$I$89,3,0)*0.475*44/12</f>
        <v>3.4612544258601545E-5</v>
      </c>
      <c r="ED69" s="22">
        <f t="shared" si="72"/>
        <v>3.1954986020160776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5.9431089743589762</v>
      </c>
      <c r="EJ69" s="12">
        <f>IF('Données projet'!$A$192&gt;35,EJ68+EI69-ER68,IF(A69&lt;'Données projet'!$A$192,$EG$205^A69,IF(A69='Données projet'!$A$192,'Données projet'!$B$192,EJ68+EI69-ER68)))</f>
        <v>161.91586538461539</v>
      </c>
      <c r="EK69" s="17">
        <f>EJ69*VLOOKUP('Données projet'!$B$15,Paramètres!$A$1:$I$89,3,0)*VLOOKUP('Données projet'!$B$15,Paramètres!$A$1:$I$89,5,0)</f>
        <v>164.18268750000001</v>
      </c>
      <c r="EL69" s="13">
        <f t="shared" ref="EL69:EL132" si="99">EXP(-1.0587+0.8836*LN(EK69)+0.284)</f>
        <v>41.784510657121224</v>
      </c>
      <c r="EM69" s="20">
        <f t="shared" si="73"/>
        <v>358.72620345698607</v>
      </c>
      <c r="EN69" s="59">
        <f t="shared" si="74"/>
        <v>652.05953679031938</v>
      </c>
      <c r="EO69" s="59">
        <f ca="1">AVERAGE(OFFSET($EN$3,0,0,'Données projet'!$E$15+1,1))-AVERAGE(OFFSET($H$3,0,0,'Données projet'!$E$15+1,1))</f>
        <v>190.21499310415584</v>
      </c>
      <c r="EP69" s="59">
        <f t="shared" ref="EP69:EP132" si="100">$EP$3</f>
        <v>136.15730566500173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1.3791666666666671</v>
      </c>
      <c r="FE69" s="12">
        <f>IF('Données projet'!$A$218&gt;35,FE68+FD69-FM68,IF(A69&lt;'Données projet'!$A$218,$FB$205^A69,IF(A69='Données projet'!$A$218,'Données projet'!$B$218,FE68+FD69-FM68)))</f>
        <v>68.85833333333332</v>
      </c>
      <c r="FF69" s="17">
        <f>FE69*VLOOKUP('Données projet'!$B$16,Paramètres!$A$1:$I$89,3,0)*VLOOKUP('Données projet'!$B$16,Paramètres!$A$1:$I$89,5,0)</f>
        <v>79.324799999999982</v>
      </c>
      <c r="FG69" s="13">
        <f t="shared" ref="FG69:FG132" si="101">EXP(-1.0587+0.8836*LN(FF69)+0.284)</f>
        <v>21.972012869171543</v>
      </c>
      <c r="FH69" s="20">
        <f t="shared" si="76"/>
        <v>176.42528241380708</v>
      </c>
      <c r="FI69" s="59">
        <f t="shared" si="77"/>
        <v>469.75861574714042</v>
      </c>
      <c r="FJ69" s="59">
        <f ca="1">AVERAGE(OFFSET($FI$3,0,0,'Données projet'!$E$16+1,1))-AVERAGE(OFFSET($H$3,0,0,'Données projet'!$E$16+1,1))</f>
        <v>14.847345852478327</v>
      </c>
      <c r="FK69" s="59">
        <f t="shared" ref="FK69:FK132" si="102">$FK$3</f>
        <v>46.764428272166299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0.65412351072727459</v>
      </c>
      <c r="FS69" s="21">
        <f>EXP(-LN(2)/2)*FS68+(1-EXP(-LN(2)/2))/(LN(2)/2)*FM69*FP69*VLOOKUP('Données projet'!$B$16,Paramètres!$A$1:$I$89,3,0)*0.475*44/12</f>
        <v>7.5263805168872633E-6</v>
      </c>
      <c r="FT69" s="22">
        <f t="shared" si="78"/>
        <v>0.65413103710779152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8.1001602564102555</v>
      </c>
      <c r="N70" s="13">
        <f>IF('Données projet'!$A$36&gt;35,N69+M70-V69,IF(A70&lt;'Données projet'!$A$36,$K$205^A70,IF(A70='Données projet'!$A$36,'Données projet'!$B$36,N69+M70-V69)))</f>
        <v>210.96474358974362</v>
      </c>
      <c r="O70" s="13">
        <f>N70*VLOOKUP('Données projet'!$B$9,Paramètres!$A$1:$I$89,3,0)*VLOOKUP('Données projet'!$B$9,Paramètres!$A$1:$I$89,5,0)</f>
        <v>190.88090000000003</v>
      </c>
      <c r="P70" s="13">
        <f t="shared" si="87"/>
        <v>47.734654873168694</v>
      </c>
      <c r="Q70" s="20">
        <f t="shared" si="54"/>
        <v>415.58875807076885</v>
      </c>
      <c r="R70" s="59">
        <f t="shared" si="55"/>
        <v>708.92209140410216</v>
      </c>
      <c r="S70" s="59">
        <f ca="1">AVERAGE(OFFSET($R$3,0,0,'Données projet'!$E$9+1,1))-AVERAGE(OFFSET($H$3,0,0,'Données projet'!$E$9+1,1))</f>
        <v>221.7429870520005</v>
      </c>
      <c r="T70" s="59">
        <f t="shared" si="88"/>
        <v>182.2029938397186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4.9000000000000004</v>
      </c>
      <c r="AI70" s="13">
        <f>IF('Données projet'!$A$62&gt;35,AI69+AH70-AQ69,IF(A70&lt;'Données projet'!$A$62,$AF$205^A70,IF(A70='Données projet'!$A$62,'Données projet'!$B$62,AI69+AH70-AQ69)))</f>
        <v>314.29999999999978</v>
      </c>
      <c r="AJ70" s="13">
        <f>AI70*VLOOKUP('Données projet'!$B$10,Paramètres!$A$1:$I$89,3,0)*VLOOKUP('Données projet'!$B$10,Paramètres!$A$1:$I$89,5,0)</f>
        <v>250.05707999999984</v>
      </c>
      <c r="AK70" s="13">
        <f t="shared" si="89"/>
        <v>60.598163512847748</v>
      </c>
      <c r="AL70" s="20">
        <f t="shared" si="58"/>
        <v>541.05788245154292</v>
      </c>
      <c r="AM70" s="59">
        <f t="shared" si="59"/>
        <v>834.39121578487629</v>
      </c>
      <c r="AN70" s="59">
        <f ca="1">AVERAGE(OFFSET($AM$3,0,0,'Données projet'!$E$10+1,1))-AVERAGE(OFFSET($H$3,0,0,'Données projet'!$E$10+1,1))</f>
        <v>260.20517190557814</v>
      </c>
      <c r="AO70" s="59">
        <f t="shared" si="90"/>
        <v>307.22009971147133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1.5681372985837441</v>
      </c>
      <c r="AV70" s="21">
        <f>EXP(-LN(2)/25)*AV69+(1-EXP(-LN(2)/25))/(LN(2)/25)*Calculateur!AQ70*Calculateur!AS70*VLOOKUP('Données projet'!$B$10,Paramètres!$A$1:$I$89,3,0)*0.475*44/12</f>
        <v>7.3560480036056317</v>
      </c>
      <c r="AW70" s="21">
        <f>EXP(-LN(2)/2)*AW69+(1-EXP(-LN(2)/2))/(LN(2)/2)*AQ70*AT70*VLOOKUP('Données projet'!$B$10,Paramètres!$A$1:$I$89,3,0)*0.475*44/12</f>
        <v>6.4842850239945859E-5</v>
      </c>
      <c r="AX70" s="21">
        <f t="shared" si="60"/>
        <v>8.9242501450396148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16.399999999999999</v>
      </c>
      <c r="BD70" s="12">
        <f>IF('Données projet'!$A$88&gt;35,BD69+BC70-BL69,IF(A70&lt;'Données projet'!$A$88,$BA$205^A70,IF(A70='Données projet'!$A$88,'Données projet'!$B$88,BD69+BC70-BL69)))</f>
        <v>514.79999999999961</v>
      </c>
      <c r="BE70" s="13">
        <f>BD70*VLOOKUP('Données projet'!$B$11,Paramètres!$A$1:$I$89,3,0)*VLOOKUP('Données projet'!$B$11,Paramètres!$A$1:$I$89,5,0)</f>
        <v>307.85039999999975</v>
      </c>
      <c r="BF70" s="13">
        <f t="shared" si="91"/>
        <v>72.819726494623737</v>
      </c>
      <c r="BG70" s="20">
        <f t="shared" si="61"/>
        <v>663.00047031146926</v>
      </c>
      <c r="BH70" s="59">
        <f t="shared" si="62"/>
        <v>956.33380364480263</v>
      </c>
      <c r="BI70" s="59">
        <f ca="1">AVERAGE(OFFSET($BH$3,0,0,'Données projet'!$E$11+1,1))-AVERAGE(OFFSET($H$3,0,0,'Données projet'!$E$11+1,1))</f>
        <v>316.58509520829671</v>
      </c>
      <c r="BJ70" s="59">
        <f t="shared" si="92"/>
        <v>240.71332110643596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1.2180600326243474</v>
      </c>
      <c r="BQ70" s="21">
        <f>EXP(-LN(2)/25)*BQ69+(1-EXP(-LN(2)/25))/(LN(2)/25)*Calculateur!BL70*Calculateur!BN70*VLOOKUP('Données projet'!$B$11,Paramètres!$A$1:$I$89,3,0)*0.475*44/12</f>
        <v>5.4733809118297634</v>
      </c>
      <c r="BR70" s="21">
        <f>EXP(-LN(2)/2)*BR69+(1-EXP(-LN(2)/2))/(LN(2)/2)*BL70*BO70*VLOOKUP('Données projet'!$B$11,Paramètres!$A$1:$I$89,3,0)*0.475*44/12</f>
        <v>5.9179146803568586E-5</v>
      </c>
      <c r="BS70" s="22">
        <f t="shared" si="63"/>
        <v>6.691500123600914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14.1</v>
      </c>
      <c r="BY70" s="12">
        <f>IF('Données projet'!$A$114&gt;35,BY69+BX70-CG69,IF(A70&lt;'Données projet'!$A$114,$BV$205^A70,IF(A70='Données projet'!$A$114,'Données projet'!$B$114,BY69+BX70-CG69)))</f>
        <v>455.70000000000022</v>
      </c>
      <c r="BZ70" s="13">
        <f>BY70*VLOOKUP('Données projet'!$B$12,Paramètres!$A$1:$I$89,3,0)*VLOOKUP('Données projet'!$B$12,Paramètres!$A$1:$I$89,5,0)</f>
        <v>272.50860000000011</v>
      </c>
      <c r="CA70" s="13">
        <f t="shared" si="93"/>
        <v>65.381370626128245</v>
      </c>
      <c r="CB70" s="20">
        <f t="shared" si="64"/>
        <v>588.49169884050696</v>
      </c>
      <c r="CC70" s="59">
        <f t="shared" si="65"/>
        <v>881.82503217384033</v>
      </c>
      <c r="CD70" s="59">
        <f ca="1">AVERAGE(OFFSET($CC$3,0,0,'Données projet'!$E$12+1,1))-AVERAGE(OFFSET($H$3,0,0,'Données projet'!$E$12+1,1))</f>
        <v>270.30888762640245</v>
      </c>
      <c r="CE70" s="59">
        <f t="shared" si="94"/>
        <v>202.23783851977691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1.0293465064431109</v>
      </c>
      <c r="CL70" s="21">
        <f>EXP(-LN(2)/25)*CL69+(1-EXP(-LN(2)/25))/(LN(2)/25)*Calculateur!CG70*Calculateur!CI70*VLOOKUP('Données projet'!$B$12,Paramètres!$A$1:$I$89,3,0)*0.475*44/12</f>
        <v>4.4076945710079265</v>
      </c>
      <c r="CM70" s="21">
        <f>EXP(-LN(2)/2)*CM69+(1-EXP(-LN(2)/2))/(LN(2)/2)*CG70*CJ70*VLOOKUP('Données projet'!$B$12,Paramètres!$A$1:$I$89,3,0)*0.475*44/12</f>
        <v>4.9881931050553392E-5</v>
      </c>
      <c r="CN70" s="22">
        <f t="shared" si="66"/>
        <v>5.437090959382088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4.9000000000000004</v>
      </c>
      <c r="CT70" s="12">
        <f>IF('Données projet'!$A$140&gt;35,CT69+CS70-DB69,IF(A70&lt;'Données projet'!$A$140,$CQ$205^A70,IF(A70='Données projet'!$A$140,'Données projet'!$B$140,CT69+CS70-DB69)))</f>
        <v>314.29999999999978</v>
      </c>
      <c r="CU70" s="17">
        <f>CT70*VLOOKUP('Données projet'!$B$13,Paramètres!$A$1:$I$89,3,0)*VLOOKUP('Données projet'!$B$13,Paramètres!$A$1:$I$89,5,0)</f>
        <v>210.83243999999988</v>
      </c>
      <c r="CV70" s="13">
        <f t="shared" si="95"/>
        <v>52.117452876665347</v>
      </c>
      <c r="CW70" s="20">
        <f t="shared" si="67"/>
        <v>457.97106342685856</v>
      </c>
      <c r="CX70" s="59">
        <f t="shared" si="68"/>
        <v>751.30439676019182</v>
      </c>
      <c r="CY70" s="59">
        <f ca="1">AVERAGE(OFFSET($CX$3,0,0,'Données projet'!$E$13+1,1))-AVERAGE(OFFSET($H$3,0,0,'Données projet'!$E$13+1,1))</f>
        <v>207.93042467236967</v>
      </c>
      <c r="CZ70" s="59">
        <f t="shared" si="96"/>
        <v>250.70954318710835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1.3221549772372738</v>
      </c>
      <c r="DG70" s="21">
        <f>EXP(-LN(2)/25)*DG69+(1-EXP(-LN(2)/25))/(LN(2)/25)*Calculateur!DB70*Calculateur!DD70*VLOOKUP('Données projet'!$B$13,Paramètres!$A$1:$I$89,3,0)*0.475*44/12</f>
        <v>6.2021581206871081</v>
      </c>
      <c r="DH70" s="21">
        <f>EXP(-LN(2)/2)*DH69+(1-EXP(-LN(2)/2))/(LN(2)/2)*DB70*DE70*VLOOKUP('Données projet'!$B$13,Paramètres!$A$1:$I$89,3,0)*0.475*44/12</f>
        <v>5.4671422751326898E-5</v>
      </c>
      <c r="DI70" s="22">
        <f t="shared" si="69"/>
        <v>7.5243677693471334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4.0999999999999996</v>
      </c>
      <c r="DO70" s="12">
        <f>IF('Données projet'!$A$166&gt;35,DO69+DN70-DW69,IF(A70&lt;'Données projet'!$A$166,$DL$205^A70,IF(A70='Données projet'!$A$166,'Données projet'!$B$166,DO69+DN70-DW69)))</f>
        <v>261.69999999999976</v>
      </c>
      <c r="DP70" s="17">
        <f>DO70*VLOOKUP('Données projet'!$B$14,Paramètres!$A$1:$I$89,3,0)*VLOOKUP('Données projet'!$B$14,Paramètres!$A$1:$I$89,5,0)</f>
        <v>175.54835999999983</v>
      </c>
      <c r="DQ70" s="13">
        <f t="shared" si="97"/>
        <v>44.330339431831803</v>
      </c>
      <c r="DR70" s="20">
        <f t="shared" si="70"/>
        <v>382.95540151044014</v>
      </c>
      <c r="DS70" s="59">
        <f t="shared" si="71"/>
        <v>676.28873484377345</v>
      </c>
      <c r="DT70" s="59">
        <f ca="1">AVERAGE(OFFSET($DS$3,0,0,'Données projet'!$E$14+1,1))-AVERAGE(OFFSET($H$3,0,0,'Données projet'!$E$14+1,1))</f>
        <v>156.63226020379989</v>
      </c>
      <c r="DU70" s="59">
        <f t="shared" si="98"/>
        <v>196.0481096619543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3.1080838586375643</v>
      </c>
      <c r="EC70" s="21">
        <f>EXP(-LN(2)/2)*EC69+(1-EXP(-LN(2)/2))/(LN(2)/2)*DW70*DZ70*VLOOKUP('Données projet'!$B$14,Paramètres!$A$1:$I$89,3,0)*0.475*44/12</f>
        <v>2.4474764759376655E-5</v>
      </c>
      <c r="ED70" s="22">
        <f t="shared" si="72"/>
        <v>3.1081083334023236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>
        <f>VLOOKUP(A70,'Données projet'!$A$191:$I$211,2,0)</f>
        <v>167.85897435897436</v>
      </c>
      <c r="EH70" s="12">
        <f>VLOOKUP(A70,'Données projet'!$A$191:$I$211,9,0)</f>
        <v>5.9431089743589762</v>
      </c>
      <c r="EI70" s="12">
        <f t="array" ref="EI70">INDEX(EH:EH,MIN(IF(ISNUMBER(EH70:EH266),ROW(EH70:EH266),"")))</f>
        <v>5.9431089743589762</v>
      </c>
      <c r="EJ70" s="12">
        <f>IF('Données projet'!$A$192&gt;35,EJ69+EI70-ER69,IF(A70&lt;'Données projet'!$A$192,$EG$205^A70,IF(A70='Données projet'!$A$192,'Données projet'!$B$192,EJ69+EI70-ER69)))</f>
        <v>167.85897435897436</v>
      </c>
      <c r="EK70" s="17">
        <f>EJ70*VLOOKUP('Données projet'!$B$15,Paramètres!$A$1:$I$89,3,0)*VLOOKUP('Données projet'!$B$15,Paramètres!$A$1:$I$89,5,0)</f>
        <v>170.209</v>
      </c>
      <c r="EL70" s="13">
        <f t="shared" si="99"/>
        <v>43.136829285053246</v>
      </c>
      <c r="EM70" s="20">
        <f t="shared" si="73"/>
        <v>371.57731933813437</v>
      </c>
      <c r="EN70" s="59">
        <f t="shared" si="74"/>
        <v>664.91065267146769</v>
      </c>
      <c r="EO70" s="59">
        <f ca="1">AVERAGE(OFFSET($EN$3,0,0,'Données projet'!$E$15+1,1))-AVERAGE(OFFSET($H$3,0,0,'Données projet'!$E$15+1,1))</f>
        <v>190.21499310415584</v>
      </c>
      <c r="EP70" s="59">
        <f t="shared" si="100"/>
        <v>136.15730566500173</v>
      </c>
      <c r="EQ70" s="15">
        <f>IF(ISNA(VLOOKUP(A70,'Données projet'!$A$191:$I$211,3,0)),0,VLOOKUP(A70,'Données projet'!$A$191:$I$211,3,0))</f>
        <v>4</v>
      </c>
      <c r="ER70" s="15">
        <f>IF(ISNA(VLOOKUP(A70,'Données projet'!$A$191:$I$211,4,0)),0,VLOOKUP(A70,'Données projet'!$A$191:$I$211,4,0))</f>
        <v>31.993589743589741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1.3791666666666671</v>
      </c>
      <c r="FE70" s="12">
        <f>IF('Données projet'!$A$218&gt;35,FE69+FD70-FM69,IF(A70&lt;'Données projet'!$A$218,$FB$205^A70,IF(A70='Données projet'!$A$218,'Données projet'!$B$218,FE69+FD70-FM69)))</f>
        <v>70.237499999999983</v>
      </c>
      <c r="FF70" s="17">
        <f>FE70*VLOOKUP('Données projet'!$B$16,Paramètres!$A$1:$I$89,3,0)*VLOOKUP('Données projet'!$B$16,Paramètres!$A$1:$I$89,5,0)</f>
        <v>80.913599999999974</v>
      </c>
      <c r="FG70" s="13">
        <f t="shared" si="101"/>
        <v>22.360416237220317</v>
      </c>
      <c r="FH70" s="20">
        <f t="shared" si="76"/>
        <v>179.86891161315864</v>
      </c>
      <c r="FI70" s="59">
        <f t="shared" si="77"/>
        <v>473.20224494649199</v>
      </c>
      <c r="FJ70" s="59">
        <f ca="1">AVERAGE(OFFSET($FI$3,0,0,'Données projet'!$E$16+1,1))-AVERAGE(OFFSET($H$3,0,0,'Données projet'!$E$16+1,1))</f>
        <v>14.847345852478327</v>
      </c>
      <c r="FK70" s="59">
        <f t="shared" si="102"/>
        <v>46.764428272166299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0.6362364689275769</v>
      </c>
      <c r="FS70" s="21">
        <f>EXP(-LN(2)/2)*FS69+(1-EXP(-LN(2)/2))/(LN(2)/2)*FM70*FP70*VLOOKUP('Données projet'!$B$16,Paramètres!$A$1:$I$89,3,0)*0.475*44/12</f>
        <v>5.321954701281297E-6</v>
      </c>
      <c r="FT70" s="22">
        <f t="shared" si="78"/>
        <v>0.63624179088227817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8.1001602564102555</v>
      </c>
      <c r="N71" s="13">
        <f>IF('Données projet'!$A$36&gt;35,N70+M71-V70,IF(A71&lt;'Données projet'!$A$36,$K$205^A71,IF(A71='Données projet'!$A$36,'Données projet'!$B$36,N70+M71-V70)))</f>
        <v>219.06490384615387</v>
      </c>
      <c r="O71" s="13">
        <f>N71*VLOOKUP('Données projet'!$B$9,Paramètres!$A$1:$I$89,3,0)*VLOOKUP('Données projet'!$B$9,Paramètres!$A$1:$I$89,5,0)</f>
        <v>198.20992500000003</v>
      </c>
      <c r="P71" s="13">
        <f t="shared" si="87"/>
        <v>49.350557805795454</v>
      </c>
      <c r="Q71" s="20">
        <f t="shared" si="54"/>
        <v>431.16784088676042</v>
      </c>
      <c r="R71" s="59">
        <f t="shared" si="55"/>
        <v>724.50117422009373</v>
      </c>
      <c r="S71" s="59">
        <f ca="1">AVERAGE(OFFSET($R$3,0,0,'Données projet'!$E$9+1,1))-AVERAGE(OFFSET($H$3,0,0,'Données projet'!$E$9+1,1))</f>
        <v>221.7429870520005</v>
      </c>
      <c r="T71" s="59">
        <f t="shared" si="88"/>
        <v>182.2029938397186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4.9000000000000004</v>
      </c>
      <c r="AI71" s="13">
        <f>IF('Données projet'!$A$62&gt;35,AI70+AH71-AQ70,IF(A71&lt;'Données projet'!$A$62,$AF$205^A71,IF(A71='Données projet'!$A$62,'Données projet'!$B$62,AI70+AH71-AQ70)))</f>
        <v>319.19999999999976</v>
      </c>
      <c r="AJ71" s="13">
        <f>AI71*VLOOKUP('Données projet'!$B$10,Paramètres!$A$1:$I$89,3,0)*VLOOKUP('Données projet'!$B$10,Paramètres!$A$1:$I$89,5,0)</f>
        <v>253.95551999999984</v>
      </c>
      <c r="AK71" s="13">
        <f t="shared" si="89"/>
        <v>61.432180511879196</v>
      </c>
      <c r="AL71" s="20">
        <f t="shared" si="58"/>
        <v>549.30024505818926</v>
      </c>
      <c r="AM71" s="59">
        <f t="shared" si="59"/>
        <v>842.63357839152263</v>
      </c>
      <c r="AN71" s="59">
        <f ca="1">AVERAGE(OFFSET($AM$3,0,0,'Données projet'!$E$10+1,1))-AVERAGE(OFFSET($H$3,0,0,'Données projet'!$E$10+1,1))</f>
        <v>260.20517190557814</v>
      </c>
      <c r="AO71" s="59">
        <f t="shared" si="90"/>
        <v>307.22009971147133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1.5373870826278255</v>
      </c>
      <c r="AV71" s="21">
        <f>EXP(-LN(2)/25)*AV70+(1-EXP(-LN(2)/25))/(LN(2)/25)*Calculateur!AQ71*Calculateur!AS71*VLOOKUP('Données projet'!$B$10,Paramètres!$A$1:$I$89,3,0)*0.475*44/12</f>
        <v>7.1548964841092833</v>
      </c>
      <c r="AW71" s="21">
        <f>EXP(-LN(2)/2)*AW70+(1-EXP(-LN(2)/2))/(LN(2)/2)*AQ71*AT71*VLOOKUP('Données projet'!$B$10,Paramètres!$A$1:$I$89,3,0)*0.475*44/12</f>
        <v>4.5850819116129467E-5</v>
      </c>
      <c r="AX71" s="21">
        <f t="shared" si="60"/>
        <v>8.6923294175562251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16.399999999999999</v>
      </c>
      <c r="BD71" s="12">
        <f>IF('Données projet'!$A$88&gt;35,BD70+BC71-BL70,IF(A71&lt;'Données projet'!$A$88,$BA$205^A71,IF(A71='Données projet'!$A$88,'Données projet'!$B$88,BD70+BC71-BL70)))</f>
        <v>531.19999999999959</v>
      </c>
      <c r="BE71" s="13">
        <f>BD71*VLOOKUP('Données projet'!$B$11,Paramètres!$A$1:$I$89,3,0)*VLOOKUP('Données projet'!$B$11,Paramètres!$A$1:$I$89,5,0)</f>
        <v>317.65759999999977</v>
      </c>
      <c r="BF71" s="13">
        <f t="shared" si="91"/>
        <v>74.865763584117744</v>
      </c>
      <c r="BG71" s="20">
        <f t="shared" si="61"/>
        <v>683.64485824233805</v>
      </c>
      <c r="BH71" s="59">
        <f t="shared" si="62"/>
        <v>976.97819157567142</v>
      </c>
      <c r="BI71" s="59">
        <f ca="1">AVERAGE(OFFSET($BH$3,0,0,'Données projet'!$E$11+1,1))-AVERAGE(OFFSET($H$3,0,0,'Données projet'!$E$11+1,1))</f>
        <v>316.58509520829671</v>
      </c>
      <c r="BJ71" s="59">
        <f t="shared" si="92"/>
        <v>240.71332110643596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1.1941746183278443</v>
      </c>
      <c r="BQ71" s="21">
        <f>EXP(-LN(2)/25)*BQ70+(1-EXP(-LN(2)/25))/(LN(2)/25)*Calculateur!BL71*Calculateur!BN71*VLOOKUP('Données projet'!$B$11,Paramètres!$A$1:$I$89,3,0)*0.475*44/12</f>
        <v>5.3237110229631863</v>
      </c>
      <c r="BR71" s="21">
        <f>EXP(-LN(2)/2)*BR70+(1-EXP(-LN(2)/2))/(LN(2)/2)*BL71*BO71*VLOOKUP('Données projet'!$B$11,Paramètres!$A$1:$I$89,3,0)*0.475*44/12</f>
        <v>4.1845976009637547E-5</v>
      </c>
      <c r="BS71" s="22">
        <f t="shared" si="63"/>
        <v>6.5179274872670403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14.1</v>
      </c>
      <c r="BY71" s="12">
        <f>IF('Données projet'!$A$114&gt;35,BY70+BX71-CG70,IF(A71&lt;'Données projet'!$A$114,$BV$205^A71,IF(A71='Données projet'!$A$114,'Données projet'!$B$114,BY70+BX71-CG70)))</f>
        <v>469.80000000000024</v>
      </c>
      <c r="BZ71" s="13">
        <f>BY71*VLOOKUP('Données projet'!$B$12,Paramètres!$A$1:$I$89,3,0)*VLOOKUP('Données projet'!$B$12,Paramètres!$A$1:$I$89,5,0)</f>
        <v>280.94040000000018</v>
      </c>
      <c r="CA71" s="13">
        <f t="shared" si="93"/>
        <v>67.165703636653262</v>
      </c>
      <c r="CB71" s="20">
        <f t="shared" si="64"/>
        <v>606.2847971671714</v>
      </c>
      <c r="CC71" s="59">
        <f t="shared" si="65"/>
        <v>899.61813050050478</v>
      </c>
      <c r="CD71" s="59">
        <f ca="1">AVERAGE(OFFSET($CC$3,0,0,'Données projet'!$E$12+1,1))-AVERAGE(OFFSET($H$3,0,0,'Données projet'!$E$12+1,1))</f>
        <v>270.30888762640245</v>
      </c>
      <c r="CE71" s="59">
        <f t="shared" si="94"/>
        <v>202.23783851977691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1.0091616492911364</v>
      </c>
      <c r="CL71" s="21">
        <f>EXP(-LN(2)/25)*CL70+(1-EXP(-LN(2)/25))/(LN(2)/25)*Calculateur!CG71*Calculateur!CI71*VLOOKUP('Données projet'!$B$12,Paramètres!$A$1:$I$89,3,0)*0.475*44/12</f>
        <v>4.2871659311731314</v>
      </c>
      <c r="CM71" s="21">
        <f>EXP(-LN(2)/2)*CM70+(1-EXP(-LN(2)/2))/(LN(2)/2)*CG71*CJ71*VLOOKUP('Données projet'!$B$12,Paramètres!$A$1:$I$89,3,0)*0.475*44/12</f>
        <v>3.5271851704526108E-5</v>
      </c>
      <c r="CN71" s="22">
        <f t="shared" si="66"/>
        <v>5.2963628523159718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4.9000000000000004</v>
      </c>
      <c r="CT71" s="12">
        <f>IF('Données projet'!$A$140&gt;35,CT70+CS71-DB70,IF(A71&lt;'Données projet'!$A$140,$CQ$205^A71,IF(A71='Données projet'!$A$140,'Données projet'!$B$140,CT70+CS71-DB70)))</f>
        <v>319.19999999999976</v>
      </c>
      <c r="CU71" s="17">
        <f>CT71*VLOOKUP('Données projet'!$B$13,Paramètres!$A$1:$I$89,3,0)*VLOOKUP('Données projet'!$B$13,Paramètres!$A$1:$I$89,5,0)</f>
        <v>214.11935999999983</v>
      </c>
      <c r="CV71" s="13">
        <f t="shared" si="95"/>
        <v>52.834749228990347</v>
      </c>
      <c r="CW71" s="20">
        <f t="shared" si="67"/>
        <v>464.94507357382457</v>
      </c>
      <c r="CX71" s="59">
        <f t="shared" si="68"/>
        <v>758.27840690715789</v>
      </c>
      <c r="CY71" s="59">
        <f ca="1">AVERAGE(OFFSET($CX$3,0,0,'Données projet'!$E$13+1,1))-AVERAGE(OFFSET($H$3,0,0,'Données projet'!$E$13+1,1))</f>
        <v>207.93042467236967</v>
      </c>
      <c r="CZ71" s="59">
        <f t="shared" si="96"/>
        <v>250.70954318710835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1.2962283245685582</v>
      </c>
      <c r="DG71" s="21">
        <f>EXP(-LN(2)/25)*DG70+(1-EXP(-LN(2)/25))/(LN(2)/25)*Calculateur!DB71*Calculateur!DD71*VLOOKUP('Données projet'!$B$13,Paramètres!$A$1:$I$89,3,0)*0.475*44/12</f>
        <v>6.0325597807195992</v>
      </c>
      <c r="DH71" s="21">
        <f>EXP(-LN(2)/2)*DH70+(1-EXP(-LN(2)/2))/(LN(2)/2)*DB71*DE71*VLOOKUP('Données projet'!$B$13,Paramètres!$A$1:$I$89,3,0)*0.475*44/12</f>
        <v>3.8658533764579744E-5</v>
      </c>
      <c r="DI71" s="22">
        <f t="shared" si="69"/>
        <v>7.3288267638219216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4.0999999999999996</v>
      </c>
      <c r="DO71" s="12">
        <f>IF('Données projet'!$A$166&gt;35,DO70+DN71-DW70,IF(A71&lt;'Données projet'!$A$166,$DL$205^A71,IF(A71='Données projet'!$A$166,'Données projet'!$B$166,DO70+DN71-DW70)))</f>
        <v>265.79999999999978</v>
      </c>
      <c r="DP71" s="17">
        <f>DO71*VLOOKUP('Données projet'!$B$14,Paramètres!$A$1:$I$89,3,0)*VLOOKUP('Données projet'!$B$14,Paramètres!$A$1:$I$89,5,0)</f>
        <v>178.29863999999986</v>
      </c>
      <c r="DQ71" s="13">
        <f t="shared" si="97"/>
        <v>44.943455949194529</v>
      </c>
      <c r="DR71" s="20">
        <f t="shared" si="70"/>
        <v>388.81331711151353</v>
      </c>
      <c r="DS71" s="59">
        <f t="shared" si="71"/>
        <v>682.14665044484684</v>
      </c>
      <c r="DT71" s="59">
        <f ca="1">AVERAGE(OFFSET($DS$3,0,0,'Données projet'!$E$14+1,1))-AVERAGE(OFFSET($H$3,0,0,'Données projet'!$E$14+1,1))</f>
        <v>156.63226020379989</v>
      </c>
      <c r="DU71" s="59">
        <f t="shared" si="98"/>
        <v>196.0481096619543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3.0230931420760938</v>
      </c>
      <c r="EC71" s="21">
        <f>EXP(-LN(2)/2)*EC70+(1-EXP(-LN(2)/2))/(LN(2)/2)*DW71*DZ71*VLOOKUP('Données projet'!$B$14,Paramètres!$A$1:$I$89,3,0)*0.475*44/12</f>
        <v>1.7306272129300773E-5</v>
      </c>
      <c r="ED71" s="22">
        <f t="shared" si="72"/>
        <v>3.023110448348223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5.6899038461538431</v>
      </c>
      <c r="EJ71" s="12">
        <f>IF('Données projet'!$A$192&gt;35,EJ70+EI71-ER70,IF(A71&lt;'Données projet'!$A$192,$EG$205^A71,IF(A71='Données projet'!$A$192,'Données projet'!$B$192,EJ70+EI71-ER70)))</f>
        <v>141.55528846153845</v>
      </c>
      <c r="EK71" s="17">
        <f>EJ71*VLOOKUP('Données projet'!$B$15,Paramètres!$A$1:$I$89,3,0)*VLOOKUP('Données projet'!$B$15,Paramètres!$A$1:$I$89,5,0)</f>
        <v>143.53706249999999</v>
      </c>
      <c r="EL71" s="13">
        <f t="shared" si="99"/>
        <v>37.106116440776098</v>
      </c>
      <c r="EM71" s="20">
        <f t="shared" si="73"/>
        <v>314.62020332185165</v>
      </c>
      <c r="EN71" s="59">
        <f t="shared" si="74"/>
        <v>607.95353665518496</v>
      </c>
      <c r="EO71" s="59">
        <f ca="1">AVERAGE(OFFSET($EN$3,0,0,'Données projet'!$E$15+1,1))-AVERAGE(OFFSET($H$3,0,0,'Données projet'!$E$15+1,1))</f>
        <v>190.21499310415584</v>
      </c>
      <c r="EP71" s="59">
        <f t="shared" si="100"/>
        <v>136.15730566500173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1.3791666666666671</v>
      </c>
      <c r="FE71" s="12">
        <f>IF('Données projet'!$A$218&gt;35,FE70+FD71-FM70,IF(A71&lt;'Données projet'!$A$218,$FB$205^A71,IF(A71='Données projet'!$A$218,'Données projet'!$B$218,FE70+FD71-FM70)))</f>
        <v>71.616666666666646</v>
      </c>
      <c r="FF71" s="17">
        <f>FE71*VLOOKUP('Données projet'!$B$16,Paramètres!$A$1:$I$89,3,0)*VLOOKUP('Données projet'!$B$16,Paramètres!$A$1:$I$89,5,0)</f>
        <v>82.50239999999998</v>
      </c>
      <c r="FG71" s="13">
        <f t="shared" si="101"/>
        <v>22.747932823085602</v>
      </c>
      <c r="FH71" s="20">
        <f t="shared" si="76"/>
        <v>183.31099633354074</v>
      </c>
      <c r="FI71" s="59">
        <f t="shared" si="77"/>
        <v>476.64432966687406</v>
      </c>
      <c r="FJ71" s="59">
        <f ca="1">AVERAGE(OFFSET($FI$3,0,0,'Données projet'!$E$16+1,1))-AVERAGE(OFFSET($H$3,0,0,'Données projet'!$E$16+1,1))</f>
        <v>14.847345852478327</v>
      </c>
      <c r="FK71" s="59">
        <f t="shared" si="102"/>
        <v>46.764428272166299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0.61883854922653059</v>
      </c>
      <c r="FS71" s="21">
        <f>EXP(-LN(2)/2)*FS70+(1-EXP(-LN(2)/2))/(LN(2)/2)*FM71*FP71*VLOOKUP('Données projet'!$B$16,Paramètres!$A$1:$I$89,3,0)*0.475*44/12</f>
        <v>3.7631902584436321E-6</v>
      </c>
      <c r="FT71" s="22">
        <f t="shared" si="78"/>
        <v>0.618842312416789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8.1001602564102555</v>
      </c>
      <c r="N72" s="13">
        <f>IF('Données projet'!$A$36&gt;35,N71+M72-V71,IF(A72&lt;'Données projet'!$A$36,$K$205^A72,IF(A72='Données projet'!$A$36,'Données projet'!$B$36,N71+M72-V71)))</f>
        <v>227.16506410256412</v>
      </c>
      <c r="O72" s="13">
        <f>N72*VLOOKUP('Données projet'!$B$9,Paramètres!$A$1:$I$89,3,0)*VLOOKUP('Données projet'!$B$9,Paramètres!$A$1:$I$89,5,0)</f>
        <v>205.53895</v>
      </c>
      <c r="P72" s="13">
        <f t="shared" si="87"/>
        <v>50.95951914247815</v>
      </c>
      <c r="Q72" s="20">
        <f t="shared" si="54"/>
        <v>446.73483375648271</v>
      </c>
      <c r="R72" s="59">
        <f t="shared" si="55"/>
        <v>740.06816708981603</v>
      </c>
      <c r="S72" s="59">
        <f ca="1">AVERAGE(OFFSET($R$3,0,0,'Données projet'!$E$9+1,1))-AVERAGE(OFFSET($H$3,0,0,'Données projet'!$E$9+1,1))</f>
        <v>221.7429870520005</v>
      </c>
      <c r="T72" s="59">
        <f t="shared" si="88"/>
        <v>182.2029938397186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4.9000000000000004</v>
      </c>
      <c r="AI72" s="13">
        <f>IF('Données projet'!$A$62&gt;35,AI71+AH72-AQ71,IF(A72&lt;'Données projet'!$A$62,$AF$205^A72,IF(A72='Données projet'!$A$62,'Données projet'!$B$62,AI71+AH72-AQ71)))</f>
        <v>324.09999999999974</v>
      </c>
      <c r="AJ72" s="13">
        <f>AI72*VLOOKUP('Données projet'!$B$10,Paramètres!$A$1:$I$89,3,0)*VLOOKUP('Données projet'!$B$10,Paramètres!$A$1:$I$89,5,0)</f>
        <v>257.8539599999998</v>
      </c>
      <c r="AK72" s="13">
        <f t="shared" si="89"/>
        <v>62.26470852302274</v>
      </c>
      <c r="AL72" s="20">
        <f t="shared" si="58"/>
        <v>557.54001434426425</v>
      </c>
      <c r="AM72" s="59">
        <f t="shared" si="59"/>
        <v>850.87334767759762</v>
      </c>
      <c r="AN72" s="59">
        <f ca="1">AVERAGE(OFFSET($AM$3,0,0,'Données projet'!$E$10+1,1))-AVERAGE(OFFSET($H$3,0,0,'Données projet'!$E$10+1,1))</f>
        <v>260.20517190557814</v>
      </c>
      <c r="AO72" s="59">
        <f t="shared" si="90"/>
        <v>307.22009971147133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1.5072398596510228</v>
      </c>
      <c r="AV72" s="21">
        <f>EXP(-LN(2)/25)*AV71+(1-EXP(-LN(2)/25))/(LN(2)/25)*Calculateur!AQ72*Calculateur!AS72*VLOOKUP('Données projet'!$B$10,Paramètres!$A$1:$I$89,3,0)*0.475*44/12</f>
        <v>6.9592454634916612</v>
      </c>
      <c r="AW72" s="21">
        <f>EXP(-LN(2)/2)*AW71+(1-EXP(-LN(2)/2))/(LN(2)/2)*AQ72*AT72*VLOOKUP('Données projet'!$B$10,Paramètres!$A$1:$I$89,3,0)*0.475*44/12</f>
        <v>3.2421425119972929E-5</v>
      </c>
      <c r="AX72" s="21">
        <f t="shared" si="60"/>
        <v>8.4665177445678044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16.399999999999999</v>
      </c>
      <c r="BD72" s="12">
        <f>IF('Données projet'!$A$88&gt;35,BD71+BC72-BL71,IF(A72&lt;'Données projet'!$A$88,$BA$205^A72,IF(A72='Données projet'!$A$88,'Données projet'!$B$88,BD71+BC72-BL71)))</f>
        <v>547.59999999999957</v>
      </c>
      <c r="BE72" s="13">
        <f>BD72*VLOOKUP('Données projet'!$B$11,Paramètres!$A$1:$I$89,3,0)*VLOOKUP('Données projet'!$B$11,Paramètres!$A$1:$I$89,5,0)</f>
        <v>327.4647999999998</v>
      </c>
      <c r="BF72" s="13">
        <f t="shared" si="91"/>
        <v>76.904459845729477</v>
      </c>
      <c r="BG72" s="20">
        <f t="shared" si="61"/>
        <v>704.27646089797838</v>
      </c>
      <c r="BH72" s="59">
        <f t="shared" si="62"/>
        <v>997.60979423131175</v>
      </c>
      <c r="BI72" s="59">
        <f ca="1">AVERAGE(OFFSET($BH$3,0,0,'Données projet'!$E$11+1,1))-AVERAGE(OFFSET($H$3,0,0,'Données projet'!$E$11+1,1))</f>
        <v>316.58509520829671</v>
      </c>
      <c r="BJ72" s="59">
        <f t="shared" si="92"/>
        <v>240.71332110643596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1.1707575824370315</v>
      </c>
      <c r="BQ72" s="21">
        <f>EXP(-LN(2)/25)*BQ71+(1-EXP(-LN(2)/25))/(LN(2)/25)*Calculateur!BL72*Calculateur!BN72*VLOOKUP('Données projet'!$B$11,Paramètres!$A$1:$I$89,3,0)*0.475*44/12</f>
        <v>5.178133865078463</v>
      </c>
      <c r="BR72" s="21">
        <f>EXP(-LN(2)/2)*BR71+(1-EXP(-LN(2)/2))/(LN(2)/2)*BL72*BO72*VLOOKUP('Données projet'!$B$11,Paramètres!$A$1:$I$89,3,0)*0.475*44/12</f>
        <v>2.9589573401784297E-5</v>
      </c>
      <c r="BS72" s="22">
        <f t="shared" si="63"/>
        <v>6.3489210370888971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14.1</v>
      </c>
      <c r="BY72" s="12">
        <f>IF('Données projet'!$A$114&gt;35,BY71+BX72-CG71,IF(A72&lt;'Données projet'!$A$114,$BV$205^A72,IF(A72='Données projet'!$A$114,'Données projet'!$B$114,BY71+BX72-CG71)))</f>
        <v>483.90000000000026</v>
      </c>
      <c r="BZ72" s="13">
        <f>BY72*VLOOKUP('Données projet'!$B$12,Paramètres!$A$1:$I$89,3,0)*VLOOKUP('Données projet'!$B$12,Paramètres!$A$1:$I$89,5,0)</f>
        <v>289.37220000000019</v>
      </c>
      <c r="CA72" s="13">
        <f t="shared" si="93"/>
        <v>68.943812992253996</v>
      </c>
      <c r="CB72" s="20">
        <f t="shared" si="64"/>
        <v>624.06705596150925</v>
      </c>
      <c r="CC72" s="59">
        <f t="shared" si="65"/>
        <v>917.40038929484263</v>
      </c>
      <c r="CD72" s="59">
        <f ca="1">AVERAGE(OFFSET($CC$3,0,0,'Données projet'!$E$12+1,1))-AVERAGE(OFFSET($H$3,0,0,'Données projet'!$E$12+1,1))</f>
        <v>270.30888762640245</v>
      </c>
      <c r="CE72" s="59">
        <f t="shared" si="94"/>
        <v>202.23783851977691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0.98937260487636491</v>
      </c>
      <c r="CL72" s="21">
        <f>EXP(-LN(2)/25)*CL71+(1-EXP(-LN(2)/25))/(LN(2)/25)*Calculateur!CG72*Calculateur!CI72*VLOOKUP('Données projet'!$B$12,Paramètres!$A$1:$I$89,3,0)*0.475*44/12</f>
        <v>4.169933153332944</v>
      </c>
      <c r="CM72" s="21">
        <f>EXP(-LN(2)/2)*CM71+(1-EXP(-LN(2)/2))/(LN(2)/2)*CG72*CJ72*VLOOKUP('Données projet'!$B$12,Paramètres!$A$1:$I$89,3,0)*0.475*44/12</f>
        <v>2.4940965525276696E-5</v>
      </c>
      <c r="CN72" s="22">
        <f t="shared" si="66"/>
        <v>5.1593306991748333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4.9000000000000004</v>
      </c>
      <c r="CT72" s="12">
        <f>IF('Données projet'!$A$140&gt;35,CT71+CS72-DB71,IF(A72&lt;'Données projet'!$A$140,$CQ$205^A72,IF(A72='Données projet'!$A$140,'Données projet'!$B$140,CT71+CS72-DB71)))</f>
        <v>324.09999999999974</v>
      </c>
      <c r="CU72" s="17">
        <f>CT72*VLOOKUP('Données projet'!$B$13,Paramètres!$A$1:$I$89,3,0)*VLOOKUP('Données projet'!$B$13,Paramètres!$A$1:$I$89,5,0)</f>
        <v>217.40627999999984</v>
      </c>
      <c r="CV72" s="13">
        <f t="shared" si="95"/>
        <v>53.550764977224674</v>
      </c>
      <c r="CW72" s="20">
        <f t="shared" si="67"/>
        <v>471.91685333533269</v>
      </c>
      <c r="CX72" s="59">
        <f t="shared" si="68"/>
        <v>765.25018666866595</v>
      </c>
      <c r="CY72" s="59">
        <f ca="1">AVERAGE(OFFSET($CX$3,0,0,'Données projet'!$E$13+1,1))-AVERAGE(OFFSET($H$3,0,0,'Données projet'!$E$13+1,1))</f>
        <v>207.93042467236967</v>
      </c>
      <c r="CZ72" s="59">
        <f t="shared" si="96"/>
        <v>250.70954318710835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1.2708100777449793</v>
      </c>
      <c r="DG72" s="21">
        <f>EXP(-LN(2)/25)*DG71+(1-EXP(-LN(2)/25))/(LN(2)/25)*Calculateur!DB72*Calculateur!DD72*VLOOKUP('Données projet'!$B$13,Paramètres!$A$1:$I$89,3,0)*0.475*44/12</f>
        <v>5.8675991162772902</v>
      </c>
      <c r="DH72" s="21">
        <f>EXP(-LN(2)/2)*DH71+(1-EXP(-LN(2)/2))/(LN(2)/2)*DB72*DE72*VLOOKUP('Données projet'!$B$13,Paramètres!$A$1:$I$89,3,0)*0.475*44/12</f>
        <v>2.7335711375663449E-5</v>
      </c>
      <c r="DI72" s="22">
        <f t="shared" si="69"/>
        <v>7.138436529733645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4.0999999999999996</v>
      </c>
      <c r="DO72" s="12">
        <f>IF('Données projet'!$A$166&gt;35,DO71+DN72-DW71,IF(A72&lt;'Données projet'!$A$166,$DL$205^A72,IF(A72='Données projet'!$A$166,'Données projet'!$B$166,DO71+DN72-DW71)))</f>
        <v>269.89999999999981</v>
      </c>
      <c r="DP72" s="17">
        <f>DO72*VLOOKUP('Données projet'!$B$14,Paramètres!$A$1:$I$89,3,0)*VLOOKUP('Données projet'!$B$14,Paramètres!$A$1:$I$89,5,0)</f>
        <v>181.04891999999987</v>
      </c>
      <c r="DQ72" s="13">
        <f t="shared" si="97"/>
        <v>45.55547256641065</v>
      </c>
      <c r="DR72" s="20">
        <f t="shared" si="70"/>
        <v>394.669317053165</v>
      </c>
      <c r="DS72" s="59">
        <f t="shared" si="71"/>
        <v>688.00265038649832</v>
      </c>
      <c r="DT72" s="59">
        <f ca="1">AVERAGE(OFFSET($DS$3,0,0,'Données projet'!$E$14+1,1))-AVERAGE(OFFSET($H$3,0,0,'Données projet'!$E$14+1,1))</f>
        <v>156.63226020379989</v>
      </c>
      <c r="DU72" s="59">
        <f t="shared" si="98"/>
        <v>196.0481096619543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2.940426501128464</v>
      </c>
      <c r="EC72" s="21">
        <f>EXP(-LN(2)/2)*EC71+(1-EXP(-LN(2)/2))/(LN(2)/2)*DW72*DZ72*VLOOKUP('Données projet'!$B$14,Paramètres!$A$1:$I$89,3,0)*0.475*44/12</f>
        <v>1.2237382379688327E-5</v>
      </c>
      <c r="ED72" s="22">
        <f t="shared" si="72"/>
        <v>2.9404387385108439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5.6899038461538431</v>
      </c>
      <c r="EJ72" s="12">
        <f>IF('Données projet'!$A$192&gt;35,EJ71+EI72-ER71,IF(A72&lt;'Données projet'!$A$192,$EG$205^A72,IF(A72='Données projet'!$A$192,'Données projet'!$B$192,EJ71+EI72-ER71)))</f>
        <v>147.24519230769229</v>
      </c>
      <c r="EK72" s="17">
        <f>EJ72*VLOOKUP('Données projet'!$B$15,Paramètres!$A$1:$I$89,3,0)*VLOOKUP('Données projet'!$B$15,Paramètres!$A$1:$I$89,5,0)</f>
        <v>149.306625</v>
      </c>
      <c r="EL72" s="13">
        <f t="shared" si="99"/>
        <v>38.420971199416954</v>
      </c>
      <c r="EM72" s="20">
        <f t="shared" si="73"/>
        <v>326.95889671398453</v>
      </c>
      <c r="EN72" s="59">
        <f t="shared" si="74"/>
        <v>620.29223004731784</v>
      </c>
      <c r="EO72" s="59">
        <f ca="1">AVERAGE(OFFSET($EN$3,0,0,'Données projet'!$E$15+1,1))-AVERAGE(OFFSET($H$3,0,0,'Données projet'!$E$15+1,1))</f>
        <v>190.21499310415584</v>
      </c>
      <c r="EP72" s="59">
        <f t="shared" si="100"/>
        <v>136.15730566500173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1.3791666666666671</v>
      </c>
      <c r="FE72" s="12">
        <f>IF('Données projet'!$A$218&gt;35,FE71+FD72-FM71,IF(A72&lt;'Données projet'!$A$218,$FB$205^A72,IF(A72='Données projet'!$A$218,'Données projet'!$B$218,FE71+FD72-FM71)))</f>
        <v>72.995833333333309</v>
      </c>
      <c r="FF72" s="17">
        <f>FE72*VLOOKUP('Données projet'!$B$16,Paramètres!$A$1:$I$89,3,0)*VLOOKUP('Données projet'!$B$16,Paramètres!$A$1:$I$89,5,0)</f>
        <v>84.091199999999972</v>
      </c>
      <c r="FG72" s="13">
        <f t="shared" si="101"/>
        <v>23.134581672905657</v>
      </c>
      <c r="FH72" s="20">
        <f t="shared" si="76"/>
        <v>186.75156974697731</v>
      </c>
      <c r="FI72" s="59">
        <f t="shared" si="77"/>
        <v>480.0849030803106</v>
      </c>
      <c r="FJ72" s="59">
        <f ca="1">AVERAGE(OFFSET($FI$3,0,0,'Données projet'!$E$16+1,1))-AVERAGE(OFFSET($H$3,0,0,'Données projet'!$E$16+1,1))</f>
        <v>14.847345852478327</v>
      </c>
      <c r="FK72" s="59">
        <f t="shared" si="102"/>
        <v>46.764428272166299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0.60191637655462615</v>
      </c>
      <c r="FS72" s="21">
        <f>EXP(-LN(2)/2)*FS71+(1-EXP(-LN(2)/2))/(LN(2)/2)*FM72*FP72*VLOOKUP('Données projet'!$B$16,Paramètres!$A$1:$I$89,3,0)*0.475*44/12</f>
        <v>2.6609773506406489E-6</v>
      </c>
      <c r="FT72" s="22">
        <f t="shared" si="78"/>
        <v>0.60191903753197684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8.1001602564102555</v>
      </c>
      <c r="N73" s="13">
        <f>IF('Données projet'!$A$36&gt;35,N72+M73-V72,IF(A73&lt;'Données projet'!$A$36,$K$205^A73,IF(A73='Données projet'!$A$36,'Données projet'!$B$36,N72+M73-V72)))</f>
        <v>235.26522435897436</v>
      </c>
      <c r="O73" s="13">
        <f>N73*VLOOKUP('Données projet'!$B$9,Paramètres!$A$1:$I$89,3,0)*VLOOKUP('Données projet'!$B$9,Paramètres!$A$1:$I$89,5,0)</f>
        <v>212.86797499999997</v>
      </c>
      <c r="P73" s="13">
        <f t="shared" si="87"/>
        <v>52.561814761455558</v>
      </c>
      <c r="Q73" s="20">
        <f t="shared" si="54"/>
        <v>462.29021716786838</v>
      </c>
      <c r="R73" s="59">
        <f t="shared" si="55"/>
        <v>755.62355050120163</v>
      </c>
      <c r="S73" s="59">
        <f ca="1">AVERAGE(OFFSET($R$3,0,0,'Données projet'!$E$9+1,1))-AVERAGE(OFFSET($H$3,0,0,'Données projet'!$E$9+1,1))</f>
        <v>221.7429870520005</v>
      </c>
      <c r="T73" s="59">
        <f t="shared" si="88"/>
        <v>182.2029938397186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329</v>
      </c>
      <c r="AG73" s="12">
        <f>VLOOKUP(A73,'Données projet'!$A$61:$I$81,9,0)</f>
        <v>4.9000000000000004</v>
      </c>
      <c r="AH73" s="12">
        <f t="array" ref="AH73">INDEX(AG:AG,MIN(IF(ISNUMBER(AG73:AG269),ROW(AG73:AG269),"")))</f>
        <v>4.9000000000000004</v>
      </c>
      <c r="AI73" s="13">
        <f>IF('Données projet'!$A$62&gt;35,AI72+AH73-AQ72,IF(A73&lt;'Données projet'!$A$62,$AF$205^A73,IF(A73='Données projet'!$A$62,'Données projet'!$B$62,AI72+AH73-AQ72)))</f>
        <v>328.99999999999972</v>
      </c>
      <c r="AJ73" s="13">
        <f>AI73*VLOOKUP('Données projet'!$B$10,Paramètres!$A$1:$I$89,3,0)*VLOOKUP('Données projet'!$B$10,Paramètres!$A$1:$I$89,5,0)</f>
        <v>261.7523999999998</v>
      </c>
      <c r="AK73" s="13">
        <f t="shared" si="89"/>
        <v>63.095772658160975</v>
      </c>
      <c r="AL73" s="20">
        <f t="shared" si="58"/>
        <v>565.7772340462966</v>
      </c>
      <c r="AM73" s="59">
        <f t="shared" si="59"/>
        <v>859.11056737962986</v>
      </c>
      <c r="AN73" s="59">
        <f ca="1">AVERAGE(OFFSET($AM$3,0,0,'Données projet'!$E$10+1,1))-AVERAGE(OFFSET($H$3,0,0,'Données projet'!$E$10+1,1))</f>
        <v>260.20517190557814</v>
      </c>
      <c r="AO73" s="59">
        <f t="shared" si="90"/>
        <v>307.22009971147133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26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1.4776838053288048</v>
      </c>
      <c r="AV73" s="21">
        <f>EXP(-LN(2)/25)*AV72+(1-EXP(-LN(2)/25))/(LN(2)/25)*Calculateur!AQ73*Calculateur!AS73*VLOOKUP('Données projet'!$B$10,Paramètres!$A$1:$I$89,3,0)*0.475*44/12</f>
        <v>6.7689445303216687</v>
      </c>
      <c r="AW73" s="21">
        <f>EXP(-LN(2)/2)*AW72+(1-EXP(-LN(2)/2))/(LN(2)/2)*AQ73*AT73*VLOOKUP('Données projet'!$B$10,Paramètres!$A$1:$I$89,3,0)*0.475*44/12</f>
        <v>2.2925409558064734E-5</v>
      </c>
      <c r="AX73" s="21">
        <f t="shared" si="60"/>
        <v>8.2466512610600322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564</v>
      </c>
      <c r="BB73" s="12">
        <f>VLOOKUP(A73,'Données projet'!$A$87:$I$107,9,0)</f>
        <v>16.399999999999999</v>
      </c>
      <c r="BC73" s="12">
        <f t="array" ref="BC73">INDEX(BB:BB,MIN(IF(ISNUMBER(BB73:BB269),ROW(BB73:BB269),"")))</f>
        <v>16.399999999999999</v>
      </c>
      <c r="BD73" s="12">
        <f>IF('Données projet'!$A$88&gt;35,BD72+BC73-BL72,IF(A73&lt;'Données projet'!$A$88,$BA$205^A73,IF(A73='Données projet'!$A$88,'Données projet'!$B$88,BD72+BC73-BL72)))</f>
        <v>563.99999999999955</v>
      </c>
      <c r="BE73" s="13">
        <f>BD73*VLOOKUP('Données projet'!$B$11,Paramètres!$A$1:$I$89,3,0)*VLOOKUP('Données projet'!$B$11,Paramètres!$A$1:$I$89,5,0)</f>
        <v>337.27199999999976</v>
      </c>
      <c r="BF73" s="13">
        <f t="shared" si="91"/>
        <v>78.936060366406466</v>
      </c>
      <c r="BG73" s="20">
        <f t="shared" si="61"/>
        <v>724.8957051381575</v>
      </c>
      <c r="BH73" s="59">
        <f t="shared" si="62"/>
        <v>1018.2290384714909</v>
      </c>
      <c r="BI73" s="59">
        <f ca="1">AVERAGE(OFFSET($BH$3,0,0,'Données projet'!$E$11+1,1))-AVERAGE(OFFSET($H$3,0,0,'Données projet'!$E$11+1,1))</f>
        <v>316.58509520829671</v>
      </c>
      <c r="BJ73" s="59">
        <f t="shared" si="92"/>
        <v>240.71332110643596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103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1.1477997403370559</v>
      </c>
      <c r="BQ73" s="21">
        <f>EXP(-LN(2)/25)*BQ72+(1-EXP(-LN(2)/25))/(LN(2)/25)*Calculateur!BL73*Calculateur!BN73*VLOOKUP('Données projet'!$B$11,Paramètres!$A$1:$I$89,3,0)*0.475*44/12</f>
        <v>5.0365375222316668</v>
      </c>
      <c r="BR73" s="21">
        <f>EXP(-LN(2)/2)*BR72+(1-EXP(-LN(2)/2))/(LN(2)/2)*BL73*BO73*VLOOKUP('Données projet'!$B$11,Paramètres!$A$1:$I$89,3,0)*0.475*44/12</f>
        <v>2.0922988004818777E-5</v>
      </c>
      <c r="BS73" s="22">
        <f t="shared" si="63"/>
        <v>6.1843581855567269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498</v>
      </c>
      <c r="BW73" s="12">
        <f>VLOOKUP(A73,'Données projet'!$A$113:$I$133,9,0)</f>
        <v>14.1</v>
      </c>
      <c r="BX73" s="12">
        <f t="array" ref="BX73">INDEX(BW:BW,MIN(IF(ISNUMBER(BW73:BW269),ROW(BW73:BW269),"")))</f>
        <v>14.1</v>
      </c>
      <c r="BY73" s="12">
        <f>IF('Données projet'!$A$114&gt;35,BY72+BX73-CG72,IF(A73&lt;'Données projet'!$A$114,$BV$205^A73,IF(A73='Données projet'!$A$114,'Données projet'!$B$114,BY72+BX73-CG72)))</f>
        <v>498.00000000000028</v>
      </c>
      <c r="BZ73" s="13">
        <f>BY73*VLOOKUP('Données projet'!$B$12,Paramètres!$A$1:$I$89,3,0)*VLOOKUP('Données projet'!$B$12,Paramètres!$A$1:$I$89,5,0)</f>
        <v>297.8040000000002</v>
      </c>
      <c r="CA73" s="13">
        <f t="shared" si="93"/>
        <v>70.715900863123025</v>
      </c>
      <c r="CB73" s="20">
        <f t="shared" si="64"/>
        <v>641.8388273366063</v>
      </c>
      <c r="CC73" s="59">
        <f t="shared" si="65"/>
        <v>935.17216066993956</v>
      </c>
      <c r="CD73" s="59">
        <f ca="1">AVERAGE(OFFSET($CC$3,0,0,'Données projet'!$E$12+1,1))-AVERAGE(OFFSET($H$3,0,0,'Données projet'!$E$12+1,1))</f>
        <v>270.30888762640245</v>
      </c>
      <c r="CE73" s="59">
        <f t="shared" si="94"/>
        <v>202.23783851977691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86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0.96997161155244183</v>
      </c>
      <c r="CL73" s="21">
        <f>EXP(-LN(2)/25)*CL72+(1-EXP(-LN(2)/25))/(LN(2)/25)*Calculateur!CG73*Calculateur!CI73*VLOOKUP('Données projet'!$B$12,Paramètres!$A$1:$I$89,3,0)*0.475*44/12</f>
        <v>4.0559061119678006</v>
      </c>
      <c r="CM73" s="21">
        <f>EXP(-LN(2)/2)*CM72+(1-EXP(-LN(2)/2))/(LN(2)/2)*CG73*CJ73*VLOOKUP('Données projet'!$B$12,Paramètres!$A$1:$I$89,3,0)*0.475*44/12</f>
        <v>1.7635925852263054E-5</v>
      </c>
      <c r="CN73" s="22">
        <f t="shared" si="66"/>
        <v>5.0258953594460944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329</v>
      </c>
      <c r="CR73" s="12">
        <f>VLOOKUP(A73,'Données projet'!$A$139:$I$159,9,0)</f>
        <v>4.9000000000000004</v>
      </c>
      <c r="CS73" s="12">
        <f t="array" ref="CS73">INDEX(CR:CR,MIN(IF(ISNUMBER(CR73:CR269),ROW(CR73:CR269),"")))</f>
        <v>4.9000000000000004</v>
      </c>
      <c r="CT73" s="12">
        <f>IF('Données projet'!$A$140&gt;35,CT72+CS73-DB72,IF(A73&lt;'Données projet'!$A$140,$CQ$205^A73,IF(A73='Données projet'!$A$140,'Données projet'!$B$140,CT72+CS73-DB72)))</f>
        <v>328.99999999999972</v>
      </c>
      <c r="CU73" s="17">
        <f>CT73*VLOOKUP('Données projet'!$B$13,Paramètres!$A$1:$I$89,3,0)*VLOOKUP('Données projet'!$B$13,Paramètres!$A$1:$I$89,5,0)</f>
        <v>220.69319999999982</v>
      </c>
      <c r="CV73" s="13">
        <f t="shared" si="95"/>
        <v>54.265521718843871</v>
      </c>
      <c r="CW73" s="20">
        <f t="shared" si="67"/>
        <v>478.88644032698608</v>
      </c>
      <c r="CX73" s="59">
        <f t="shared" si="68"/>
        <v>772.21977366031933</v>
      </c>
      <c r="CY73" s="59">
        <f ca="1">AVERAGE(OFFSET($CX$3,0,0,'Données projet'!$E$13+1,1))-AVERAGE(OFFSET($H$3,0,0,'Données projet'!$E$13+1,1))</f>
        <v>207.93042467236967</v>
      </c>
      <c r="CZ73" s="59">
        <f t="shared" si="96"/>
        <v>250.70954318710835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26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1.2458902672380112</v>
      </c>
      <c r="DG73" s="21">
        <f>EXP(-LN(2)/25)*DG72+(1-EXP(-LN(2)/25))/(LN(2)/25)*Calculateur!DB73*Calculateur!DD73*VLOOKUP('Données projet'!$B$13,Paramètres!$A$1:$I$89,3,0)*0.475*44/12</f>
        <v>5.7071493098790604</v>
      </c>
      <c r="DH73" s="21">
        <f>EXP(-LN(2)/2)*DH72+(1-EXP(-LN(2)/2))/(LN(2)/2)*DB73*DE73*VLOOKUP('Données projet'!$B$13,Paramètres!$A$1:$I$89,3,0)*0.475*44/12</f>
        <v>1.9329266882289872E-5</v>
      </c>
      <c r="DI73" s="22">
        <f t="shared" si="69"/>
        <v>6.9530589063839541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274</v>
      </c>
      <c r="DM73" s="12">
        <f>VLOOKUP(A73,'Données projet'!$A$165:$I$185,9,0)</f>
        <v>4.0999999999999996</v>
      </c>
      <c r="DN73" s="12">
        <f t="array" ref="DN73">INDEX(DM:DM,MIN(IF(ISNUMBER(DM73:DM269),ROW(DM73:DM269),"")))</f>
        <v>4.0999999999999996</v>
      </c>
      <c r="DO73" s="12">
        <f>IF('Données projet'!$A$166&gt;35,DO72+DN73-DW72,IF(A73&lt;'Données projet'!$A$166,$DL$205^A73,IF(A73='Données projet'!$A$166,'Données projet'!$B$166,DO72+DN73-DW72)))</f>
        <v>273.99999999999983</v>
      </c>
      <c r="DP73" s="17">
        <f>DO73*VLOOKUP('Données projet'!$B$14,Paramètres!$A$1:$I$89,3,0)*VLOOKUP('Données projet'!$B$14,Paramètres!$A$1:$I$89,5,0)</f>
        <v>183.79919999999987</v>
      </c>
      <c r="DQ73" s="13">
        <f t="shared" si="97"/>
        <v>46.166407921672452</v>
      </c>
      <c r="DR73" s="20">
        <f t="shared" si="70"/>
        <v>400.52343379691257</v>
      </c>
      <c r="DS73" s="59">
        <f t="shared" si="71"/>
        <v>693.85676713024588</v>
      </c>
      <c r="DT73" s="59">
        <f ca="1">AVERAGE(OFFSET($DS$3,0,0,'Données projet'!$E$14+1,1))-AVERAGE(OFFSET($H$3,0,0,'Données projet'!$E$14+1,1))</f>
        <v>156.63226020379989</v>
      </c>
      <c r="DU73" s="59">
        <f t="shared" si="98"/>
        <v>196.0481096619543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2.8600203838247968</v>
      </c>
      <c r="EC73" s="21">
        <f>EXP(-LN(2)/2)*EC72+(1-EXP(-LN(2)/2))/(LN(2)/2)*DW73*DZ73*VLOOKUP('Données projet'!$B$14,Paramètres!$A$1:$I$89,3,0)*0.475*44/12</f>
        <v>8.6531360646503864E-6</v>
      </c>
      <c r="ED73" s="22">
        <f t="shared" si="72"/>
        <v>2.8600290369608614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5.6899038461538431</v>
      </c>
      <c r="EJ73" s="12">
        <f>IF('Données projet'!$A$192&gt;35,EJ72+EI73-ER72,IF(A73&lt;'Données projet'!$A$192,$EG$205^A73,IF(A73='Données projet'!$A$192,'Données projet'!$B$192,EJ72+EI73-ER72)))</f>
        <v>152.93509615384613</v>
      </c>
      <c r="EK73" s="17">
        <f>EJ73*VLOOKUP('Données projet'!$B$15,Paramètres!$A$1:$I$89,3,0)*VLOOKUP('Données projet'!$B$15,Paramètres!$A$1:$I$89,5,0)</f>
        <v>155.0761875</v>
      </c>
      <c r="EL73" s="13">
        <f t="shared" si="99"/>
        <v>39.729923507145784</v>
      </c>
      <c r="EM73" s="20">
        <f t="shared" si="73"/>
        <v>339.28731000411216</v>
      </c>
      <c r="EN73" s="59">
        <f t="shared" si="74"/>
        <v>632.62064333744547</v>
      </c>
      <c r="EO73" s="59">
        <f ca="1">AVERAGE(OFFSET($EN$3,0,0,'Données projet'!$E$15+1,1))-AVERAGE(OFFSET($H$3,0,0,'Données projet'!$E$15+1,1))</f>
        <v>190.21499310415584</v>
      </c>
      <c r="EP73" s="59">
        <f t="shared" si="100"/>
        <v>136.15730566500173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74.375</v>
      </c>
      <c r="FC73" s="12">
        <f>VLOOKUP(A73,'Données projet'!$A$217:$I$237,9,0)</f>
        <v>1.3791666666666671</v>
      </c>
      <c r="FD73" s="12">
        <f t="array" ref="FD73">INDEX(FC:FC,MIN(IF(ISNUMBER(FC73:FC269),ROW(FC73:FC269),"")))</f>
        <v>1.3791666666666671</v>
      </c>
      <c r="FE73" s="12">
        <f>IF('Données projet'!$A$218&gt;35,FE72+FD73-FM72,IF(A73&lt;'Données projet'!$A$218,$FB$205^A73,IF(A73='Données projet'!$A$218,'Données projet'!$B$218,FE72+FD73-FM72)))</f>
        <v>74.374999999999972</v>
      </c>
      <c r="FF73" s="17">
        <f>FE73*VLOOKUP('Données projet'!$B$16,Paramètres!$A$1:$I$89,3,0)*VLOOKUP('Données projet'!$B$16,Paramètres!$A$1:$I$89,5,0)</f>
        <v>85.67999999999995</v>
      </c>
      <c r="FG73" s="13">
        <f t="shared" si="101"/>
        <v>23.52038107192627</v>
      </c>
      <c r="FH73" s="20">
        <f t="shared" si="76"/>
        <v>190.19066370027147</v>
      </c>
      <c r="FI73" s="59">
        <f t="shared" si="77"/>
        <v>483.52399703360481</v>
      </c>
      <c r="FJ73" s="59">
        <f ca="1">AVERAGE(OFFSET($FI$3,0,0,'Données projet'!$E$16+1,1))-AVERAGE(OFFSET($H$3,0,0,'Données projet'!$E$16+1,1))</f>
        <v>14.847345852478327</v>
      </c>
      <c r="FK73" s="59">
        <f t="shared" si="102"/>
        <v>46.764428272166299</v>
      </c>
      <c r="FL73" s="15">
        <f>IF(ISNA(VLOOKUP(A73,'Données projet'!$A$217:$I$237,3,0)),0,VLOOKUP(A73,'Données projet'!$A$217:$I$237,3,0))</f>
        <v>7</v>
      </c>
      <c r="FM73" s="15">
        <f>IF(ISNA(VLOOKUP(A73,'Données projet'!$A$217:$I$237,4,0)),0,VLOOKUP(A73,'Données projet'!$A$217:$I$237,4,0))</f>
        <v>8.0416666666666679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0.58545694158433337</v>
      </c>
      <c r="FS73" s="21">
        <f>EXP(-LN(2)/2)*FS72+(1-EXP(-LN(2)/2))/(LN(2)/2)*FM73*FP73*VLOOKUP('Données projet'!$B$16,Paramètres!$A$1:$I$89,3,0)*0.475*44/12</f>
        <v>1.8815951292218165E-6</v>
      </c>
      <c r="FT73" s="22">
        <f t="shared" si="78"/>
        <v>0.58545882317946263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243.36538461538458</v>
      </c>
      <c r="L74" s="12">
        <f>VLOOKUP(A74,'Données projet'!$A$35:$I$55,9,0)</f>
        <v>8.1001602564102555</v>
      </c>
      <c r="M74" s="12">
        <f t="array" ref="M74">INDEX(L:L,MIN(IF(ISNUMBER(L74:L270),ROW(L74:L270),"")))</f>
        <v>8.1001602564102555</v>
      </c>
      <c r="N74" s="13">
        <f>IF('Données projet'!$A$36&gt;35,N73+M74-V73,IF(A74&lt;'Données projet'!$A$36,$K$205^A74,IF(A74='Données projet'!$A$36,'Données projet'!$B$36,N73+M74-V73)))</f>
        <v>243.36538461538461</v>
      </c>
      <c r="O74" s="13">
        <f>N74*VLOOKUP('Données projet'!$B$9,Paramètres!$A$1:$I$89,3,0)*VLOOKUP('Données projet'!$B$9,Paramètres!$A$1:$I$89,5,0)</f>
        <v>220.19699999999997</v>
      </c>
      <c r="P74" s="13">
        <f t="shared" si="87"/>
        <v>54.157700466574305</v>
      </c>
      <c r="Q74" s="20">
        <f t="shared" si="54"/>
        <v>477.83443664595023</v>
      </c>
      <c r="R74" s="59">
        <f t="shared" si="55"/>
        <v>771.16776997928355</v>
      </c>
      <c r="S74" s="59">
        <f ca="1">AVERAGE(OFFSET($R$3,0,0,'Données projet'!$E$9+1,1))-AVERAGE(OFFSET($H$3,0,0,'Données projet'!$E$9+1,1))</f>
        <v>221.7429870520005</v>
      </c>
      <c r="T74" s="59">
        <f t="shared" si="88"/>
        <v>182.2029938397186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39.935897435897431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3.9</v>
      </c>
      <c r="AI74" s="13">
        <f>IF('Données projet'!$A$62&gt;35,AI73+AH74-AQ73,IF(A74&lt;'Données projet'!$A$62,$AF$205^A74,IF(A74='Données projet'!$A$62,'Données projet'!$B$62,AI73+AH74-AQ73)))</f>
        <v>306.89999999999969</v>
      </c>
      <c r="AJ74" s="13">
        <f>AI74*VLOOKUP('Données projet'!$B$10,Paramètres!$A$1:$I$89,3,0)*VLOOKUP('Données projet'!$B$10,Paramètres!$A$1:$I$89,5,0)</f>
        <v>244.16963999999976</v>
      </c>
      <c r="AK74" s="13">
        <f t="shared" si="89"/>
        <v>59.335747541340979</v>
      </c>
      <c r="AL74" s="20">
        <f t="shared" si="58"/>
        <v>528.60521663450174</v>
      </c>
      <c r="AM74" s="59">
        <f t="shared" si="59"/>
        <v>821.93854996783512</v>
      </c>
      <c r="AN74" s="59">
        <f ca="1">AVERAGE(OFFSET($AM$3,0,0,'Données projet'!$E$10+1,1))-AVERAGE(OFFSET($H$3,0,0,'Données projet'!$E$10+1,1))</f>
        <v>260.20517190557814</v>
      </c>
      <c r="AO74" s="59">
        <f t="shared" si="90"/>
        <v>307.22009971147133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1.4487073272044324</v>
      </c>
      <c r="AV74" s="21">
        <f>EXP(-LN(2)/25)*AV73+(1-EXP(-LN(2)/25))/(LN(2)/25)*Calculateur!AQ74*Calculateur!AS74*VLOOKUP('Données projet'!$B$10,Paramètres!$A$1:$I$89,3,0)*0.475*44/12</f>
        <v>6.5838473861767008</v>
      </c>
      <c r="AW74" s="21">
        <f>EXP(-LN(2)/2)*AW73+(1-EXP(-LN(2)/2))/(LN(2)/2)*AQ74*AT74*VLOOKUP('Données projet'!$B$10,Paramètres!$A$1:$I$89,3,0)*0.475*44/12</f>
        <v>1.6210712559986465E-5</v>
      </c>
      <c r="AX74" s="21">
        <f t="shared" si="60"/>
        <v>8.0325709240936938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14.5</v>
      </c>
      <c r="BD74" s="12">
        <f>IF('Données projet'!$A$88&gt;35,BD73+BC74-BL73,IF(A74&lt;'Données projet'!$A$88,$BA$205^A74,IF(A74='Données projet'!$A$88,'Données projet'!$B$88,BD73+BC74-BL73)))</f>
        <v>475.49999999999955</v>
      </c>
      <c r="BE74" s="13">
        <f>BD74*VLOOKUP('Données projet'!$B$11,Paramètres!$A$1:$I$89,3,0)*VLOOKUP('Données projet'!$B$11,Paramètres!$A$1:$I$89,5,0)</f>
        <v>284.34899999999976</v>
      </c>
      <c r="BF74" s="13">
        <f t="shared" si="91"/>
        <v>67.88525155188097</v>
      </c>
      <c r="BG74" s="20">
        <f t="shared" si="61"/>
        <v>613.47465478619222</v>
      </c>
      <c r="BH74" s="59">
        <f t="shared" si="62"/>
        <v>906.80798811952559</v>
      </c>
      <c r="BI74" s="59">
        <f ca="1">AVERAGE(OFFSET($BH$3,0,0,'Données projet'!$E$11+1,1))-AVERAGE(OFFSET($H$3,0,0,'Données projet'!$E$11+1,1))</f>
        <v>316.58509520829671</v>
      </c>
      <c r="BJ74" s="59">
        <f t="shared" si="92"/>
        <v>240.71332110643596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1.1252920875177599</v>
      </c>
      <c r="BQ74" s="21">
        <f>EXP(-LN(2)/25)*BQ73+(1-EXP(-LN(2)/25))/(LN(2)/25)*Calculateur!BL74*Calculateur!BN74*VLOOKUP('Données projet'!$B$11,Paramètres!$A$1:$I$89,3,0)*0.475*44/12</f>
        <v>4.8988131388262444</v>
      </c>
      <c r="BR74" s="21">
        <f>EXP(-LN(2)/2)*BR73+(1-EXP(-LN(2)/2))/(LN(2)/2)*BL74*BO74*VLOOKUP('Données projet'!$B$11,Paramètres!$A$1:$I$89,3,0)*0.475*44/12</f>
        <v>1.479478670089215E-5</v>
      </c>
      <c r="BS74" s="22">
        <f t="shared" si="63"/>
        <v>6.0241200211307051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12.5</v>
      </c>
      <c r="BY74" s="12">
        <f>IF('Données projet'!$A$114&gt;35,BY73+BX74-CG73,IF(A74&lt;'Données projet'!$A$114,$BV$205^A74,IF(A74='Données projet'!$A$114,'Données projet'!$B$114,BY73+BX74-CG73)))</f>
        <v>424.50000000000028</v>
      </c>
      <c r="BZ74" s="13">
        <f>BY74*VLOOKUP('Données projet'!$B$12,Paramètres!$A$1:$I$89,3,0)*VLOOKUP('Données projet'!$B$12,Paramètres!$A$1:$I$89,5,0)</f>
        <v>253.8510000000002</v>
      </c>
      <c r="CA74" s="13">
        <f t="shared" si="93"/>
        <v>61.409839451305665</v>
      </c>
      <c r="CB74" s="20">
        <f t="shared" si="64"/>
        <v>549.07929537769098</v>
      </c>
      <c r="CC74" s="59">
        <f t="shared" si="65"/>
        <v>842.41262871102435</v>
      </c>
      <c r="CD74" s="59">
        <f ca="1">AVERAGE(OFFSET($CC$3,0,0,'Données projet'!$E$12+1,1))-AVERAGE(OFFSET($H$3,0,0,'Données projet'!$E$12+1,1))</f>
        <v>270.30888762640245</v>
      </c>
      <c r="CE74" s="59">
        <f t="shared" si="94"/>
        <v>202.23783851977691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0.9509510598741634</v>
      </c>
      <c r="CL74" s="21">
        <f>EXP(-LN(2)/25)*CL73+(1-EXP(-LN(2)/25))/(LN(2)/25)*Calculateur!CG74*Calculateur!CI74*VLOOKUP('Données projet'!$B$12,Paramètres!$A$1:$I$89,3,0)*0.475*44/12</f>
        <v>3.9449971460452087</v>
      </c>
      <c r="CM74" s="21">
        <f>EXP(-LN(2)/2)*CM73+(1-EXP(-LN(2)/2))/(LN(2)/2)*CG74*CJ74*VLOOKUP('Données projet'!$B$12,Paramètres!$A$1:$I$89,3,0)*0.475*44/12</f>
        <v>1.2470482762638348E-5</v>
      </c>
      <c r="CN74" s="22">
        <f t="shared" si="66"/>
        <v>4.8959606764021348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3.9</v>
      </c>
      <c r="CT74" s="12">
        <f>IF('Données projet'!$A$140&gt;35,CT73+CS74-DB73,IF(A74&lt;'Données projet'!$A$140,$CQ$205^A74,IF(A74='Données projet'!$A$140,'Données projet'!$B$140,CT73+CS74-DB73)))</f>
        <v>306.89999999999969</v>
      </c>
      <c r="CU74" s="17">
        <f>CT74*VLOOKUP('Données projet'!$B$13,Paramètres!$A$1:$I$89,3,0)*VLOOKUP('Données projet'!$B$13,Paramètres!$A$1:$I$89,5,0)</f>
        <v>205.86851999999982</v>
      </c>
      <c r="CV74" s="13">
        <f t="shared" si="95"/>
        <v>51.031711971467665</v>
      </c>
      <c r="CW74" s="20">
        <f t="shared" si="67"/>
        <v>447.43457068363909</v>
      </c>
      <c r="CX74" s="59">
        <f t="shared" si="68"/>
        <v>740.76790401697235</v>
      </c>
      <c r="CY74" s="59">
        <f ca="1">AVERAGE(OFFSET($CX$3,0,0,'Données projet'!$E$13+1,1))-AVERAGE(OFFSET($H$3,0,0,'Données projet'!$E$13+1,1))</f>
        <v>207.93042467236967</v>
      </c>
      <c r="CZ74" s="59">
        <f t="shared" si="96"/>
        <v>250.70954318710835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1.2214591190155011</v>
      </c>
      <c r="DG74" s="21">
        <f>EXP(-LN(2)/25)*DG73+(1-EXP(-LN(2)/25))/(LN(2)/25)*Calculateur!DB74*Calculateur!DD74*VLOOKUP('Données projet'!$B$13,Paramètres!$A$1:$I$89,3,0)*0.475*44/12</f>
        <v>5.5510870118744791</v>
      </c>
      <c r="DH74" s="21">
        <f>EXP(-LN(2)/2)*DH73+(1-EXP(-LN(2)/2))/(LN(2)/2)*DB74*DE74*VLOOKUP('Données projet'!$B$13,Paramètres!$A$1:$I$89,3,0)*0.475*44/12</f>
        <v>1.3667855687831724E-5</v>
      </c>
      <c r="DI74" s="22">
        <f t="shared" si="69"/>
        <v>6.772559798745668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3.1</v>
      </c>
      <c r="DO74" s="12">
        <f>IF('Données projet'!$A$166&gt;35,DO73+DN74-DW73,IF(A74&lt;'Données projet'!$A$166,$DL$205^A74,IF(A74='Données projet'!$A$166,'Données projet'!$B$166,DO73+DN74-DW73)))</f>
        <v>256.09999999999985</v>
      </c>
      <c r="DP74" s="17">
        <f>DO74*VLOOKUP('Données projet'!$B$14,Paramètres!$A$1:$I$89,3,0)*VLOOKUP('Données projet'!$B$14,Paramètres!$A$1:$I$89,5,0)</f>
        <v>171.79187999999991</v>
      </c>
      <c r="DQ74" s="13">
        <f t="shared" si="97"/>
        <v>43.491099864751611</v>
      </c>
      <c r="DR74" s="20">
        <f t="shared" si="70"/>
        <v>374.9511899311089</v>
      </c>
      <c r="DS74" s="59">
        <f t="shared" si="71"/>
        <v>668.28452326444221</v>
      </c>
      <c r="DT74" s="59">
        <f ca="1">AVERAGE(OFFSET($DS$3,0,0,'Données projet'!$E$14+1,1))-AVERAGE(OFFSET($H$3,0,0,'Données projet'!$E$14+1,1))</f>
        <v>156.63226020379989</v>
      </c>
      <c r="DU74" s="59">
        <f t="shared" si="98"/>
        <v>196.0481096619543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2.7818129760271724</v>
      </c>
      <c r="EC74" s="21">
        <f>EXP(-LN(2)/2)*EC73+(1-EXP(-LN(2)/2))/(LN(2)/2)*DW74*DZ74*VLOOKUP('Données projet'!$B$14,Paramètres!$A$1:$I$89,3,0)*0.475*44/12</f>
        <v>6.1186911898441637E-6</v>
      </c>
      <c r="ED74" s="22">
        <f t="shared" si="72"/>
        <v>2.7818190947183621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5.6899038461538431</v>
      </c>
      <c r="EJ74" s="12">
        <f>IF('Données projet'!$A$192&gt;35,EJ73+EI74-ER73,IF(A74&lt;'Données projet'!$A$192,$EG$205^A74,IF(A74='Données projet'!$A$192,'Données projet'!$B$192,EJ73+EI74-ER73)))</f>
        <v>158.62499999999997</v>
      </c>
      <c r="EK74" s="17">
        <f>EJ74*VLOOKUP('Données projet'!$B$15,Paramètres!$A$1:$I$89,3,0)*VLOOKUP('Données projet'!$B$15,Paramètres!$A$1:$I$89,5,0)</f>
        <v>160.84574999999998</v>
      </c>
      <c r="EL74" s="13">
        <f t="shared" si="99"/>
        <v>41.033218108988017</v>
      </c>
      <c r="EM74" s="20">
        <f t="shared" si="73"/>
        <v>351.60586945648743</v>
      </c>
      <c r="EN74" s="59">
        <f t="shared" si="74"/>
        <v>644.93920278982068</v>
      </c>
      <c r="EO74" s="59">
        <f ca="1">AVERAGE(OFFSET($EN$3,0,0,'Données projet'!$E$15+1,1))-AVERAGE(OFFSET($H$3,0,0,'Données projet'!$E$15+1,1))</f>
        <v>190.21499310415584</v>
      </c>
      <c r="EP74" s="59">
        <f t="shared" si="100"/>
        <v>136.15730566500173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1.2750000000000015</v>
      </c>
      <c r="FE74" s="12">
        <f>IF('Données projet'!$A$218&gt;35,FE73+FD74-FM73,IF(A74&lt;'Données projet'!$A$218,$FB$205^A74,IF(A74='Données projet'!$A$218,'Données projet'!$B$218,FE73+FD74-FM73)))</f>
        <v>67.608333333333306</v>
      </c>
      <c r="FF74" s="17">
        <f>FE74*VLOOKUP('Données projet'!$B$16,Paramètres!$A$1:$I$89,3,0)*VLOOKUP('Données projet'!$B$16,Paramètres!$A$1:$I$89,5,0)</f>
        <v>77.884799999999956</v>
      </c>
      <c r="FG74" s="13">
        <f t="shared" si="101"/>
        <v>21.619202953871909</v>
      </c>
      <c r="FH74" s="20">
        <f t="shared" si="76"/>
        <v>173.30280514466014</v>
      </c>
      <c r="FI74" s="59">
        <f t="shared" si="77"/>
        <v>466.63613847799343</v>
      </c>
      <c r="FJ74" s="59">
        <f ca="1">AVERAGE(OFFSET($FI$3,0,0,'Données projet'!$E$16+1,1))-AVERAGE(OFFSET($H$3,0,0,'Données projet'!$E$16+1,1))</f>
        <v>14.847345852478327</v>
      </c>
      <c r="FK74" s="59">
        <f t="shared" si="102"/>
        <v>46.764428272166299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0.5694475907288673</v>
      </c>
      <c r="FS74" s="21">
        <f>EXP(-LN(2)/2)*FS73+(1-EXP(-LN(2)/2))/(LN(2)/2)*FM74*FP74*VLOOKUP('Données projet'!$B$16,Paramètres!$A$1:$I$89,3,0)*0.475*44/12</f>
        <v>1.3304886753203247E-6</v>
      </c>
      <c r="FT74" s="22">
        <f t="shared" si="78"/>
        <v>0.56944892121754265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7.8425925925925934</v>
      </c>
      <c r="N75" s="13">
        <f>IF('Données projet'!$A$36&gt;35,N74+M75-V74,IF(A75&lt;'Données projet'!$A$36,$K$205^A75,IF(A75='Données projet'!$A$36,'Données projet'!$B$36,N74+M75-V74)))</f>
        <v>211.27207977207976</v>
      </c>
      <c r="O75" s="13">
        <f>N75*VLOOKUP('Données projet'!$B$9,Paramètres!$A$1:$I$89,3,0)*VLOOKUP('Données projet'!$B$9,Paramètres!$A$1:$I$89,5,0)</f>
        <v>191.15897777777778</v>
      </c>
      <c r="P75" s="13">
        <f t="shared" si="87"/>
        <v>47.796095622022946</v>
      </c>
      <c r="Q75" s="20">
        <f t="shared" si="54"/>
        <v>416.18008617131954</v>
      </c>
      <c r="R75" s="59">
        <f t="shared" si="55"/>
        <v>709.5134195046528</v>
      </c>
      <c r="S75" s="59">
        <f ca="1">AVERAGE(OFFSET($R$3,0,0,'Données projet'!$E$9+1,1))-AVERAGE(OFFSET($H$3,0,0,'Données projet'!$E$9+1,1))</f>
        <v>221.7429870520005</v>
      </c>
      <c r="T75" s="59">
        <f t="shared" si="88"/>
        <v>182.2029938397186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3.9</v>
      </c>
      <c r="AI75" s="13">
        <f>IF('Données projet'!$A$62&gt;35,AI74+AH75-AQ74,IF(A75&lt;'Données projet'!$A$62,$AF$205^A75,IF(A75='Données projet'!$A$62,'Données projet'!$B$62,AI74+AH75-AQ74)))</f>
        <v>310.79999999999967</v>
      </c>
      <c r="AJ75" s="13">
        <f>AI75*VLOOKUP('Données projet'!$B$10,Paramètres!$A$1:$I$89,3,0)*VLOOKUP('Données projet'!$B$10,Paramètres!$A$1:$I$89,5,0)</f>
        <v>247.27247999999975</v>
      </c>
      <c r="AK75" s="13">
        <f t="shared" si="89"/>
        <v>60.001511123918704</v>
      </c>
      <c r="AL75" s="20">
        <f t="shared" si="58"/>
        <v>535.16886787415797</v>
      </c>
      <c r="AM75" s="59">
        <f t="shared" si="59"/>
        <v>828.50220120749123</v>
      </c>
      <c r="AN75" s="59">
        <f ca="1">AVERAGE(OFFSET($AM$3,0,0,'Données projet'!$E$10+1,1))-AVERAGE(OFFSET($H$3,0,0,'Données projet'!$E$10+1,1))</f>
        <v>260.20517190557814</v>
      </c>
      <c r="AO75" s="59">
        <f t="shared" si="90"/>
        <v>307.22009971147133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1.4202990601421723</v>
      </c>
      <c r="AV75" s="21">
        <f>EXP(-LN(2)/25)*AV74+(1-EXP(-LN(2)/25))/(LN(2)/25)*Calculateur!AQ75*Calculateur!AS75*VLOOKUP('Données projet'!$B$10,Paramètres!$A$1:$I$89,3,0)*0.475*44/12</f>
        <v>6.4038117331722129</v>
      </c>
      <c r="AW75" s="21">
        <f>EXP(-LN(2)/2)*AW74+(1-EXP(-LN(2)/2))/(LN(2)/2)*AQ75*AT75*VLOOKUP('Données projet'!$B$10,Paramètres!$A$1:$I$89,3,0)*0.475*44/12</f>
        <v>1.1462704779032367E-5</v>
      </c>
      <c r="AX75" s="21">
        <f t="shared" si="60"/>
        <v>7.8241222560191641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14.5</v>
      </c>
      <c r="BD75" s="12">
        <f>IF('Données projet'!$A$88&gt;35,BD74+BC75-BL74,IF(A75&lt;'Données projet'!$A$88,$BA$205^A75,IF(A75='Données projet'!$A$88,'Données projet'!$B$88,BD74+BC75-BL74)))</f>
        <v>489.99999999999955</v>
      </c>
      <c r="BE75" s="13">
        <f>BD75*VLOOKUP('Données projet'!$B$11,Paramètres!$A$1:$I$89,3,0)*VLOOKUP('Données projet'!$B$11,Paramètres!$A$1:$I$89,5,0)</f>
        <v>293.01999999999975</v>
      </c>
      <c r="BF75" s="13">
        <f t="shared" si="91"/>
        <v>69.711188549176683</v>
      </c>
      <c r="BG75" s="20">
        <f t="shared" si="61"/>
        <v>631.75682005648218</v>
      </c>
      <c r="BH75" s="59">
        <f t="shared" si="62"/>
        <v>925.09015338981544</v>
      </c>
      <c r="BI75" s="59">
        <f ca="1">AVERAGE(OFFSET($BH$3,0,0,'Données projet'!$E$11+1,1))-AVERAGE(OFFSET($H$3,0,0,'Données projet'!$E$11+1,1))</f>
        <v>316.58509520829671</v>
      </c>
      <c r="BJ75" s="59">
        <f t="shared" si="92"/>
        <v>240.71332110643596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1.1032257960419376</v>
      </c>
      <c r="BQ75" s="21">
        <f>EXP(-LN(2)/25)*BQ74+(1-EXP(-LN(2)/25))/(LN(2)/25)*Calculateur!BL75*Calculateur!BN75*VLOOKUP('Données projet'!$B$11,Paramètres!$A$1:$I$89,3,0)*0.475*44/12</f>
        <v>4.7648548359276539</v>
      </c>
      <c r="BR75" s="21">
        <f>EXP(-LN(2)/2)*BR74+(1-EXP(-LN(2)/2))/(LN(2)/2)*BL75*BO75*VLOOKUP('Données projet'!$B$11,Paramètres!$A$1:$I$89,3,0)*0.475*44/12</f>
        <v>1.046149400240939E-5</v>
      </c>
      <c r="BS75" s="22">
        <f t="shared" si="63"/>
        <v>5.8680910934635939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12.5</v>
      </c>
      <c r="BY75" s="12">
        <f>IF('Données projet'!$A$114&gt;35,BY74+BX75-CG74,IF(A75&lt;'Données projet'!$A$114,$BV$205^A75,IF(A75='Données projet'!$A$114,'Données projet'!$B$114,BY74+BX75-CG74)))</f>
        <v>437.00000000000028</v>
      </c>
      <c r="BZ75" s="13">
        <f>BY75*VLOOKUP('Données projet'!$B$12,Paramètres!$A$1:$I$89,3,0)*VLOOKUP('Données projet'!$B$12,Paramètres!$A$1:$I$89,5,0)</f>
        <v>261.32600000000019</v>
      </c>
      <c r="CA75" s="13">
        <f t="shared" si="93"/>
        <v>63.004943834026825</v>
      </c>
      <c r="CB75" s="20">
        <f t="shared" si="64"/>
        <v>564.87639384426382</v>
      </c>
      <c r="CC75" s="59">
        <f t="shared" si="65"/>
        <v>858.20972717759719</v>
      </c>
      <c r="CD75" s="59">
        <f ca="1">AVERAGE(OFFSET($CC$3,0,0,'Données projet'!$E$12+1,1))-AVERAGE(OFFSET($H$3,0,0,'Données projet'!$E$12+1,1))</f>
        <v>270.30888762640245</v>
      </c>
      <c r="CE75" s="59">
        <f t="shared" si="94"/>
        <v>202.23783851977691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0.9323034896129051</v>
      </c>
      <c r="CL75" s="21">
        <f>EXP(-LN(2)/25)*CL74+(1-EXP(-LN(2)/25))/(LN(2)/25)*Calculateur!CG75*Calculateur!CI75*VLOOKUP('Données projet'!$B$12,Paramètres!$A$1:$I$89,3,0)*0.475*44/12</f>
        <v>3.8371209916282187</v>
      </c>
      <c r="CM75" s="21">
        <f>EXP(-LN(2)/2)*CM74+(1-EXP(-LN(2)/2))/(LN(2)/2)*CG75*CJ75*VLOOKUP('Données projet'!$B$12,Paramètres!$A$1:$I$89,3,0)*0.475*44/12</f>
        <v>8.8179629261315269E-6</v>
      </c>
      <c r="CN75" s="22">
        <f t="shared" si="66"/>
        <v>4.7694332992040502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3.9</v>
      </c>
      <c r="CT75" s="12">
        <f>IF('Données projet'!$A$140&gt;35,CT74+CS75-DB74,IF(A75&lt;'Données projet'!$A$140,$CQ$205^A75,IF(A75='Données projet'!$A$140,'Données projet'!$B$140,CT74+CS75-DB74)))</f>
        <v>310.79999999999967</v>
      </c>
      <c r="CU75" s="17">
        <f>CT75*VLOOKUP('Données projet'!$B$13,Paramètres!$A$1:$I$89,3,0)*VLOOKUP('Données projet'!$B$13,Paramètres!$A$1:$I$89,5,0)</f>
        <v>208.48463999999979</v>
      </c>
      <c r="CV75" s="13">
        <f t="shared" si="95"/>
        <v>51.60430196645391</v>
      </c>
      <c r="CW75" s="20">
        <f t="shared" si="67"/>
        <v>452.98824059157351</v>
      </c>
      <c r="CX75" s="59">
        <f t="shared" si="68"/>
        <v>746.32157392490683</v>
      </c>
      <c r="CY75" s="59">
        <f ca="1">AVERAGE(OFFSET($CX$3,0,0,'Données projet'!$E$13+1,1))-AVERAGE(OFFSET($H$3,0,0,'Données projet'!$E$13+1,1))</f>
        <v>207.93042467236967</v>
      </c>
      <c r="CZ75" s="59">
        <f t="shared" si="96"/>
        <v>250.70954318710835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1.1975070507081054</v>
      </c>
      <c r="DG75" s="21">
        <f>EXP(-LN(2)/25)*DG74+(1-EXP(-LN(2)/25))/(LN(2)/25)*Calculateur!DB75*Calculateur!DD75*VLOOKUP('Données projet'!$B$13,Paramètres!$A$1:$I$89,3,0)*0.475*44/12</f>
        <v>5.3992922456157926</v>
      </c>
      <c r="DH75" s="21">
        <f>EXP(-LN(2)/2)*DH74+(1-EXP(-LN(2)/2))/(LN(2)/2)*DB75*DE75*VLOOKUP('Données projet'!$B$13,Paramètres!$A$1:$I$89,3,0)*0.475*44/12</f>
        <v>9.6646334411449361E-6</v>
      </c>
      <c r="DI75" s="22">
        <f t="shared" si="69"/>
        <v>6.5968089609573388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3.1</v>
      </c>
      <c r="DO75" s="12">
        <f>IF('Données projet'!$A$166&gt;35,DO74+DN75-DW74,IF(A75&lt;'Données projet'!$A$166,$DL$205^A75,IF(A75='Données projet'!$A$166,'Données projet'!$B$166,DO74+DN75-DW74)))</f>
        <v>259.19999999999987</v>
      </c>
      <c r="DP75" s="17">
        <f>DO75*VLOOKUP('Données projet'!$B$14,Paramètres!$A$1:$I$89,3,0)*VLOOKUP('Données projet'!$B$14,Paramètres!$A$1:$I$89,5,0)</f>
        <v>173.87135999999992</v>
      </c>
      <c r="DQ75" s="13">
        <f t="shared" si="97"/>
        <v>43.955939893839918</v>
      </c>
      <c r="DR75" s="20">
        <f t="shared" si="70"/>
        <v>379.38254731510438</v>
      </c>
      <c r="DS75" s="59">
        <f t="shared" si="71"/>
        <v>672.71588064843763</v>
      </c>
      <c r="DT75" s="59">
        <f ca="1">AVERAGE(OFFSET($DS$3,0,0,'Données projet'!$E$14+1,1))-AVERAGE(OFFSET($H$3,0,0,'Données projet'!$E$14+1,1))</f>
        <v>156.63226020379989</v>
      </c>
      <c r="DU75" s="59">
        <f t="shared" si="98"/>
        <v>196.0481096619543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2.705744153908523</v>
      </c>
      <c r="EC75" s="21">
        <f>EXP(-LN(2)/2)*EC74+(1-EXP(-LN(2)/2))/(LN(2)/2)*DW75*DZ75*VLOOKUP('Données projet'!$B$14,Paramètres!$A$1:$I$89,3,0)*0.475*44/12</f>
        <v>4.3265680323251932E-6</v>
      </c>
      <c r="ED75" s="22">
        <f t="shared" si="72"/>
        <v>2.7057484804765553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5.6899038461538431</v>
      </c>
      <c r="EJ75" s="12">
        <f>IF('Données projet'!$A$192&gt;35,EJ74+EI75-ER74,IF(A75&lt;'Données projet'!$A$192,$EG$205^A75,IF(A75='Données projet'!$A$192,'Données projet'!$B$192,EJ74+EI75-ER74)))</f>
        <v>164.31490384615381</v>
      </c>
      <c r="EK75" s="17">
        <f>EJ75*VLOOKUP('Données projet'!$B$15,Paramètres!$A$1:$I$89,3,0)*VLOOKUP('Données projet'!$B$15,Paramètres!$A$1:$I$89,5,0)</f>
        <v>166.61531249999999</v>
      </c>
      <c r="EL75" s="13">
        <f t="shared" si="99"/>
        <v>42.331081196606618</v>
      </c>
      <c r="EM75" s="20">
        <f t="shared" si="73"/>
        <v>363.9149690215898</v>
      </c>
      <c r="EN75" s="59">
        <f t="shared" si="74"/>
        <v>657.24830235492311</v>
      </c>
      <c r="EO75" s="59">
        <f ca="1">AVERAGE(OFFSET($EN$3,0,0,'Données projet'!$E$15+1,1))-AVERAGE(OFFSET($H$3,0,0,'Données projet'!$E$15+1,1))</f>
        <v>190.21499310415584</v>
      </c>
      <c r="EP75" s="59">
        <f t="shared" si="100"/>
        <v>136.15730566500173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1.2750000000000015</v>
      </c>
      <c r="FE75" s="12">
        <f>IF('Données projet'!$A$218&gt;35,FE74+FD75-FM74,IF(A75&lt;'Données projet'!$A$218,$FB$205^A75,IF(A75='Données projet'!$A$218,'Données projet'!$B$218,FE74+FD75-FM74)))</f>
        <v>68.883333333333312</v>
      </c>
      <c r="FF75" s="17">
        <f>FE75*VLOOKUP('Données projet'!$B$16,Paramètres!$A$1:$I$89,3,0)*VLOOKUP('Données projet'!$B$16,Paramètres!$A$1:$I$89,5,0)</f>
        <v>79.353599999999958</v>
      </c>
      <c r="FG75" s="13">
        <f t="shared" si="101"/>
        <v>21.979061420687533</v>
      </c>
      <c r="FH75" s="20">
        <f t="shared" si="76"/>
        <v>176.48771864103071</v>
      </c>
      <c r="FI75" s="59">
        <f t="shared" si="77"/>
        <v>469.82105197436402</v>
      </c>
      <c r="FJ75" s="59">
        <f ca="1">AVERAGE(OFFSET($FI$3,0,0,'Données projet'!$E$16+1,1))-AVERAGE(OFFSET($H$3,0,0,'Données projet'!$E$16+1,1))</f>
        <v>14.847345852478327</v>
      </c>
      <c r="FK75" s="59">
        <f t="shared" si="102"/>
        <v>46.764428272166299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0.55387601641443907</v>
      </c>
      <c r="FS75" s="21">
        <f>EXP(-LN(2)/2)*FS74+(1-EXP(-LN(2)/2))/(LN(2)/2)*FM75*FP75*VLOOKUP('Données projet'!$B$16,Paramètres!$A$1:$I$89,3,0)*0.475*44/12</f>
        <v>9.4079756461090834E-7</v>
      </c>
      <c r="FT75" s="22">
        <f t="shared" si="78"/>
        <v>0.5538769572120037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7.8425925925925934</v>
      </c>
      <c r="N76" s="13">
        <f>IF('Données projet'!$A$36&gt;35,N75+M76-V75,IF(A76&lt;'Données projet'!$A$36,$K$205^A76,IF(A76='Données projet'!$A$36,'Données projet'!$B$36,N75+M76-V75)))</f>
        <v>219.11467236467234</v>
      </c>
      <c r="O76" s="13">
        <f>N76*VLOOKUP('Données projet'!$B$9,Paramètres!$A$1:$I$89,3,0)*VLOOKUP('Données projet'!$B$9,Paramètres!$A$1:$I$89,5,0)</f>
        <v>198.25495555555554</v>
      </c>
      <c r="P76" s="13">
        <f t="shared" si="87"/>
        <v>49.360464390082761</v>
      </c>
      <c r="Q76" s="20">
        <f t="shared" si="54"/>
        <v>431.26352307198675</v>
      </c>
      <c r="R76" s="59">
        <f t="shared" si="55"/>
        <v>724.59685640532007</v>
      </c>
      <c r="S76" s="59">
        <f ca="1">AVERAGE(OFFSET($R$3,0,0,'Données projet'!$E$9+1,1))-AVERAGE(OFFSET($H$3,0,0,'Données projet'!$E$9+1,1))</f>
        <v>221.7429870520005</v>
      </c>
      <c r="T76" s="59">
        <f t="shared" si="88"/>
        <v>182.2029938397186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3.9</v>
      </c>
      <c r="AI76" s="13">
        <f>IF('Données projet'!$A$62&gt;35,AI75+AH76-AQ75,IF(A76&lt;'Données projet'!$A$62,$AF$205^A76,IF(A76='Données projet'!$A$62,'Données projet'!$B$62,AI75+AH76-AQ75)))</f>
        <v>314.69999999999965</v>
      </c>
      <c r="AJ76" s="13">
        <f>AI76*VLOOKUP('Données projet'!$B$10,Paramètres!$A$1:$I$89,3,0)*VLOOKUP('Données projet'!$B$10,Paramètres!$A$1:$I$89,5,0)</f>
        <v>250.37531999999973</v>
      </c>
      <c r="AK76" s="13">
        <f t="shared" si="89"/>
        <v>60.666302963242082</v>
      </c>
      <c r="AL76" s="20">
        <f t="shared" si="58"/>
        <v>541.73082666097946</v>
      </c>
      <c r="AM76" s="59">
        <f t="shared" si="59"/>
        <v>835.06415999431283</v>
      </c>
      <c r="AN76" s="59">
        <f ca="1">AVERAGE(OFFSET($AM$3,0,0,'Données projet'!$E$10+1,1))-AVERAGE(OFFSET($H$3,0,0,'Données projet'!$E$10+1,1))</f>
        <v>260.20517190557814</v>
      </c>
      <c r="AO76" s="59">
        <f t="shared" si="90"/>
        <v>307.22009971147133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1.3924478618696714</v>
      </c>
      <c r="AV76" s="21">
        <f>EXP(-LN(2)/25)*AV75+(1-EXP(-LN(2)/25))/(LN(2)/25)*Calculateur!AQ76*Calculateur!AS76*VLOOKUP('Données projet'!$B$10,Paramètres!$A$1:$I$89,3,0)*0.475*44/12</f>
        <v>6.2286991645667955</v>
      </c>
      <c r="AW76" s="21">
        <f>EXP(-LN(2)/2)*AW75+(1-EXP(-LN(2)/2))/(LN(2)/2)*AQ76*AT76*VLOOKUP('Données projet'!$B$10,Paramètres!$A$1:$I$89,3,0)*0.475*44/12</f>
        <v>8.1053562799932324E-6</v>
      </c>
      <c r="AX76" s="21">
        <f t="shared" si="60"/>
        <v>7.6211551317927473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14.5</v>
      </c>
      <c r="BD76" s="12">
        <f>IF('Données projet'!$A$88&gt;35,BD75+BC76-BL75,IF(A76&lt;'Données projet'!$A$88,$BA$205^A76,IF(A76='Données projet'!$A$88,'Données projet'!$B$88,BD75+BC76-BL75)))</f>
        <v>504.49999999999955</v>
      </c>
      <c r="BE76" s="13">
        <f>BD76*VLOOKUP('Données projet'!$B$11,Paramètres!$A$1:$I$89,3,0)*VLOOKUP('Données projet'!$B$11,Paramètres!$A$1:$I$89,5,0)</f>
        <v>301.69099999999975</v>
      </c>
      <c r="BF76" s="13">
        <f t="shared" si="91"/>
        <v>71.530845976260522</v>
      </c>
      <c r="BG76" s="20">
        <f t="shared" si="61"/>
        <v>650.02804840865338</v>
      </c>
      <c r="BH76" s="59">
        <f t="shared" si="62"/>
        <v>943.36138174198663</v>
      </c>
      <c r="BI76" s="59">
        <f ca="1">AVERAGE(OFFSET($BH$3,0,0,'Données projet'!$E$11+1,1))-AVERAGE(OFFSET($H$3,0,0,'Données projet'!$E$11+1,1))</f>
        <v>316.58509520829671</v>
      </c>
      <c r="BJ76" s="59">
        <f t="shared" si="92"/>
        <v>240.71332110643596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1.0815922110828473</v>
      </c>
      <c r="BQ76" s="21">
        <f>EXP(-LN(2)/25)*BQ75+(1-EXP(-LN(2)/25))/(LN(2)/25)*Calculateur!BL76*Calculateur!BN76*VLOOKUP('Données projet'!$B$11,Paramètres!$A$1:$I$89,3,0)*0.475*44/12</f>
        <v>4.6345596298663869</v>
      </c>
      <c r="BR76" s="21">
        <f>EXP(-LN(2)/2)*BR75+(1-EXP(-LN(2)/2))/(LN(2)/2)*BL76*BO76*VLOOKUP('Données projet'!$B$11,Paramètres!$A$1:$I$89,3,0)*0.475*44/12</f>
        <v>7.3973933504460767E-6</v>
      </c>
      <c r="BS76" s="22">
        <f t="shared" si="63"/>
        <v>5.7161592383425841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12.5</v>
      </c>
      <c r="BY76" s="12">
        <f>IF('Données projet'!$A$114&gt;35,BY75+BX76-CG75,IF(A76&lt;'Données projet'!$A$114,$BV$205^A76,IF(A76='Données projet'!$A$114,'Données projet'!$B$114,BY75+BX76-CG75)))</f>
        <v>449.50000000000028</v>
      </c>
      <c r="BZ76" s="13">
        <f>BY76*VLOOKUP('Données projet'!$B$12,Paramètres!$A$1:$I$89,3,0)*VLOOKUP('Données projet'!$B$12,Paramètres!$A$1:$I$89,5,0)</f>
        <v>268.80100000000022</v>
      </c>
      <c r="CA76" s="13">
        <f t="shared" si="93"/>
        <v>64.594745353205028</v>
      </c>
      <c r="CB76" s="20">
        <f t="shared" si="64"/>
        <v>580.66425649016571</v>
      </c>
      <c r="CC76" s="59">
        <f t="shared" si="65"/>
        <v>873.99758982349908</v>
      </c>
      <c r="CD76" s="59">
        <f ca="1">AVERAGE(OFFSET($CC$3,0,0,'Données projet'!$E$12+1,1))-AVERAGE(OFFSET($H$3,0,0,'Données projet'!$E$12+1,1))</f>
        <v>270.30888762640245</v>
      </c>
      <c r="CE76" s="59">
        <f t="shared" si="94"/>
        <v>202.23783851977691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0.91402158683057533</v>
      </c>
      <c r="CL76" s="21">
        <f>EXP(-LN(2)/25)*CL75+(1-EXP(-LN(2)/25))/(LN(2)/25)*Calculateur!CG76*Calculateur!CI76*VLOOKUP('Données projet'!$B$12,Paramètres!$A$1:$I$89,3,0)*0.475*44/12</f>
        <v>3.7321947163267222</v>
      </c>
      <c r="CM76" s="21">
        <f>EXP(-LN(2)/2)*CM75+(1-EXP(-LN(2)/2))/(LN(2)/2)*CG76*CJ76*VLOOKUP('Données projet'!$B$12,Paramètres!$A$1:$I$89,3,0)*0.475*44/12</f>
        <v>6.235241381319174E-6</v>
      </c>
      <c r="CN76" s="22">
        <f t="shared" si="66"/>
        <v>4.6462225383986784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3.9</v>
      </c>
      <c r="CT76" s="12">
        <f>IF('Données projet'!$A$140&gt;35,CT75+CS76-DB75,IF(A76&lt;'Données projet'!$A$140,$CQ$205^A76,IF(A76='Données projet'!$A$140,'Données projet'!$B$140,CT75+CS76-DB75)))</f>
        <v>314.69999999999965</v>
      </c>
      <c r="CU76" s="17">
        <f>CT76*VLOOKUP('Données projet'!$B$13,Paramètres!$A$1:$I$89,3,0)*VLOOKUP('Données projet'!$B$13,Paramètres!$A$1:$I$89,5,0)</f>
        <v>211.10075999999978</v>
      </c>
      <c r="CV76" s="13">
        <f t="shared" si="95"/>
        <v>52.176056213616526</v>
      </c>
      <c r="CW76" s="20">
        <f t="shared" si="67"/>
        <v>458.54045490538175</v>
      </c>
      <c r="CX76" s="59">
        <f t="shared" si="68"/>
        <v>751.87378823871506</v>
      </c>
      <c r="CY76" s="59">
        <f ca="1">AVERAGE(OFFSET($CX$3,0,0,'Données projet'!$E$13+1,1))-AVERAGE(OFFSET($H$3,0,0,'Données projet'!$E$13+1,1))</f>
        <v>207.93042467236967</v>
      </c>
      <c r="CZ76" s="59">
        <f t="shared" si="96"/>
        <v>250.70954318710835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1.1740246678508985</v>
      </c>
      <c r="DG76" s="21">
        <f>EXP(-LN(2)/25)*DG75+(1-EXP(-LN(2)/25))/(LN(2)/25)*Calculateur!DB76*Calculateur!DD76*VLOOKUP('Données projet'!$B$13,Paramètres!$A$1:$I$89,3,0)*0.475*44/12</f>
        <v>5.2516483152229894</v>
      </c>
      <c r="DH76" s="21">
        <f>EXP(-LN(2)/2)*DH75+(1-EXP(-LN(2)/2))/(LN(2)/2)*DB76*DE76*VLOOKUP('Données projet'!$B$13,Paramètres!$A$1:$I$89,3,0)*0.475*44/12</f>
        <v>6.8339278439158622E-6</v>
      </c>
      <c r="DI76" s="22">
        <f t="shared" si="69"/>
        <v>6.4256798170017317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3.1</v>
      </c>
      <c r="DO76" s="12">
        <f>IF('Données projet'!$A$166&gt;35,DO75+DN76-DW75,IF(A76&lt;'Données projet'!$A$166,$DL$205^A76,IF(A76='Données projet'!$A$166,'Données projet'!$B$166,DO75+DN76-DW75)))</f>
        <v>262.2999999999999</v>
      </c>
      <c r="DP76" s="17">
        <f>DO76*VLOOKUP('Données projet'!$B$14,Paramètres!$A$1:$I$89,3,0)*VLOOKUP('Données projet'!$B$14,Paramètres!$A$1:$I$89,5,0)</f>
        <v>175.95083999999994</v>
      </c>
      <c r="DQ76" s="13">
        <f t="shared" si="97"/>
        <v>44.420133239274335</v>
      </c>
      <c r="DR76" s="20">
        <f t="shared" si="70"/>
        <v>383.812778391736</v>
      </c>
      <c r="DS76" s="59">
        <f t="shared" si="71"/>
        <v>677.14611172506932</v>
      </c>
      <c r="DT76" s="59">
        <f ca="1">AVERAGE(OFFSET($DS$3,0,0,'Données projet'!$E$14+1,1))-AVERAGE(OFFSET($H$3,0,0,'Données projet'!$E$14+1,1))</f>
        <v>156.63226020379989</v>
      </c>
      <c r="DU76" s="59">
        <f t="shared" si="98"/>
        <v>196.0481096619543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2.6317554377309933</v>
      </c>
      <c r="EC76" s="21">
        <f>EXP(-LN(2)/2)*EC75+(1-EXP(-LN(2)/2))/(LN(2)/2)*DW76*DZ76*VLOOKUP('Données projet'!$B$14,Paramètres!$A$1:$I$89,3,0)*0.475*44/12</f>
        <v>3.0593455949220819E-6</v>
      </c>
      <c r="ED76" s="22">
        <f t="shared" si="72"/>
        <v>2.6317584970765884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5.6899038461538431</v>
      </c>
      <c r="EJ76" s="12">
        <f>IF('Données projet'!$A$192&gt;35,EJ75+EI76-ER75,IF(A76&lt;'Données projet'!$A$192,$EG$205^A76,IF(A76='Données projet'!$A$192,'Données projet'!$B$192,EJ75+EI76-ER75)))</f>
        <v>170.00480769230765</v>
      </c>
      <c r="EK76" s="17">
        <f>EJ76*VLOOKUP('Données projet'!$B$15,Paramètres!$A$1:$I$89,3,0)*VLOOKUP('Données projet'!$B$15,Paramètres!$A$1:$I$89,5,0)</f>
        <v>172.38487499999997</v>
      </c>
      <c r="EL76" s="13">
        <f t="shared" si="99"/>
        <v>43.623722408092668</v>
      </c>
      <c r="EM76" s="20">
        <f t="shared" si="73"/>
        <v>376.21497381909467</v>
      </c>
      <c r="EN76" s="59">
        <f t="shared" si="74"/>
        <v>669.54830715242792</v>
      </c>
      <c r="EO76" s="59">
        <f ca="1">AVERAGE(OFFSET($EN$3,0,0,'Données projet'!$E$15+1,1))-AVERAGE(OFFSET($H$3,0,0,'Données projet'!$E$15+1,1))</f>
        <v>190.21499310415584</v>
      </c>
      <c r="EP76" s="59">
        <f t="shared" si="100"/>
        <v>136.15730566500173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1.2750000000000015</v>
      </c>
      <c r="FE76" s="12">
        <f>IF('Données projet'!$A$218&gt;35,FE75+FD76-FM75,IF(A76&lt;'Données projet'!$A$218,$FB$205^A76,IF(A76='Données projet'!$A$218,'Données projet'!$B$218,FE75+FD76-FM75)))</f>
        <v>70.158333333333317</v>
      </c>
      <c r="FF76" s="17">
        <f>FE76*VLOOKUP('Données projet'!$B$16,Paramètres!$A$1:$I$89,3,0)*VLOOKUP('Données projet'!$B$16,Paramètres!$A$1:$I$89,5,0)</f>
        <v>80.822399999999973</v>
      </c>
      <c r="FG76" s="13">
        <f t="shared" si="101"/>
        <v>22.338145355816945</v>
      </c>
      <c r="FH76" s="20">
        <f t="shared" si="76"/>
        <v>179.67128316138113</v>
      </c>
      <c r="FI76" s="59">
        <f t="shared" si="77"/>
        <v>473.00461649471447</v>
      </c>
      <c r="FJ76" s="59">
        <f ca="1">AVERAGE(OFFSET($FI$3,0,0,'Données projet'!$E$16+1,1))-AVERAGE(OFFSET($H$3,0,0,'Données projet'!$E$16+1,1))</f>
        <v>14.847345852478327</v>
      </c>
      <c r="FK76" s="59">
        <f t="shared" si="102"/>
        <v>46.764428272166299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0.5387302476185124</v>
      </c>
      <c r="FS76" s="21">
        <f>EXP(-LN(2)/2)*FS75+(1-EXP(-LN(2)/2))/(LN(2)/2)*FM76*FP76*VLOOKUP('Données projet'!$B$16,Paramètres!$A$1:$I$89,3,0)*0.475*44/12</f>
        <v>6.6524433766016245E-7</v>
      </c>
      <c r="FT76" s="22">
        <f t="shared" si="78"/>
        <v>0.53873091286285002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7.8425925925925934</v>
      </c>
      <c r="N77" s="13">
        <f>IF('Données projet'!$A$36&gt;35,N76+M77-V76,IF(A77&lt;'Données projet'!$A$36,$K$205^A77,IF(A77='Données projet'!$A$36,'Données projet'!$B$36,N76+M77-V76)))</f>
        <v>226.95726495726493</v>
      </c>
      <c r="O77" s="13">
        <f>N77*VLOOKUP('Données projet'!$B$9,Paramètres!$A$1:$I$89,3,0)*VLOOKUP('Données projet'!$B$9,Paramètres!$A$1:$I$89,5,0)</f>
        <v>205.35093333333327</v>
      </c>
      <c r="P77" s="13">
        <f t="shared" si="87"/>
        <v>50.91832775961656</v>
      </c>
      <c r="Q77" s="20">
        <f t="shared" si="54"/>
        <v>446.33562973688754</v>
      </c>
      <c r="R77" s="59">
        <f t="shared" si="55"/>
        <v>739.6689630702208</v>
      </c>
      <c r="S77" s="59">
        <f ca="1">AVERAGE(OFFSET($R$3,0,0,'Données projet'!$E$9+1,1))-AVERAGE(OFFSET($H$3,0,0,'Données projet'!$E$9+1,1))</f>
        <v>221.7429870520005</v>
      </c>
      <c r="T77" s="59">
        <f t="shared" si="88"/>
        <v>182.2029938397186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3.9</v>
      </c>
      <c r="AI77" s="13">
        <f>IF('Données projet'!$A$62&gt;35,AI76+AH77-AQ76,IF(A77&lt;'Données projet'!$A$62,$AF$205^A77,IF(A77='Données projet'!$A$62,'Données projet'!$B$62,AI76+AH77-AQ76)))</f>
        <v>318.59999999999962</v>
      </c>
      <c r="AJ77" s="13">
        <f>AI77*VLOOKUP('Données projet'!$B$10,Paramètres!$A$1:$I$89,3,0)*VLOOKUP('Données projet'!$B$10,Paramètres!$A$1:$I$89,5,0)</f>
        <v>253.47815999999972</v>
      </c>
      <c r="AK77" s="13">
        <f t="shared" si="89"/>
        <v>61.330136494642396</v>
      </c>
      <c r="AL77" s="20">
        <f t="shared" si="58"/>
        <v>548.29111639483494</v>
      </c>
      <c r="AM77" s="59">
        <f t="shared" si="59"/>
        <v>841.6244497281682</v>
      </c>
      <c r="AN77" s="59">
        <f ca="1">AVERAGE(OFFSET($AM$3,0,0,'Données projet'!$E$10+1,1))-AVERAGE(OFFSET($H$3,0,0,'Données projet'!$E$10+1,1))</f>
        <v>260.20517190557814</v>
      </c>
      <c r="AO77" s="59">
        <f t="shared" si="90"/>
        <v>307.22009971147133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1.3651428086077406</v>
      </c>
      <c r="AV77" s="21">
        <f>EXP(-LN(2)/25)*AV76+(1-EXP(-LN(2)/25))/(LN(2)/25)*Calculateur!AQ77*Calculateur!AS77*VLOOKUP('Données projet'!$B$10,Paramètres!$A$1:$I$89,3,0)*0.475*44/12</f>
        <v>6.0583750583586635</v>
      </c>
      <c r="AW77" s="21">
        <f>EXP(-LN(2)/2)*AW76+(1-EXP(-LN(2)/2))/(LN(2)/2)*AQ77*AT77*VLOOKUP('Données projet'!$B$10,Paramètres!$A$1:$I$89,3,0)*0.475*44/12</f>
        <v>5.7313523895161834E-6</v>
      </c>
      <c r="AX77" s="21">
        <f t="shared" si="60"/>
        <v>7.423523598318793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14.5</v>
      </c>
      <c r="BD77" s="12">
        <f>IF('Données projet'!$A$88&gt;35,BD76+BC77-BL76,IF(A77&lt;'Données projet'!$A$88,$BA$205^A77,IF(A77='Données projet'!$A$88,'Données projet'!$B$88,BD76+BC77-BL76)))</f>
        <v>518.99999999999955</v>
      </c>
      <c r="BE77" s="13">
        <f>BD77*VLOOKUP('Données projet'!$B$11,Paramètres!$A$1:$I$89,3,0)*VLOOKUP('Données projet'!$B$11,Paramètres!$A$1:$I$89,5,0)</f>
        <v>310.36199999999974</v>
      </c>
      <c r="BF77" s="13">
        <f t="shared" si="91"/>
        <v>73.34442504403718</v>
      </c>
      <c r="BG77" s="20">
        <f t="shared" si="61"/>
        <v>668.28869028503095</v>
      </c>
      <c r="BH77" s="59">
        <f t="shared" si="62"/>
        <v>961.62202361836421</v>
      </c>
      <c r="BI77" s="59">
        <f ca="1">AVERAGE(OFFSET($BH$3,0,0,'Données projet'!$E$11+1,1))-AVERAGE(OFFSET($H$3,0,0,'Données projet'!$E$11+1,1))</f>
        <v>316.58509520829671</v>
      </c>
      <c r="BJ77" s="59">
        <f t="shared" si="92"/>
        <v>240.71332110643596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1.0603828475296209</v>
      </c>
      <c r="BQ77" s="21">
        <f>EXP(-LN(2)/25)*BQ76+(1-EXP(-LN(2)/25))/(LN(2)/25)*Calculateur!BL77*Calculateur!BN77*VLOOKUP('Données projet'!$B$11,Paramètres!$A$1:$I$89,3,0)*0.475*44/12</f>
        <v>4.5078273530667925</v>
      </c>
      <c r="BR77" s="21">
        <f>EXP(-LN(2)/2)*BR76+(1-EXP(-LN(2)/2))/(LN(2)/2)*BL77*BO77*VLOOKUP('Données projet'!$B$11,Paramètres!$A$1:$I$89,3,0)*0.475*44/12</f>
        <v>5.230747001204696E-6</v>
      </c>
      <c r="BS77" s="22">
        <f t="shared" si="63"/>
        <v>5.5682154313434138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12.5</v>
      </c>
      <c r="BY77" s="12">
        <f>IF('Données projet'!$A$114&gt;35,BY76+BX77-CG76,IF(A77&lt;'Données projet'!$A$114,$BV$205^A77,IF(A77='Données projet'!$A$114,'Données projet'!$B$114,BY76+BX77-CG76)))</f>
        <v>462.00000000000028</v>
      </c>
      <c r="BZ77" s="13">
        <f>BY77*VLOOKUP('Données projet'!$B$12,Paramètres!$A$1:$I$89,3,0)*VLOOKUP('Données projet'!$B$12,Paramètres!$A$1:$I$89,5,0)</f>
        <v>276.27600000000018</v>
      </c>
      <c r="CA77" s="13">
        <f t="shared" si="93"/>
        <v>66.179408416217214</v>
      </c>
      <c r="CB77" s="20">
        <f t="shared" si="64"/>
        <v>596.44316965824521</v>
      </c>
      <c r="CC77" s="59">
        <f t="shared" si="65"/>
        <v>889.77650299157858</v>
      </c>
      <c r="CD77" s="59">
        <f ca="1">AVERAGE(OFFSET($CC$3,0,0,'Données projet'!$E$12+1,1))-AVERAGE(OFFSET($H$3,0,0,'Données projet'!$E$12+1,1))</f>
        <v>270.30888762640245</v>
      </c>
      <c r="CE77" s="59">
        <f t="shared" si="94"/>
        <v>202.23783851977691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0.89609818101094729</v>
      </c>
      <c r="CL77" s="21">
        <f>EXP(-LN(2)/25)*CL76+(1-EXP(-LN(2)/25))/(LN(2)/25)*Calculateur!CG77*Calculateur!CI77*VLOOKUP('Données projet'!$B$12,Paramètres!$A$1:$I$89,3,0)*0.475*44/12</f>
        <v>3.6301376555411777</v>
      </c>
      <c r="CM77" s="21">
        <f>EXP(-LN(2)/2)*CM76+(1-EXP(-LN(2)/2))/(LN(2)/2)*CG77*CJ77*VLOOKUP('Données projet'!$B$12,Paramètres!$A$1:$I$89,3,0)*0.475*44/12</f>
        <v>4.4089814630657635E-6</v>
      </c>
      <c r="CN77" s="22">
        <f t="shared" si="66"/>
        <v>4.5262402455335886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3.9</v>
      </c>
      <c r="CT77" s="12">
        <f>IF('Données projet'!$A$140&gt;35,CT76+CS77-DB76,IF(A77&lt;'Données projet'!$A$140,$CQ$205^A77,IF(A77='Données projet'!$A$140,'Données projet'!$B$140,CT76+CS77-DB76)))</f>
        <v>318.59999999999962</v>
      </c>
      <c r="CU77" s="17">
        <f>CT77*VLOOKUP('Données projet'!$B$13,Paramètres!$A$1:$I$89,3,0)*VLOOKUP('Données projet'!$B$13,Paramètres!$A$1:$I$89,5,0)</f>
        <v>213.71687999999978</v>
      </c>
      <c r="CV77" s="13">
        <f t="shared" si="95"/>
        <v>52.746986268012868</v>
      </c>
      <c r="CW77" s="20">
        <f t="shared" si="67"/>
        <v>464.09123375012194</v>
      </c>
      <c r="CX77" s="59">
        <f t="shared" si="68"/>
        <v>757.42456708345526</v>
      </c>
      <c r="CY77" s="59">
        <f ca="1">AVERAGE(OFFSET($CX$3,0,0,'Données projet'!$E$13+1,1))-AVERAGE(OFFSET($H$3,0,0,'Données projet'!$E$13+1,1))</f>
        <v>207.93042467236967</v>
      </c>
      <c r="CZ77" s="59">
        <f t="shared" si="96"/>
        <v>250.70954318710835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1.1510027601986823</v>
      </c>
      <c r="DG77" s="21">
        <f>EXP(-LN(2)/25)*DG76+(1-EXP(-LN(2)/25))/(LN(2)/25)*Calculateur!DB77*Calculateur!DD77*VLOOKUP('Données projet'!$B$13,Paramètres!$A$1:$I$89,3,0)*0.475*44/12</f>
        <v>5.1080417158710345</v>
      </c>
      <c r="DH77" s="21">
        <f>EXP(-LN(2)/2)*DH76+(1-EXP(-LN(2)/2))/(LN(2)/2)*DB77*DE77*VLOOKUP('Données projet'!$B$13,Paramètres!$A$1:$I$89,3,0)*0.475*44/12</f>
        <v>4.832316720572468E-6</v>
      </c>
      <c r="DI77" s="22">
        <f t="shared" si="69"/>
        <v>6.2590493083864374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3.1</v>
      </c>
      <c r="DO77" s="12">
        <f>IF('Données projet'!$A$166&gt;35,DO76+DN77-DW76,IF(A77&lt;'Données projet'!$A$166,$DL$205^A77,IF(A77='Données projet'!$A$166,'Données projet'!$B$166,DO76+DN77-DW76)))</f>
        <v>265.39999999999992</v>
      </c>
      <c r="DP77" s="17">
        <f>DO77*VLOOKUP('Données projet'!$B$14,Paramètres!$A$1:$I$89,3,0)*VLOOKUP('Données projet'!$B$14,Paramètres!$A$1:$I$89,5,0)</f>
        <v>178.03031999999993</v>
      </c>
      <c r="DQ77" s="13">
        <f t="shared" si="97"/>
        <v>44.883688428064346</v>
      </c>
      <c r="DR77" s="20">
        <f t="shared" si="70"/>
        <v>388.24189801221195</v>
      </c>
      <c r="DS77" s="59">
        <f t="shared" si="71"/>
        <v>681.57523134554526</v>
      </c>
      <c r="DT77" s="59">
        <f ca="1">AVERAGE(OFFSET($DS$3,0,0,'Données projet'!$E$14+1,1))-AVERAGE(OFFSET($H$3,0,0,'Données projet'!$E$14+1,1))</f>
        <v>156.63226020379989</v>
      </c>
      <c r="DU77" s="59">
        <f t="shared" si="98"/>
        <v>196.0481096619543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2.5597899468882357</v>
      </c>
      <c r="EC77" s="21">
        <f>EXP(-LN(2)/2)*EC76+(1-EXP(-LN(2)/2))/(LN(2)/2)*DW77*DZ77*VLOOKUP('Données projet'!$B$14,Paramètres!$A$1:$I$89,3,0)*0.475*44/12</f>
        <v>2.1632840161625966E-6</v>
      </c>
      <c r="ED77" s="22">
        <f t="shared" si="72"/>
        <v>2.5597921101722521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5.6899038461538431</v>
      </c>
      <c r="EJ77" s="12">
        <f>IF('Données projet'!$A$192&gt;35,EJ76+EI77-ER76,IF(A77&lt;'Données projet'!$A$192,$EG$205^A77,IF(A77='Données projet'!$A$192,'Données projet'!$B$192,EJ76+EI77-ER76)))</f>
        <v>175.69471153846149</v>
      </c>
      <c r="EK77" s="17">
        <f>EJ77*VLOOKUP('Données projet'!$B$15,Paramètres!$A$1:$I$89,3,0)*VLOOKUP('Données projet'!$B$15,Paramètres!$A$1:$I$89,5,0)</f>
        <v>178.15443749999994</v>
      </c>
      <c r="EL77" s="13">
        <f t="shared" si="99"/>
        <v>44.911336552510832</v>
      </c>
      <c r="EM77" s="20">
        <f t="shared" si="73"/>
        <v>388.50622314145625</v>
      </c>
      <c r="EN77" s="59">
        <f t="shared" si="74"/>
        <v>681.83955647478956</v>
      </c>
      <c r="EO77" s="59">
        <f ca="1">AVERAGE(OFFSET($EN$3,0,0,'Données projet'!$E$15+1,1))-AVERAGE(OFFSET($H$3,0,0,'Données projet'!$E$15+1,1))</f>
        <v>190.21499310415584</v>
      </c>
      <c r="EP77" s="59">
        <f t="shared" si="100"/>
        <v>136.15730566500173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1.2750000000000015</v>
      </c>
      <c r="FE77" s="12">
        <f>IF('Données projet'!$A$218&gt;35,FE76+FD77-FM76,IF(A77&lt;'Données projet'!$A$218,$FB$205^A77,IF(A77='Données projet'!$A$218,'Données projet'!$B$218,FE76+FD77-FM76)))</f>
        <v>71.433333333333323</v>
      </c>
      <c r="FF77" s="17">
        <f>FE77*VLOOKUP('Données projet'!$B$16,Paramètres!$A$1:$I$89,3,0)*VLOOKUP('Données projet'!$B$16,Paramètres!$A$1:$I$89,5,0)</f>
        <v>82.291199999999989</v>
      </c>
      <c r="FG77" s="13">
        <f t="shared" si="101"/>
        <v>22.696470458509374</v>
      </c>
      <c r="FH77" s="20">
        <f t="shared" si="76"/>
        <v>182.8535260485705</v>
      </c>
      <c r="FI77" s="59">
        <f t="shared" si="77"/>
        <v>476.18685938190379</v>
      </c>
      <c r="FJ77" s="59">
        <f ca="1">AVERAGE(OFFSET($FI$3,0,0,'Données projet'!$E$16+1,1))-AVERAGE(OFFSET($H$3,0,0,'Données projet'!$E$16+1,1))</f>
        <v>14.847345852478327</v>
      </c>
      <c r="FK77" s="59">
        <f t="shared" si="102"/>
        <v>46.764428272166299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0.52399864066679169</v>
      </c>
      <c r="FS77" s="21">
        <f>EXP(-LN(2)/2)*FS76+(1-EXP(-LN(2)/2))/(LN(2)/2)*FM77*FP77*VLOOKUP('Données projet'!$B$16,Paramètres!$A$1:$I$89,3,0)*0.475*44/12</f>
        <v>4.7039878230545427E-7</v>
      </c>
      <c r="FT77" s="22">
        <f t="shared" si="78"/>
        <v>0.52399911106557395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7.8425925925925934</v>
      </c>
      <c r="N78" s="13">
        <f>IF('Données projet'!$A$36&gt;35,N77+M78-V77,IF(A78&lt;'Données projet'!$A$36,$K$205^A78,IF(A78='Données projet'!$A$36,'Données projet'!$B$36,N77+M78-V77)))</f>
        <v>234.79985754985751</v>
      </c>
      <c r="O78" s="13">
        <f>N78*VLOOKUP('Données projet'!$B$9,Paramètres!$A$1:$I$89,3,0)*VLOOKUP('Données projet'!$B$9,Paramètres!$A$1:$I$89,5,0)</f>
        <v>212.44691111111109</v>
      </c>
      <c r="P78" s="13">
        <f t="shared" si="87"/>
        <v>52.469936290697454</v>
      </c>
      <c r="Q78" s="20">
        <f t="shared" si="54"/>
        <v>461.3968425581499</v>
      </c>
      <c r="R78" s="59">
        <f t="shared" si="55"/>
        <v>754.73017589148321</v>
      </c>
      <c r="S78" s="59">
        <f ca="1">AVERAGE(OFFSET($R$3,0,0,'Données projet'!$E$9+1,1))-AVERAGE(OFFSET($H$3,0,0,'Données projet'!$E$9+1,1))</f>
        <v>221.7429870520005</v>
      </c>
      <c r="T78" s="59">
        <f t="shared" si="88"/>
        <v>182.2029938397186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3.9</v>
      </c>
      <c r="AI78" s="13">
        <f>IF('Données projet'!$A$62&gt;35,AI77+AH78-AQ77,IF(A78&lt;'Données projet'!$A$62,$AF$205^A78,IF(A78='Données projet'!$A$62,'Données projet'!$B$62,AI77+AH78-AQ77)))</f>
        <v>322.4999999999996</v>
      </c>
      <c r="AJ78" s="13">
        <f>AI78*VLOOKUP('Données projet'!$B$10,Paramètres!$A$1:$I$89,3,0)*VLOOKUP('Données projet'!$B$10,Paramètres!$A$1:$I$89,5,0)</f>
        <v>256.58099999999968</v>
      </c>
      <c r="AK78" s="13">
        <f t="shared" si="89"/>
        <v>61.993024805604399</v>
      </c>
      <c r="AL78" s="20">
        <f t="shared" si="58"/>
        <v>554.84975986976053</v>
      </c>
      <c r="AM78" s="59">
        <f t="shared" si="59"/>
        <v>848.1830932030939</v>
      </c>
      <c r="AN78" s="59">
        <f ca="1">AVERAGE(OFFSET($AM$3,0,0,'Données projet'!$E$10+1,1))-AVERAGE(OFFSET($H$3,0,0,'Données projet'!$E$10+1,1))</f>
        <v>260.20517190557814</v>
      </c>
      <c r="AO78" s="59">
        <f t="shared" si="90"/>
        <v>307.22009971147133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1.3383731907858383</v>
      </c>
      <c r="AV78" s="21">
        <f>EXP(-LN(2)/25)*AV77+(1-EXP(-LN(2)/25))/(LN(2)/25)*Calculateur!AQ78*Calculateur!AS78*VLOOKUP('Données projet'!$B$10,Paramètres!$A$1:$I$89,3,0)*0.475*44/12</f>
        <v>5.8927084737917479</v>
      </c>
      <c r="AW78" s="21">
        <f>EXP(-LN(2)/2)*AW77+(1-EXP(-LN(2)/2))/(LN(2)/2)*AQ78*AT78*VLOOKUP('Données projet'!$B$10,Paramètres!$A$1:$I$89,3,0)*0.475*44/12</f>
        <v>4.0526781399966162E-6</v>
      </c>
      <c r="AX78" s="21">
        <f t="shared" si="60"/>
        <v>7.2310857172557261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14.5</v>
      </c>
      <c r="BD78" s="12">
        <f>IF('Données projet'!$A$88&gt;35,BD77+BC78-BL77,IF(A78&lt;'Données projet'!$A$88,$BA$205^A78,IF(A78='Données projet'!$A$88,'Données projet'!$B$88,BD77+BC78-BL77)))</f>
        <v>533.49999999999955</v>
      </c>
      <c r="BE78" s="13">
        <f>BD78*VLOOKUP('Données projet'!$B$11,Paramètres!$A$1:$I$89,3,0)*VLOOKUP('Données projet'!$B$11,Paramètres!$A$1:$I$89,5,0)</f>
        <v>319.03299999999973</v>
      </c>
      <c r="BF78" s="13">
        <f t="shared" si="91"/>
        <v>75.152115080720222</v>
      </c>
      <c r="BG78" s="20">
        <f t="shared" si="61"/>
        <v>686.53907543225387</v>
      </c>
      <c r="BH78" s="59">
        <f t="shared" si="62"/>
        <v>979.87240876558712</v>
      </c>
      <c r="BI78" s="59">
        <f ca="1">AVERAGE(OFFSET($BH$3,0,0,'Données projet'!$E$11+1,1))-AVERAGE(OFFSET($H$3,0,0,'Données projet'!$E$11+1,1))</f>
        <v>316.58509520829671</v>
      </c>
      <c r="BJ78" s="59">
        <f t="shared" si="92"/>
        <v>240.71332110643596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1.0395893866592387</v>
      </c>
      <c r="BQ78" s="21">
        <f>EXP(-LN(2)/25)*BQ77+(1-EXP(-LN(2)/25))/(LN(2)/25)*Calculateur!BL78*Calculateur!BN78*VLOOKUP('Données projet'!$B$11,Paramètres!$A$1:$I$89,3,0)*0.475*44/12</f>
        <v>4.3845605770408431</v>
      </c>
      <c r="BR78" s="21">
        <f>EXP(-LN(2)/2)*BR77+(1-EXP(-LN(2)/2))/(LN(2)/2)*BL78*BO78*VLOOKUP('Données projet'!$B$11,Paramètres!$A$1:$I$89,3,0)*0.475*44/12</f>
        <v>3.6986966752230388E-6</v>
      </c>
      <c r="BS78" s="22">
        <f t="shared" si="63"/>
        <v>5.4241536623967566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12.5</v>
      </c>
      <c r="BY78" s="12">
        <f>IF('Données projet'!$A$114&gt;35,BY77+BX78-CG77,IF(A78&lt;'Données projet'!$A$114,$BV$205^A78,IF(A78='Données projet'!$A$114,'Données projet'!$B$114,BY77+BX78-CG77)))</f>
        <v>474.50000000000028</v>
      </c>
      <c r="BZ78" s="13">
        <f>BY78*VLOOKUP('Données projet'!$B$12,Paramètres!$A$1:$I$89,3,0)*VLOOKUP('Données projet'!$B$12,Paramètres!$A$1:$I$89,5,0)</f>
        <v>283.7510000000002</v>
      </c>
      <c r="CA78" s="13">
        <f t="shared" si="93"/>
        <v>67.759088027504106</v>
      </c>
      <c r="CB78" s="20">
        <f t="shared" si="64"/>
        <v>612.21340331456997</v>
      </c>
      <c r="CC78" s="59">
        <f t="shared" si="65"/>
        <v>905.54673664790334</v>
      </c>
      <c r="CD78" s="59">
        <f ca="1">AVERAGE(OFFSET($CC$3,0,0,'Données projet'!$E$12+1,1))-AVERAGE(OFFSET($H$3,0,0,'Données projet'!$E$12+1,1))</f>
        <v>270.30888762640245</v>
      </c>
      <c r="CE78" s="59">
        <f t="shared" si="94"/>
        <v>202.23783851977691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0.87852624224724418</v>
      </c>
      <c r="CL78" s="21">
        <f>EXP(-LN(2)/25)*CL77+(1-EXP(-LN(2)/25))/(LN(2)/25)*Calculateur!CG78*Calculateur!CI78*VLOOKUP('Données projet'!$B$12,Paramètres!$A$1:$I$89,3,0)*0.475*44/12</f>
        <v>3.5308713504497615</v>
      </c>
      <c r="CM78" s="21">
        <f>EXP(-LN(2)/2)*CM77+(1-EXP(-LN(2)/2))/(LN(2)/2)*CG78*CJ78*VLOOKUP('Données projet'!$B$12,Paramètres!$A$1:$I$89,3,0)*0.475*44/12</f>
        <v>3.117620690659587E-6</v>
      </c>
      <c r="CN78" s="22">
        <f t="shared" si="66"/>
        <v>4.409400710317696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3.9</v>
      </c>
      <c r="CT78" s="12">
        <f>IF('Données projet'!$A$140&gt;35,CT77+CS78-DB77,IF(A78&lt;'Données projet'!$A$140,$CQ$205^A78,IF(A78='Données projet'!$A$140,'Données projet'!$B$140,CT77+CS78-DB77)))</f>
        <v>322.4999999999996</v>
      </c>
      <c r="CU78" s="17">
        <f>CT78*VLOOKUP('Données projet'!$B$13,Paramètres!$A$1:$I$89,3,0)*VLOOKUP('Données projet'!$B$13,Paramètres!$A$1:$I$89,5,0)</f>
        <v>216.33299999999977</v>
      </c>
      <c r="CV78" s="13">
        <f t="shared" si="95"/>
        <v>53.317103385534544</v>
      </c>
      <c r="CW78" s="20">
        <f t="shared" si="67"/>
        <v>469.64059672980551</v>
      </c>
      <c r="CX78" s="59">
        <f t="shared" si="68"/>
        <v>762.97393006313882</v>
      </c>
      <c r="CY78" s="59">
        <f ca="1">AVERAGE(OFFSET($CX$3,0,0,'Données projet'!$E$13+1,1))-AVERAGE(OFFSET($H$3,0,0,'Données projet'!$E$13+1,1))</f>
        <v>207.93042467236967</v>
      </c>
      <c r="CZ78" s="59">
        <f t="shared" si="96"/>
        <v>250.70954318710835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1.1284322981135488</v>
      </c>
      <c r="DG78" s="21">
        <f>EXP(-LN(2)/25)*DG77+(1-EXP(-LN(2)/25))/(LN(2)/25)*Calculateur!DB78*Calculateur!DD78*VLOOKUP('Données projet'!$B$13,Paramètres!$A$1:$I$89,3,0)*0.475*44/12</f>
        <v>4.9683620465303022</v>
      </c>
      <c r="DH78" s="21">
        <f>EXP(-LN(2)/2)*DH77+(1-EXP(-LN(2)/2))/(LN(2)/2)*DB78*DE78*VLOOKUP('Données projet'!$B$13,Paramètres!$A$1:$I$89,3,0)*0.475*44/12</f>
        <v>3.4169639219579311E-6</v>
      </c>
      <c r="DI78" s="22">
        <f t="shared" si="69"/>
        <v>6.0967977616077729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3.1</v>
      </c>
      <c r="DO78" s="12">
        <f>IF('Données projet'!$A$166&gt;35,DO77+DN78-DW77,IF(A78&lt;'Données projet'!$A$166,$DL$205^A78,IF(A78='Données projet'!$A$166,'Données projet'!$B$166,DO77+DN78-DW77)))</f>
        <v>268.49999999999994</v>
      </c>
      <c r="DP78" s="17">
        <f>DO78*VLOOKUP('Données projet'!$B$14,Paramètres!$A$1:$I$89,3,0)*VLOOKUP('Données projet'!$B$14,Paramètres!$A$1:$I$89,5,0)</f>
        <v>180.10979999999995</v>
      </c>
      <c r="DQ78" s="13">
        <f t="shared" si="97"/>
        <v>45.346613776556069</v>
      </c>
      <c r="DR78" s="20">
        <f t="shared" si="70"/>
        <v>392.66992066083503</v>
      </c>
      <c r="DS78" s="59">
        <f t="shared" si="71"/>
        <v>686.00325399416829</v>
      </c>
      <c r="DT78" s="59">
        <f ca="1">AVERAGE(OFFSET($DS$3,0,0,'Données projet'!$E$14+1,1))-AVERAGE(OFFSET($H$3,0,0,'Données projet'!$E$14+1,1))</f>
        <v>156.63226020379989</v>
      </c>
      <c r="DU78" s="59">
        <f t="shared" si="98"/>
        <v>196.0481096619543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2.4897923561770741</v>
      </c>
      <c r="EC78" s="21">
        <f>EXP(-LN(2)/2)*EC77+(1-EXP(-LN(2)/2))/(LN(2)/2)*DW78*DZ78*VLOOKUP('Données projet'!$B$14,Paramètres!$A$1:$I$89,3,0)*0.475*44/12</f>
        <v>1.5296727974610409E-6</v>
      </c>
      <c r="ED78" s="22">
        <f t="shared" si="72"/>
        <v>2.4897938858498714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181.38461538461536</v>
      </c>
      <c r="EH78" s="12">
        <f>VLOOKUP(A78,'Données projet'!$A$191:$I$211,9,0)</f>
        <v>5.6899038461538431</v>
      </c>
      <c r="EI78" s="12">
        <f t="array" ref="EI78">INDEX(EH:EH,MIN(IF(ISNUMBER(EH78:EH274),ROW(EH78:EH274),"")))</f>
        <v>5.6899038461538431</v>
      </c>
      <c r="EJ78" s="12">
        <f>IF('Données projet'!$A$192&gt;35,EJ77+EI78-ER77,IF(A78&lt;'Données projet'!$A$192,$EG$205^A78,IF(A78='Données projet'!$A$192,'Données projet'!$B$192,EJ77+EI78-ER77)))</f>
        <v>181.38461538461533</v>
      </c>
      <c r="EK78" s="17">
        <f>EJ78*VLOOKUP('Données projet'!$B$15,Paramètres!$A$1:$I$89,3,0)*VLOOKUP('Données projet'!$B$15,Paramètres!$A$1:$I$89,5,0)</f>
        <v>183.92399999999995</v>
      </c>
      <c r="EL78" s="13">
        <f t="shared" si="99"/>
        <v>46.194105104770117</v>
      </c>
      <c r="EM78" s="20">
        <f t="shared" si="73"/>
        <v>400.78903305747446</v>
      </c>
      <c r="EN78" s="59">
        <f t="shared" si="74"/>
        <v>694.12236639080777</v>
      </c>
      <c r="EO78" s="59">
        <f ca="1">AVERAGE(OFFSET($EN$3,0,0,'Données projet'!$E$15+1,1))-AVERAGE(OFFSET($H$3,0,0,'Données projet'!$E$15+1,1))</f>
        <v>190.21499310415584</v>
      </c>
      <c r="EP78" s="59">
        <f t="shared" si="100"/>
        <v>136.15730566500173</v>
      </c>
      <c r="EQ78" s="15">
        <f>IF(ISNA(VLOOKUP(A78,'Données projet'!$A$191:$I$211,3,0)),0,VLOOKUP(A78,'Données projet'!$A$191:$I$211,3,0))</f>
        <v>5</v>
      </c>
      <c r="ER78" s="15">
        <f>IF(ISNA(VLOOKUP(A78,'Données projet'!$A$191:$I$211,4,0)),0,VLOOKUP(A78,'Données projet'!$A$191:$I$211,4,0))</f>
        <v>30.916666666666664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1.2750000000000015</v>
      </c>
      <c r="FE78" s="12">
        <f>IF('Données projet'!$A$218&gt;35,FE77+FD78-FM77,IF(A78&lt;'Données projet'!$A$218,$FB$205^A78,IF(A78='Données projet'!$A$218,'Données projet'!$B$218,FE77+FD78-FM77)))</f>
        <v>72.708333333333329</v>
      </c>
      <c r="FF78" s="17">
        <f>FE78*VLOOKUP('Données projet'!$B$16,Paramètres!$A$1:$I$89,3,0)*VLOOKUP('Données projet'!$B$16,Paramètres!$A$1:$I$89,5,0)</f>
        <v>83.759999999999991</v>
      </c>
      <c r="FG78" s="13">
        <f t="shared" si="101"/>
        <v>23.054051835492857</v>
      </c>
      <c r="FH78" s="20">
        <f t="shared" si="76"/>
        <v>186.03447361348336</v>
      </c>
      <c r="FI78" s="59">
        <f t="shared" si="77"/>
        <v>479.3678069468167</v>
      </c>
      <c r="FJ78" s="59">
        <f ca="1">AVERAGE(OFFSET($FI$3,0,0,'Données projet'!$E$16+1,1))-AVERAGE(OFFSET($H$3,0,0,'Données projet'!$E$16+1,1))</f>
        <v>14.847345852478327</v>
      </c>
      <c r="FK78" s="59">
        <f t="shared" si="102"/>
        <v>46.764428272166299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0.50966987028186739</v>
      </c>
      <c r="FS78" s="21">
        <f>EXP(-LN(2)/2)*FS77+(1-EXP(-LN(2)/2))/(LN(2)/2)*FM78*FP78*VLOOKUP('Données projet'!$B$16,Paramètres!$A$1:$I$89,3,0)*0.475*44/12</f>
        <v>3.3262216883008128E-7</v>
      </c>
      <c r="FT78" s="22">
        <f t="shared" si="78"/>
        <v>0.5096702029040362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7.8425925925925934</v>
      </c>
      <c r="N79" s="13">
        <f>IF('Données projet'!$A$36&gt;35,N78+M79-V78,IF(A79&lt;'Données projet'!$A$36,$K$205^A79,IF(A79='Données projet'!$A$36,'Données projet'!$B$36,N78+M79-V78)))</f>
        <v>242.64245014245009</v>
      </c>
      <c r="O79" s="13">
        <f>N79*VLOOKUP('Données projet'!$B$9,Paramètres!$A$1:$I$89,3,0)*VLOOKUP('Données projet'!$B$9,Paramètres!$A$1:$I$89,5,0)</f>
        <v>219.54288888888885</v>
      </c>
      <c r="P79" s="13">
        <f t="shared" si="87"/>
        <v>54.015522855627438</v>
      </c>
      <c r="Q79" s="20">
        <f t="shared" si="54"/>
        <v>476.44756712169919</v>
      </c>
      <c r="R79" s="59">
        <f t="shared" si="55"/>
        <v>769.78090045503245</v>
      </c>
      <c r="S79" s="59">
        <f ca="1">AVERAGE(OFFSET($R$3,0,0,'Données projet'!$E$9+1,1))-AVERAGE(OFFSET($H$3,0,0,'Données projet'!$E$9+1,1))</f>
        <v>221.7429870520005</v>
      </c>
      <c r="T79" s="59">
        <f t="shared" si="88"/>
        <v>182.2029938397186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3.9</v>
      </c>
      <c r="AI79" s="13">
        <f>IF('Données projet'!$A$62&gt;35,AI78+AH79-AQ78,IF(A79&lt;'Données projet'!$A$62,$AF$205^A79,IF(A79='Données projet'!$A$62,'Données projet'!$B$62,AI78+AH79-AQ78)))</f>
        <v>326.39999999999958</v>
      </c>
      <c r="AJ79" s="13">
        <f>AI79*VLOOKUP('Données projet'!$B$10,Paramètres!$A$1:$I$89,3,0)*VLOOKUP('Données projet'!$B$10,Paramètres!$A$1:$I$89,5,0)</f>
        <v>259.68383999999969</v>
      </c>
      <c r="AK79" s="13">
        <f t="shared" si="89"/>
        <v>62.654980648867301</v>
      </c>
      <c r="AL79" s="20">
        <f t="shared" si="58"/>
        <v>561.40677929677668</v>
      </c>
      <c r="AM79" s="59">
        <f t="shared" si="59"/>
        <v>854.74011263010993</v>
      </c>
      <c r="AN79" s="59">
        <f ca="1">AVERAGE(OFFSET($AM$3,0,0,'Données projet'!$E$10+1,1))-AVERAGE(OFFSET($H$3,0,0,'Données projet'!$E$10+1,1))</f>
        <v>260.20517190557814</v>
      </c>
      <c r="AO79" s="59">
        <f t="shared" si="90"/>
        <v>307.22009971147133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1.3121285088415688</v>
      </c>
      <c r="AV79" s="21">
        <f>EXP(-LN(2)/25)*AV78+(1-EXP(-LN(2)/25))/(LN(2)/25)*Calculateur!AQ79*Calculateur!AS79*VLOOKUP('Données projet'!$B$10,Paramètres!$A$1:$I$89,3,0)*0.475*44/12</f>
        <v>5.7315720506918417</v>
      </c>
      <c r="AW79" s="21">
        <f>EXP(-LN(2)/2)*AW78+(1-EXP(-LN(2)/2))/(LN(2)/2)*AQ79*AT79*VLOOKUP('Données projet'!$B$10,Paramètres!$A$1:$I$89,3,0)*0.475*44/12</f>
        <v>2.8656761947580917E-6</v>
      </c>
      <c r="AX79" s="21">
        <f t="shared" si="60"/>
        <v>7.043703425209606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14.5</v>
      </c>
      <c r="BD79" s="12">
        <f>IF('Données projet'!$A$88&gt;35,BD78+BC79-BL78,IF(A79&lt;'Données projet'!$A$88,$BA$205^A79,IF(A79='Données projet'!$A$88,'Données projet'!$B$88,BD78+BC79-BL78)))</f>
        <v>547.99999999999955</v>
      </c>
      <c r="BE79" s="13">
        <f>BD79*VLOOKUP('Données projet'!$B$11,Paramètres!$A$1:$I$89,3,0)*VLOOKUP('Données projet'!$B$11,Paramètres!$A$1:$I$89,5,0)</f>
        <v>327.70399999999978</v>
      </c>
      <c r="BF79" s="13">
        <f t="shared" si="91"/>
        <v>76.954094537214388</v>
      </c>
      <c r="BG79" s="20">
        <f t="shared" si="61"/>
        <v>704.77951465231456</v>
      </c>
      <c r="BH79" s="59">
        <f t="shared" si="62"/>
        <v>998.11284798564793</v>
      </c>
      <c r="BI79" s="59">
        <f ca="1">AVERAGE(OFFSET($BH$3,0,0,'Données projet'!$E$11+1,1))-AVERAGE(OFFSET($H$3,0,0,'Données projet'!$E$11+1,1))</f>
        <v>316.58509520829671</v>
      </c>
      <c r="BJ79" s="59">
        <f t="shared" si="92"/>
        <v>240.71332110643596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1.0192036728737661</v>
      </c>
      <c r="BQ79" s="21">
        <f>EXP(-LN(2)/25)*BQ78+(1-EXP(-LN(2)/25))/(LN(2)/25)*Calculateur!BL79*Calculateur!BN79*VLOOKUP('Données projet'!$B$11,Paramètres!$A$1:$I$89,3,0)*0.475*44/12</f>
        <v>4.2646645374876417</v>
      </c>
      <c r="BR79" s="21">
        <f>EXP(-LN(2)/2)*BR78+(1-EXP(-LN(2)/2))/(LN(2)/2)*BL79*BO79*VLOOKUP('Données projet'!$B$11,Paramètres!$A$1:$I$89,3,0)*0.475*44/12</f>
        <v>2.6153735006023484E-6</v>
      </c>
      <c r="BS79" s="22">
        <f t="shared" si="63"/>
        <v>5.2838708257349092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12.5</v>
      </c>
      <c r="BY79" s="12">
        <f>IF('Données projet'!$A$114&gt;35,BY78+BX79-CG78,IF(A79&lt;'Données projet'!$A$114,$BV$205^A79,IF(A79='Données projet'!$A$114,'Données projet'!$B$114,BY78+BX79-CG78)))</f>
        <v>487.00000000000028</v>
      </c>
      <c r="BZ79" s="13">
        <f>BY79*VLOOKUP('Données projet'!$B$12,Paramètres!$A$1:$I$89,3,0)*VLOOKUP('Données projet'!$B$12,Paramètres!$A$1:$I$89,5,0)</f>
        <v>291.22600000000023</v>
      </c>
      <c r="CA79" s="13">
        <f t="shared" si="93"/>
        <v>69.333930559700164</v>
      </c>
      <c r="CB79" s="20">
        <f t="shared" si="64"/>
        <v>627.97521239147818</v>
      </c>
      <c r="CC79" s="59">
        <f t="shared" si="65"/>
        <v>921.30854572481144</v>
      </c>
      <c r="CD79" s="59">
        <f ca="1">AVERAGE(OFFSET($CC$3,0,0,'Données projet'!$E$12+1,1))-AVERAGE(OFFSET($H$3,0,0,'Données projet'!$E$12+1,1))</f>
        <v>270.30888762640245</v>
      </c>
      <c r="CE79" s="59">
        <f t="shared" si="94"/>
        <v>202.23783851977691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0.86129887848487285</v>
      </c>
      <c r="CL79" s="21">
        <f>EXP(-LN(2)/25)*CL78+(1-EXP(-LN(2)/25))/(LN(2)/25)*Calculateur!CG79*Calculateur!CI79*VLOOKUP('Données projet'!$B$12,Paramètres!$A$1:$I$89,3,0)*0.475*44/12</f>
        <v>3.4343194876912584</v>
      </c>
      <c r="CM79" s="21">
        <f>EXP(-LN(2)/2)*CM78+(1-EXP(-LN(2)/2))/(LN(2)/2)*CG79*CJ79*VLOOKUP('Données projet'!$B$12,Paramètres!$A$1:$I$89,3,0)*0.475*44/12</f>
        <v>2.2044907315328817E-6</v>
      </c>
      <c r="CN79" s="22">
        <f t="shared" si="66"/>
        <v>4.2956205706668626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3.9</v>
      </c>
      <c r="CT79" s="12">
        <f>IF('Données projet'!$A$140&gt;35,CT78+CS79-DB78,IF(A79&lt;'Données projet'!$A$140,$CQ$205^A79,IF(A79='Données projet'!$A$140,'Données projet'!$B$140,CT78+CS79-DB78)))</f>
        <v>326.39999999999958</v>
      </c>
      <c r="CU79" s="17">
        <f>CT79*VLOOKUP('Données projet'!$B$13,Paramètres!$A$1:$I$89,3,0)*VLOOKUP('Données projet'!$B$13,Paramètres!$A$1:$I$89,5,0)</f>
        <v>218.94911999999971</v>
      </c>
      <c r="CV79" s="13">
        <f t="shared" si="95"/>
        <v>53.886418534175526</v>
      </c>
      <c r="CW79" s="20">
        <f t="shared" si="67"/>
        <v>475.18856294702186</v>
      </c>
      <c r="CX79" s="59">
        <f t="shared" si="68"/>
        <v>768.52189628035512</v>
      </c>
      <c r="CY79" s="59">
        <f ca="1">AVERAGE(OFFSET($CX$3,0,0,'Données projet'!$E$13+1,1))-AVERAGE(OFFSET($H$3,0,0,'Données projet'!$E$13+1,1))</f>
        <v>207.93042467236967</v>
      </c>
      <c r="CZ79" s="59">
        <f t="shared" si="96"/>
        <v>250.70954318710835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1.1063044290232824</v>
      </c>
      <c r="DG79" s="21">
        <f>EXP(-LN(2)/25)*DG78+(1-EXP(-LN(2)/25))/(LN(2)/25)*Calculateur!DB79*Calculateur!DD79*VLOOKUP('Données projet'!$B$13,Paramètres!$A$1:$I$89,3,0)*0.475*44/12</f>
        <v>4.8325019250931263</v>
      </c>
      <c r="DH79" s="21">
        <f>EXP(-LN(2)/2)*DH78+(1-EXP(-LN(2)/2))/(LN(2)/2)*DB79*DE79*VLOOKUP('Données projet'!$B$13,Paramètres!$A$1:$I$89,3,0)*0.475*44/12</f>
        <v>2.416158360286234E-6</v>
      </c>
      <c r="DI79" s="22">
        <f t="shared" si="69"/>
        <v>5.9388087702747692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3.1</v>
      </c>
      <c r="DO79" s="12">
        <f>IF('Données projet'!$A$166&gt;35,DO78+DN79-DW78,IF(A79&lt;'Données projet'!$A$166,$DL$205^A79,IF(A79='Données projet'!$A$166,'Données projet'!$B$166,DO78+DN79-DW78)))</f>
        <v>271.59999999999997</v>
      </c>
      <c r="DP79" s="17">
        <f>DO79*VLOOKUP('Données projet'!$B$14,Paramètres!$A$1:$I$89,3,0)*VLOOKUP('Données projet'!$B$14,Paramètres!$A$1:$I$89,5,0)</f>
        <v>182.18927999999997</v>
      </c>
      <c r="DQ79" s="13">
        <f t="shared" si="97"/>
        <v>45.808917398007317</v>
      </c>
      <c r="DR79" s="20">
        <f t="shared" si="70"/>
        <v>397.09686046819598</v>
      </c>
      <c r="DS79" s="59">
        <f t="shared" si="71"/>
        <v>690.4301938015293</v>
      </c>
      <c r="DT79" s="59">
        <f ca="1">AVERAGE(OFFSET($DS$3,0,0,'Données projet'!$E$14+1,1))-AVERAGE(OFFSET($H$3,0,0,'Données projet'!$E$14+1,1))</f>
        <v>156.63226020379989</v>
      </c>
      <c r="DU79" s="59">
        <f t="shared" si="98"/>
        <v>196.0481096619543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2.4217088532649225</v>
      </c>
      <c r="EC79" s="21">
        <f>EXP(-LN(2)/2)*EC78+(1-EXP(-LN(2)/2))/(LN(2)/2)*DW79*DZ79*VLOOKUP('Données projet'!$B$14,Paramètres!$A$1:$I$89,3,0)*0.475*44/12</f>
        <v>1.0816420080812983E-6</v>
      </c>
      <c r="ED79" s="22">
        <f t="shared" si="72"/>
        <v>2.4217099349069304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5.5042735042735051</v>
      </c>
      <c r="EJ79" s="12">
        <f>IF('Données projet'!$A$192&gt;35,EJ78+EI79-ER78,IF(A79&lt;'Données projet'!$A$192,$EG$205^A79,IF(A79='Données projet'!$A$192,'Données projet'!$B$192,EJ78+EI79-ER78)))</f>
        <v>155.97222222222217</v>
      </c>
      <c r="EK79" s="17">
        <f>EJ79*VLOOKUP('Données projet'!$B$15,Paramètres!$A$1:$I$89,3,0)*VLOOKUP('Données projet'!$B$15,Paramètres!$A$1:$I$89,5,0)</f>
        <v>158.15583333333331</v>
      </c>
      <c r="EL79" s="13">
        <f t="shared" si="99"/>
        <v>40.426278232755124</v>
      </c>
      <c r="EM79" s="20">
        <f t="shared" si="73"/>
        <v>345.86384431093734</v>
      </c>
      <c r="EN79" s="59">
        <f t="shared" si="74"/>
        <v>639.1971776442706</v>
      </c>
      <c r="EO79" s="59">
        <f ca="1">AVERAGE(OFFSET($EN$3,0,0,'Données projet'!$E$15+1,1))-AVERAGE(OFFSET($H$3,0,0,'Données projet'!$E$15+1,1))</f>
        <v>190.21499310415584</v>
      </c>
      <c r="EP79" s="59">
        <f t="shared" si="100"/>
        <v>136.15730566500173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1.2750000000000015</v>
      </c>
      <c r="FE79" s="12">
        <f>IF('Données projet'!$A$218&gt;35,FE78+FD79-FM78,IF(A79&lt;'Données projet'!$A$218,$FB$205^A79,IF(A79='Données projet'!$A$218,'Données projet'!$B$218,FE78+FD79-FM78)))</f>
        <v>73.983333333333334</v>
      </c>
      <c r="FF79" s="17">
        <f>FE79*VLOOKUP('Données projet'!$B$16,Paramètres!$A$1:$I$89,3,0)*VLOOKUP('Données projet'!$B$16,Paramètres!$A$1:$I$89,5,0)</f>
        <v>85.228799999999993</v>
      </c>
      <c r="FG79" s="13">
        <f t="shared" si="101"/>
        <v>23.410904033328368</v>
      </c>
      <c r="FH79" s="20">
        <f t="shared" si="76"/>
        <v>189.21415119138021</v>
      </c>
      <c r="FI79" s="59">
        <f t="shared" si="77"/>
        <v>482.54748452471352</v>
      </c>
      <c r="FJ79" s="59">
        <f ca="1">AVERAGE(OFFSET($FI$3,0,0,'Données projet'!$E$16+1,1))-AVERAGE(OFFSET($H$3,0,0,'Données projet'!$E$16+1,1))</f>
        <v>14.847345852478327</v>
      </c>
      <c r="FK79" s="59">
        <f t="shared" si="102"/>
        <v>46.764428272166299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0.49573292087663612</v>
      </c>
      <c r="FS79" s="21">
        <f>EXP(-LN(2)/2)*FS78+(1-EXP(-LN(2)/2))/(LN(2)/2)*FM79*FP79*VLOOKUP('Données projet'!$B$16,Paramètres!$A$1:$I$89,3,0)*0.475*44/12</f>
        <v>2.3519939115272716E-7</v>
      </c>
      <c r="FT79" s="22">
        <f t="shared" si="78"/>
        <v>0.49573315607602725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7.8425925925925934</v>
      </c>
      <c r="N80" s="13">
        <f>IF('Données projet'!$A$36&gt;35,N79+M80-V79,IF(A80&lt;'Données projet'!$A$36,$K$205^A80,IF(A80='Données projet'!$A$36,'Données projet'!$B$36,N79+M80-V79)))</f>
        <v>250.48504273504267</v>
      </c>
      <c r="O80" s="13">
        <f>N80*VLOOKUP('Données projet'!$B$9,Paramètres!$A$1:$I$89,3,0)*VLOOKUP('Données projet'!$B$9,Paramètres!$A$1:$I$89,5,0)</f>
        <v>226.63886666666662</v>
      </c>
      <c r="P80" s="13">
        <f t="shared" si="87"/>
        <v>55.555304418491211</v>
      </c>
      <c r="Q80" s="20">
        <f t="shared" si="54"/>
        <v>491.48818130664989</v>
      </c>
      <c r="R80" s="59">
        <f t="shared" si="55"/>
        <v>784.82151463998321</v>
      </c>
      <c r="S80" s="59">
        <f ca="1">AVERAGE(OFFSET($R$3,0,0,'Données projet'!$E$9+1,1))-AVERAGE(OFFSET($H$3,0,0,'Données projet'!$E$9+1,1))</f>
        <v>221.7429870520005</v>
      </c>
      <c r="T80" s="59">
        <f t="shared" si="88"/>
        <v>182.2029938397186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3.9</v>
      </c>
      <c r="AI80" s="13">
        <f>IF('Données projet'!$A$62&gt;35,AI79+AH80-AQ79,IF(A80&lt;'Données projet'!$A$62,$AF$205^A80,IF(A80='Données projet'!$A$62,'Données projet'!$B$62,AI79+AH80-AQ79)))</f>
        <v>330.29999999999956</v>
      </c>
      <c r="AJ80" s="13">
        <f>AI80*VLOOKUP('Données projet'!$B$10,Paramètres!$A$1:$I$89,3,0)*VLOOKUP('Données projet'!$B$10,Paramètres!$A$1:$I$89,5,0)</f>
        <v>262.78667999999965</v>
      </c>
      <c r="AK80" s="13">
        <f t="shared" si="89"/>
        <v>63.316016454882053</v>
      </c>
      <c r="AL80" s="20">
        <f t="shared" si="58"/>
        <v>567.96219632558564</v>
      </c>
      <c r="AM80" s="59">
        <f t="shared" si="59"/>
        <v>861.29552965891889</v>
      </c>
      <c r="AN80" s="59">
        <f ca="1">AVERAGE(OFFSET($AM$3,0,0,'Données projet'!$E$10+1,1))-AVERAGE(OFFSET($H$3,0,0,'Données projet'!$E$10+1,1))</f>
        <v>260.20517190557814</v>
      </c>
      <c r="AO80" s="59">
        <f t="shared" si="90"/>
        <v>307.22009971147133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1.2863984691025512</v>
      </c>
      <c r="AV80" s="21">
        <f>EXP(-LN(2)/25)*AV79+(1-EXP(-LN(2)/25))/(LN(2)/25)*Calculateur!AQ80*Calculateur!AS80*VLOOKUP('Données projet'!$B$10,Paramètres!$A$1:$I$89,3,0)*0.475*44/12</f>
        <v>5.5748419115553984</v>
      </c>
      <c r="AW80" s="21">
        <f>EXP(-LN(2)/2)*AW79+(1-EXP(-LN(2)/2))/(LN(2)/2)*AQ80*AT80*VLOOKUP('Données projet'!$B$10,Paramètres!$A$1:$I$89,3,0)*0.475*44/12</f>
        <v>2.0263390699983081E-6</v>
      </c>
      <c r="AX80" s="21">
        <f t="shared" si="60"/>
        <v>6.8612424069970199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14.5</v>
      </c>
      <c r="BD80" s="12">
        <f>IF('Données projet'!$A$88&gt;35,BD79+BC80-BL79,IF(A80&lt;'Données projet'!$A$88,$BA$205^A80,IF(A80='Données projet'!$A$88,'Données projet'!$B$88,BD79+BC80-BL79)))</f>
        <v>562.49999999999955</v>
      </c>
      <c r="BE80" s="13">
        <f>BD80*VLOOKUP('Données projet'!$B$11,Paramètres!$A$1:$I$89,3,0)*VLOOKUP('Données projet'!$B$11,Paramètres!$A$1:$I$89,5,0)</f>
        <v>336.37499999999977</v>
      </c>
      <c r="BF80" s="13">
        <f t="shared" si="91"/>
        <v>78.750531883095675</v>
      </c>
      <c r="BG80" s="20">
        <f t="shared" si="61"/>
        <v>723.01030136305792</v>
      </c>
      <c r="BH80" s="59">
        <f t="shared" si="62"/>
        <v>1016.3436346963913</v>
      </c>
      <c r="BI80" s="59">
        <f ca="1">AVERAGE(OFFSET($BH$3,0,0,'Données projet'!$E$11+1,1))-AVERAGE(OFFSET($H$3,0,0,'Données projet'!$E$11+1,1))</f>
        <v>316.58509520829671</v>
      </c>
      <c r="BJ80" s="59">
        <f t="shared" si="92"/>
        <v>240.71332110643596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0.99921771050156893</v>
      </c>
      <c r="BQ80" s="21">
        <f>EXP(-LN(2)/25)*BQ79+(1-EXP(-LN(2)/25))/(LN(2)/25)*Calculateur!BL80*Calculateur!BN80*VLOOKUP('Données projet'!$B$11,Paramètres!$A$1:$I$89,3,0)*0.475*44/12</f>
        <v>4.1480470614410816</v>
      </c>
      <c r="BR80" s="21">
        <f>EXP(-LN(2)/2)*BR79+(1-EXP(-LN(2)/2))/(LN(2)/2)*BL80*BO80*VLOOKUP('Données projet'!$B$11,Paramètres!$A$1:$I$89,3,0)*0.475*44/12</f>
        <v>1.8493483376115198E-6</v>
      </c>
      <c r="BS80" s="22">
        <f t="shared" si="63"/>
        <v>5.1472666212909877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12.5</v>
      </c>
      <c r="BY80" s="12">
        <f>IF('Données projet'!$A$114&gt;35,BY79+BX80-CG79,IF(A80&lt;'Données projet'!$A$114,$BV$205^A80,IF(A80='Données projet'!$A$114,'Données projet'!$B$114,BY79+BX80-CG79)))</f>
        <v>499.50000000000028</v>
      </c>
      <c r="BZ80" s="13">
        <f>BY80*VLOOKUP('Données projet'!$B$12,Paramètres!$A$1:$I$89,3,0)*VLOOKUP('Données projet'!$B$12,Paramètres!$A$1:$I$89,5,0)</f>
        <v>298.70100000000019</v>
      </c>
      <c r="CA80" s="13">
        <f t="shared" si="93"/>
        <v>70.904074443365431</v>
      </c>
      <c r="CB80" s="20">
        <f t="shared" si="64"/>
        <v>643.72883798886176</v>
      </c>
      <c r="CC80" s="59">
        <f t="shared" si="65"/>
        <v>937.06217132219513</v>
      </c>
      <c r="CD80" s="59">
        <f ca="1">AVERAGE(OFFSET($CC$3,0,0,'Données projet'!$E$12+1,1))-AVERAGE(OFFSET($H$3,0,0,'Données projet'!$E$12+1,1))</f>
        <v>270.30888762640245</v>
      </c>
      <c r="CE80" s="59">
        <f t="shared" si="94"/>
        <v>202.23783851977691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0.84440933281822728</v>
      </c>
      <c r="CL80" s="21">
        <f>EXP(-LN(2)/25)*CL79+(1-EXP(-LN(2)/25))/(LN(2)/25)*Calculateur!CG80*Calculateur!CI80*VLOOKUP('Données projet'!$B$12,Paramètres!$A$1:$I$89,3,0)*0.475*44/12</f>
        <v>3.3404078406973281</v>
      </c>
      <c r="CM80" s="21">
        <f>EXP(-LN(2)/2)*CM79+(1-EXP(-LN(2)/2))/(LN(2)/2)*CG80*CJ80*VLOOKUP('Données projet'!$B$12,Paramètres!$A$1:$I$89,3,0)*0.475*44/12</f>
        <v>1.5588103453297935E-6</v>
      </c>
      <c r="CN80" s="22">
        <f t="shared" si="66"/>
        <v>4.1848187323259012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3.9</v>
      </c>
      <c r="CT80" s="12">
        <f>IF('Données projet'!$A$140&gt;35,CT79+CS80-DB79,IF(A80&lt;'Données projet'!$A$140,$CQ$205^A80,IF(A80='Données projet'!$A$140,'Données projet'!$B$140,CT79+CS80-DB79)))</f>
        <v>330.29999999999956</v>
      </c>
      <c r="CU80" s="17">
        <f>CT80*VLOOKUP('Données projet'!$B$13,Paramètres!$A$1:$I$89,3,0)*VLOOKUP('Données projet'!$B$13,Paramètres!$A$1:$I$89,5,0)</f>
        <v>221.5652399999997</v>
      </c>
      <c r="CV80" s="13">
        <f t="shared" si="95"/>
        <v>54.454942404745644</v>
      </c>
      <c r="CW80" s="20">
        <f t="shared" si="67"/>
        <v>480.73515102159814</v>
      </c>
      <c r="CX80" s="59">
        <f t="shared" si="68"/>
        <v>774.06848435493146</v>
      </c>
      <c r="CY80" s="59">
        <f ca="1">AVERAGE(OFFSET($CX$3,0,0,'Données projet'!$E$13+1,1))-AVERAGE(OFFSET($H$3,0,0,'Données projet'!$E$13+1,1))</f>
        <v>207.93042467236967</v>
      </c>
      <c r="CZ80" s="59">
        <f t="shared" si="96"/>
        <v>250.70954318710835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1.0846104739492086</v>
      </c>
      <c r="DG80" s="21">
        <f>EXP(-LN(2)/25)*DG79+(1-EXP(-LN(2)/25))/(LN(2)/25)*Calculateur!DB80*Calculateur!DD80*VLOOKUP('Données projet'!$B$13,Paramètres!$A$1:$I$89,3,0)*0.475*44/12</f>
        <v>4.7003569058212236</v>
      </c>
      <c r="DH80" s="21">
        <f>EXP(-LN(2)/2)*DH79+(1-EXP(-LN(2)/2))/(LN(2)/2)*DB80*DE80*VLOOKUP('Données projet'!$B$13,Paramètres!$A$1:$I$89,3,0)*0.475*44/12</f>
        <v>1.7084819609789656E-6</v>
      </c>
      <c r="DI80" s="22">
        <f t="shared" si="69"/>
        <v>5.7849690882523932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3.1</v>
      </c>
      <c r="DO80" s="12">
        <f>IF('Données projet'!$A$166&gt;35,DO79+DN80-DW79,IF(A80&lt;'Données projet'!$A$166,$DL$205^A80,IF(A80='Données projet'!$A$166,'Données projet'!$B$166,DO79+DN80-DW79)))</f>
        <v>274.7</v>
      </c>
      <c r="DP80" s="17">
        <f>DO80*VLOOKUP('Données projet'!$B$14,Paramètres!$A$1:$I$89,3,0)*VLOOKUP('Données projet'!$B$14,Paramètres!$A$1:$I$89,5,0)</f>
        <v>184.26875999999999</v>
      </c>
      <c r="DQ80" s="13">
        <f t="shared" si="97"/>
        <v>46.270607209807572</v>
      </c>
      <c r="DR80" s="20">
        <f t="shared" si="70"/>
        <v>401.52273122374817</v>
      </c>
      <c r="DS80" s="59">
        <f t="shared" si="71"/>
        <v>694.85606455708148</v>
      </c>
      <c r="DT80" s="59">
        <f ca="1">AVERAGE(OFFSET($DS$3,0,0,'Données projet'!$E$14+1,1))-AVERAGE(OFFSET($H$3,0,0,'Données projet'!$E$14+1,1))</f>
        <v>156.63226020379989</v>
      </c>
      <c r="DU80" s="59">
        <f t="shared" si="98"/>
        <v>196.0481096619543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2.3554870973202595</v>
      </c>
      <c r="EC80" s="21">
        <f>EXP(-LN(2)/2)*EC79+(1-EXP(-LN(2)/2))/(LN(2)/2)*DW80*DZ80*VLOOKUP('Données projet'!$B$14,Paramètres!$A$1:$I$89,3,0)*0.475*44/12</f>
        <v>7.6483639873052046E-7</v>
      </c>
      <c r="ED80" s="22">
        <f t="shared" si="72"/>
        <v>2.3554878621566582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5.5042735042735051</v>
      </c>
      <c r="EJ80" s="12">
        <f>IF('Données projet'!$A$192&gt;35,EJ79+EI80-ER79,IF(A80&lt;'Données projet'!$A$192,$EG$205^A80,IF(A80='Données projet'!$A$192,'Données projet'!$B$192,EJ79+EI80-ER79)))</f>
        <v>161.47649572649567</v>
      </c>
      <c r="EK80" s="17">
        <f>EJ80*VLOOKUP('Données projet'!$B$15,Paramètres!$A$1:$I$89,3,0)*VLOOKUP('Données projet'!$B$15,Paramètres!$A$1:$I$89,5,0)</f>
        <v>163.73716666666661</v>
      </c>
      <c r="EL80" s="13">
        <f t="shared" si="99"/>
        <v>41.68430774657778</v>
      </c>
      <c r="EM80" s="20">
        <f t="shared" si="73"/>
        <v>357.77573460306729</v>
      </c>
      <c r="EN80" s="59">
        <f t="shared" si="74"/>
        <v>651.10906793640061</v>
      </c>
      <c r="EO80" s="59">
        <f ca="1">AVERAGE(OFFSET($EN$3,0,0,'Données projet'!$E$15+1,1))-AVERAGE(OFFSET($H$3,0,0,'Données projet'!$E$15+1,1))</f>
        <v>190.21499310415584</v>
      </c>
      <c r="EP80" s="59">
        <f t="shared" si="100"/>
        <v>136.15730566500173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1.2750000000000015</v>
      </c>
      <c r="FE80" s="12">
        <f>IF('Données projet'!$A$218&gt;35,FE79+FD80-FM79,IF(A80&lt;'Données projet'!$A$218,$FB$205^A80,IF(A80='Données projet'!$A$218,'Données projet'!$B$218,FE79+FD80-FM79)))</f>
        <v>75.25833333333334</v>
      </c>
      <c r="FF80" s="17">
        <f>FE80*VLOOKUP('Données projet'!$B$16,Paramètres!$A$1:$I$89,3,0)*VLOOKUP('Données projet'!$B$16,Paramètres!$A$1:$I$89,5,0)</f>
        <v>86.697600000000008</v>
      </c>
      <c r="FG80" s="13">
        <f t="shared" si="101"/>
        <v>23.767041068470355</v>
      </c>
      <c r="FH80" s="20">
        <f t="shared" si="76"/>
        <v>192.39258319425255</v>
      </c>
      <c r="FI80" s="59">
        <f t="shared" si="77"/>
        <v>485.72591652758587</v>
      </c>
      <c r="FJ80" s="59">
        <f ca="1">AVERAGE(OFFSET($FI$3,0,0,'Données projet'!$E$16+1,1))-AVERAGE(OFFSET($H$3,0,0,'Données projet'!$E$16+1,1))</f>
        <v>14.847345852478327</v>
      </c>
      <c r="FK80" s="59">
        <f t="shared" si="102"/>
        <v>46.764428272166299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0.48217707808580323</v>
      </c>
      <c r="FS80" s="21">
        <f>EXP(-LN(2)/2)*FS79+(1-EXP(-LN(2)/2))/(LN(2)/2)*FM80*FP80*VLOOKUP('Données projet'!$B$16,Paramètres!$A$1:$I$89,3,0)*0.475*44/12</f>
        <v>1.6631108441504066E-7</v>
      </c>
      <c r="FT80" s="22">
        <f t="shared" si="78"/>
        <v>0.48217724439688764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7.8425925925925934</v>
      </c>
      <c r="N81" s="13">
        <f>IF('Données projet'!$A$36&gt;35,N80+M81-V80,IF(A81&lt;'Données projet'!$A$36,$K$205^A81,IF(A81='Données projet'!$A$36,'Données projet'!$B$36,N80+M81-V80)))</f>
        <v>258.32763532763528</v>
      </c>
      <c r="O81" s="13">
        <f>N81*VLOOKUP('Données projet'!$B$9,Paramètres!$A$1:$I$89,3,0)*VLOOKUP('Données projet'!$B$9,Paramètres!$A$1:$I$89,5,0)</f>
        <v>233.73484444444438</v>
      </c>
      <c r="P81" s="13">
        <f t="shared" si="87"/>
        <v>57.089483585580737</v>
      </c>
      <c r="Q81" s="20">
        <f t="shared" si="54"/>
        <v>506.51903798562699</v>
      </c>
      <c r="R81" s="59">
        <f t="shared" si="55"/>
        <v>799.85237131896031</v>
      </c>
      <c r="S81" s="59">
        <f ca="1">AVERAGE(OFFSET($R$3,0,0,'Données projet'!$E$9+1,1))-AVERAGE(OFFSET($H$3,0,0,'Données projet'!$E$9+1,1))</f>
        <v>221.7429870520005</v>
      </c>
      <c r="T81" s="59">
        <f t="shared" si="88"/>
        <v>182.2029938397186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3.9</v>
      </c>
      <c r="AI81" s="13">
        <f>IF('Données projet'!$A$62&gt;35,AI80+AH81-AQ80,IF(A81&lt;'Données projet'!$A$62,$AF$205^A81,IF(A81='Données projet'!$A$62,'Données projet'!$B$62,AI80+AH81-AQ80)))</f>
        <v>334.19999999999953</v>
      </c>
      <c r="AJ81" s="13">
        <f>AI81*VLOOKUP('Données projet'!$B$10,Paramètres!$A$1:$I$89,3,0)*VLOOKUP('Données projet'!$B$10,Paramètres!$A$1:$I$89,5,0)</f>
        <v>265.88951999999961</v>
      </c>
      <c r="AK81" s="13">
        <f t="shared" si="89"/>
        <v>63.97614434366357</v>
      </c>
      <c r="AL81" s="20">
        <f t="shared" si="58"/>
        <v>574.51603206521338</v>
      </c>
      <c r="AM81" s="59">
        <f t="shared" si="59"/>
        <v>867.84936539854675</v>
      </c>
      <c r="AN81" s="59">
        <f ca="1">AVERAGE(OFFSET($AM$3,0,0,'Données projet'!$E$10+1,1))-AVERAGE(OFFSET($H$3,0,0,'Données projet'!$E$10+1,1))</f>
        <v>260.20517190557814</v>
      </c>
      <c r="AO81" s="59">
        <f t="shared" si="90"/>
        <v>307.22009971147133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1.261172979749041</v>
      </c>
      <c r="AV81" s="21">
        <f>EXP(-LN(2)/25)*AV80+(1-EXP(-LN(2)/25))/(LN(2)/25)*Calculateur!AQ81*Calculateur!AS81*VLOOKUP('Données projet'!$B$10,Paramètres!$A$1:$I$89,3,0)*0.475*44/12</f>
        <v>5.4223975663157216</v>
      </c>
      <c r="AW81" s="21">
        <f>EXP(-LN(2)/2)*AW80+(1-EXP(-LN(2)/2))/(LN(2)/2)*AQ81*AT81*VLOOKUP('Données projet'!$B$10,Paramètres!$A$1:$I$89,3,0)*0.475*44/12</f>
        <v>1.4328380973790459E-6</v>
      </c>
      <c r="AX81" s="21">
        <f t="shared" si="60"/>
        <v>6.6835719789028598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14.5</v>
      </c>
      <c r="BD81" s="12">
        <f>IF('Données projet'!$A$88&gt;35,BD80+BC81-BL80,IF(A81&lt;'Données projet'!$A$88,$BA$205^A81,IF(A81='Données projet'!$A$88,'Données projet'!$B$88,BD80+BC81-BL80)))</f>
        <v>576.99999999999955</v>
      </c>
      <c r="BE81" s="13">
        <f>BD81*VLOOKUP('Données projet'!$B$11,Paramètres!$A$1:$I$89,3,0)*VLOOKUP('Données projet'!$B$11,Paramètres!$A$1:$I$89,5,0)</f>
        <v>345.04599999999976</v>
      </c>
      <c r="BF81" s="13">
        <f t="shared" si="91"/>
        <v>80.541586407606928</v>
      </c>
      <c r="BG81" s="20">
        <f t="shared" si="61"/>
        <v>741.23171299324815</v>
      </c>
      <c r="BH81" s="59">
        <f t="shared" si="62"/>
        <v>1034.5650463265815</v>
      </c>
      <c r="BI81" s="59">
        <f ca="1">AVERAGE(OFFSET($BH$3,0,0,'Données projet'!$E$11+1,1))-AVERAGE(OFFSET($H$3,0,0,'Données projet'!$E$11+1,1))</f>
        <v>316.58509520829671</v>
      </c>
      <c r="BJ81" s="59">
        <f t="shared" si="92"/>
        <v>240.71332110643596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0.97962366066125717</v>
      </c>
      <c r="BQ81" s="21">
        <f>EXP(-LN(2)/25)*BQ80+(1-EXP(-LN(2)/25))/(LN(2)/25)*Calculateur!BL81*Calculateur!BN81*VLOOKUP('Données projet'!$B$11,Paramètres!$A$1:$I$89,3,0)*0.475*44/12</f>
        <v>4.034618496409661</v>
      </c>
      <c r="BR81" s="21">
        <f>EXP(-LN(2)/2)*BR80+(1-EXP(-LN(2)/2))/(LN(2)/2)*BL81*BO81*VLOOKUP('Données projet'!$B$11,Paramètres!$A$1:$I$89,3,0)*0.475*44/12</f>
        <v>1.3076867503011744E-6</v>
      </c>
      <c r="BS81" s="22">
        <f t="shared" si="63"/>
        <v>5.0142434647576684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12.5</v>
      </c>
      <c r="BY81" s="12">
        <f>IF('Données projet'!$A$114&gt;35,BY80+BX81-CG80,IF(A81&lt;'Données projet'!$A$114,$BV$205^A81,IF(A81='Données projet'!$A$114,'Données projet'!$B$114,BY80+BX81-CG80)))</f>
        <v>512.00000000000023</v>
      </c>
      <c r="BZ81" s="13">
        <f>BY81*VLOOKUP('Données projet'!$B$12,Paramètres!$A$1:$I$89,3,0)*VLOOKUP('Données projet'!$B$12,Paramètres!$A$1:$I$89,5,0)</f>
        <v>306.17600000000016</v>
      </c>
      <c r="CA81" s="13">
        <f t="shared" si="93"/>
        <v>72.469650785730451</v>
      </c>
      <c r="CB81" s="20">
        <f t="shared" si="64"/>
        <v>659.47450845181413</v>
      </c>
      <c r="CC81" s="59">
        <f t="shared" si="65"/>
        <v>952.8078417851475</v>
      </c>
      <c r="CD81" s="59">
        <f ca="1">AVERAGE(OFFSET($CC$3,0,0,'Données projet'!$E$12+1,1))-AVERAGE(OFFSET($H$3,0,0,'Données projet'!$E$12+1,1))</f>
        <v>270.30888762640245</v>
      </c>
      <c r="CE81" s="59">
        <f t="shared" si="94"/>
        <v>202.23783851977691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0.82785098084049902</v>
      </c>
      <c r="CL81" s="21">
        <f>EXP(-LN(2)/25)*CL80+(1-EXP(-LN(2)/25))/(LN(2)/25)*Calculateur!CG81*Calculateur!CI81*VLOOKUP('Données projet'!$B$12,Paramètres!$A$1:$I$89,3,0)*0.475*44/12</f>
        <v>3.2490642126290461</v>
      </c>
      <c r="CM81" s="21">
        <f>EXP(-LN(2)/2)*CM80+(1-EXP(-LN(2)/2))/(LN(2)/2)*CG81*CJ81*VLOOKUP('Données projet'!$B$12,Paramètres!$A$1:$I$89,3,0)*0.475*44/12</f>
        <v>1.1022453657664409E-6</v>
      </c>
      <c r="CN81" s="22">
        <f t="shared" si="66"/>
        <v>4.076916295714911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3.9</v>
      </c>
      <c r="CT81" s="12">
        <f>IF('Données projet'!$A$140&gt;35,CT80+CS81-DB80,IF(A81&lt;'Données projet'!$A$140,$CQ$205^A81,IF(A81='Données projet'!$A$140,'Données projet'!$B$140,CT80+CS81-DB80)))</f>
        <v>334.19999999999953</v>
      </c>
      <c r="CU81" s="17">
        <f>CT81*VLOOKUP('Données projet'!$B$13,Paramètres!$A$1:$I$89,3,0)*VLOOKUP('Données projet'!$B$13,Paramètres!$A$1:$I$89,5,0)</f>
        <v>224.18135999999967</v>
      </c>
      <c r="CV81" s="13">
        <f t="shared" si="95"/>
        <v>55.022685421064054</v>
      </c>
      <c r="CW81" s="20">
        <f t="shared" si="67"/>
        <v>486.28037910835252</v>
      </c>
      <c r="CX81" s="59">
        <f t="shared" si="68"/>
        <v>779.61371244168583</v>
      </c>
      <c r="CY81" s="59">
        <f ca="1">AVERAGE(OFFSET($CX$3,0,0,'Données projet'!$E$13+1,1))-AVERAGE(OFFSET($H$3,0,0,'Données projet'!$E$13+1,1))</f>
        <v>207.93042467236967</v>
      </c>
      <c r="CZ81" s="59">
        <f t="shared" si="96"/>
        <v>250.70954318710835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1.0633419241021314</v>
      </c>
      <c r="DG81" s="21">
        <f>EXP(-LN(2)/25)*DG80+(1-EXP(-LN(2)/25))/(LN(2)/25)*Calculateur!DB81*Calculateur!DD81*VLOOKUP('Données projet'!$B$13,Paramètres!$A$1:$I$89,3,0)*0.475*44/12</f>
        <v>4.5718253990505158</v>
      </c>
      <c r="DH81" s="21">
        <f>EXP(-LN(2)/2)*DH80+(1-EXP(-LN(2)/2))/(LN(2)/2)*DB81*DE81*VLOOKUP('Données projet'!$B$13,Paramètres!$A$1:$I$89,3,0)*0.475*44/12</f>
        <v>1.208079180143117E-6</v>
      </c>
      <c r="DI81" s="22">
        <f t="shared" si="69"/>
        <v>5.6351685312318267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3.1</v>
      </c>
      <c r="DO81" s="12">
        <f>IF('Données projet'!$A$166&gt;35,DO80+DN81-DW80,IF(A81&lt;'Données projet'!$A$166,$DL$205^A81,IF(A81='Données projet'!$A$166,'Données projet'!$B$166,DO80+DN81-DW80)))</f>
        <v>277.8</v>
      </c>
      <c r="DP81" s="17">
        <f>DO81*VLOOKUP('Données projet'!$B$14,Paramètres!$A$1:$I$89,3,0)*VLOOKUP('Données projet'!$B$14,Paramètres!$A$1:$I$89,5,0)</f>
        <v>186.34824000000003</v>
      </c>
      <c r="DQ81" s="13">
        <f t="shared" si="97"/>
        <v>46.731690940362157</v>
      </c>
      <c r="DR81" s="20">
        <f t="shared" si="70"/>
        <v>405.9475463877975</v>
      </c>
      <c r="DS81" s="59">
        <f t="shared" si="71"/>
        <v>699.28087972113076</v>
      </c>
      <c r="DT81" s="59">
        <f ca="1">AVERAGE(OFFSET($DS$3,0,0,'Données projet'!$E$14+1,1))-AVERAGE(OFFSET($H$3,0,0,'Données projet'!$E$14+1,1))</f>
        <v>156.63226020379989</v>
      </c>
      <c r="DU81" s="59">
        <f t="shared" si="98"/>
        <v>196.0481096619543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2.2910761787743543</v>
      </c>
      <c r="EC81" s="21">
        <f>EXP(-LN(2)/2)*EC80+(1-EXP(-LN(2)/2))/(LN(2)/2)*DW81*DZ81*VLOOKUP('Données projet'!$B$14,Paramètres!$A$1:$I$89,3,0)*0.475*44/12</f>
        <v>5.4082100404064915E-7</v>
      </c>
      <c r="ED81" s="22">
        <f t="shared" si="72"/>
        <v>2.2910767195953583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5.5042735042735051</v>
      </c>
      <c r="EJ81" s="12">
        <f>IF('Données projet'!$A$192&gt;35,EJ80+EI81-ER80,IF(A81&lt;'Données projet'!$A$192,$EG$205^A81,IF(A81='Données projet'!$A$192,'Données projet'!$B$192,EJ80+EI81-ER80)))</f>
        <v>166.98076923076917</v>
      </c>
      <c r="EK81" s="17">
        <f>EJ81*VLOOKUP('Données projet'!$B$15,Paramètres!$A$1:$I$89,3,0)*VLOOKUP('Données projet'!$B$15,Paramètres!$A$1:$I$89,5,0)</f>
        <v>169.31849999999994</v>
      </c>
      <c r="EL81" s="13">
        <f t="shared" si="99"/>
        <v>42.93735459119118</v>
      </c>
      <c r="EM81" s="20">
        <f t="shared" si="73"/>
        <v>369.67894674632447</v>
      </c>
      <c r="EN81" s="59">
        <f t="shared" si="74"/>
        <v>663.01228007965778</v>
      </c>
      <c r="EO81" s="59">
        <f ca="1">AVERAGE(OFFSET($EN$3,0,0,'Données projet'!$E$15+1,1))-AVERAGE(OFFSET($H$3,0,0,'Données projet'!$E$15+1,1))</f>
        <v>190.21499310415584</v>
      </c>
      <c r="EP81" s="59">
        <f t="shared" si="100"/>
        <v>136.15730566500173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1.2750000000000015</v>
      </c>
      <c r="FE81" s="12">
        <f>IF('Données projet'!$A$218&gt;35,FE80+FD81-FM80,IF(A81&lt;'Données projet'!$A$218,$FB$205^A81,IF(A81='Données projet'!$A$218,'Données projet'!$B$218,FE80+FD81-FM80)))</f>
        <v>76.533333333333346</v>
      </c>
      <c r="FF81" s="17">
        <f>FE81*VLOOKUP('Données projet'!$B$16,Paramètres!$A$1:$I$89,3,0)*VLOOKUP('Données projet'!$B$16,Paramètres!$A$1:$I$89,5,0)</f>
        <v>88.16640000000001</v>
      </c>
      <c r="FG81" s="13">
        <f t="shared" si="101"/>
        <v>24.122476455232402</v>
      </c>
      <c r="FH81" s="20">
        <f t="shared" si="76"/>
        <v>195.56979315952978</v>
      </c>
      <c r="FI81" s="59">
        <f t="shared" si="77"/>
        <v>488.90312649286307</v>
      </c>
      <c r="FJ81" s="59">
        <f ca="1">AVERAGE(OFFSET($FI$3,0,0,'Données projet'!$E$16+1,1))-AVERAGE(OFFSET($H$3,0,0,'Données projet'!$E$16+1,1))</f>
        <v>14.847345852478327</v>
      </c>
      <c r="FK81" s="59">
        <f t="shared" si="102"/>
        <v>46.764428272166299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0.46899192052895644</v>
      </c>
      <c r="FS81" s="21">
        <f>EXP(-LN(2)/2)*FS80+(1-EXP(-LN(2)/2))/(LN(2)/2)*FM81*FP81*VLOOKUP('Données projet'!$B$16,Paramètres!$A$1:$I$89,3,0)*0.475*44/12</f>
        <v>1.175996955763636E-7</v>
      </c>
      <c r="FT81" s="22">
        <f t="shared" si="78"/>
        <v>0.46899203812865203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7.8425925925925934</v>
      </c>
      <c r="N82" s="13">
        <f>IF('Données projet'!$A$36&gt;35,N81+M82-V81,IF(A82&lt;'Données projet'!$A$36,$K$205^A82,IF(A82='Données projet'!$A$36,'Données projet'!$B$36,N81+M82-V81)))</f>
        <v>266.17022792022789</v>
      </c>
      <c r="O82" s="13">
        <f>N82*VLOOKUP('Données projet'!$B$9,Paramètres!$A$1:$I$89,3,0)*VLOOKUP('Données projet'!$B$9,Paramètres!$A$1:$I$89,5,0)</f>
        <v>240.83082222222217</v>
      </c>
      <c r="P82" s="13">
        <f t="shared" si="87"/>
        <v>58.618249962252214</v>
      </c>
      <c r="Q82" s="20">
        <f t="shared" si="54"/>
        <v>521.54046738795955</v>
      </c>
      <c r="R82" s="59">
        <f t="shared" si="55"/>
        <v>814.87380072129281</v>
      </c>
      <c r="S82" s="59">
        <f ca="1">AVERAGE(OFFSET($R$3,0,0,'Données projet'!$E$9+1,1))-AVERAGE(OFFSET($H$3,0,0,'Données projet'!$E$9+1,1))</f>
        <v>221.7429870520005</v>
      </c>
      <c r="T82" s="59">
        <f t="shared" si="88"/>
        <v>182.2029938397186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3.9</v>
      </c>
      <c r="AI82" s="13">
        <f>IF('Données projet'!$A$62&gt;35,AI81+AH82-AQ81,IF(A82&lt;'Données projet'!$A$62,$AF$205^A82,IF(A82='Données projet'!$A$62,'Données projet'!$B$62,AI81+AH82-AQ81)))</f>
        <v>338.09999999999951</v>
      </c>
      <c r="AJ82" s="13">
        <f>AI82*VLOOKUP('Données projet'!$B$10,Paramètres!$A$1:$I$89,3,0)*VLOOKUP('Données projet'!$B$10,Paramètres!$A$1:$I$89,5,0)</f>
        <v>268.99235999999962</v>
      </c>
      <c r="AK82" s="13">
        <f t="shared" si="89"/>
        <v>64.63537613607356</v>
      </c>
      <c r="AL82" s="20">
        <f t="shared" si="58"/>
        <v>581.06830710366069</v>
      </c>
      <c r="AM82" s="59">
        <f t="shared" si="59"/>
        <v>874.40164043699406</v>
      </c>
      <c r="AN82" s="59">
        <f ca="1">AVERAGE(OFFSET($AM$3,0,0,'Données projet'!$E$10+1,1))-AVERAGE(OFFSET($H$3,0,0,'Données projet'!$E$10+1,1))</f>
        <v>260.20517190557814</v>
      </c>
      <c r="AO82" s="59">
        <f t="shared" si="90"/>
        <v>307.22009971147133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1.2364421468557238</v>
      </c>
      <c r="AV82" s="21">
        <f>EXP(-LN(2)/25)*AV81+(1-EXP(-LN(2)/25))/(LN(2)/25)*Calculateur!AQ82*Calculateur!AS82*VLOOKUP('Données projet'!$B$10,Paramètres!$A$1:$I$89,3,0)*0.475*44/12</f>
        <v>5.2741218197133231</v>
      </c>
      <c r="AW82" s="21">
        <f>EXP(-LN(2)/2)*AW81+(1-EXP(-LN(2)/2))/(LN(2)/2)*AQ82*AT82*VLOOKUP('Données projet'!$B$10,Paramètres!$A$1:$I$89,3,0)*0.475*44/12</f>
        <v>1.013169534999154E-6</v>
      </c>
      <c r="AX82" s="21">
        <f t="shared" si="60"/>
        <v>6.5105649797385814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14.5</v>
      </c>
      <c r="BD82" s="12">
        <f>IF('Données projet'!$A$88&gt;35,BD81+BC82-BL81,IF(A82&lt;'Données projet'!$A$88,$BA$205^A82,IF(A82='Données projet'!$A$88,'Données projet'!$B$88,BD81+BC82-BL81)))</f>
        <v>591.49999999999955</v>
      </c>
      <c r="BE82" s="13">
        <f>BD82*VLOOKUP('Données projet'!$B$11,Paramètres!$A$1:$I$89,3,0)*VLOOKUP('Données projet'!$B$11,Paramètres!$A$1:$I$89,5,0)</f>
        <v>353.71699999999976</v>
      </c>
      <c r="BF82" s="13">
        <f t="shared" si="91"/>
        <v>82.327408937870302</v>
      </c>
      <c r="BG82" s="20">
        <f t="shared" si="61"/>
        <v>759.4440122334571</v>
      </c>
      <c r="BH82" s="59">
        <f t="shared" si="62"/>
        <v>1052.7773455667905</v>
      </c>
      <c r="BI82" s="59">
        <f ca="1">AVERAGE(OFFSET($BH$3,0,0,'Données projet'!$E$11+1,1))-AVERAGE(OFFSET($H$3,0,0,'Données projet'!$E$11+1,1))</f>
        <v>316.58509520829671</v>
      </c>
      <c r="BJ82" s="59">
        <f t="shared" si="92"/>
        <v>240.71332110643596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0.96041383818712356</v>
      </c>
      <c r="BQ82" s="21">
        <f>EXP(-LN(2)/25)*BQ81+(1-EXP(-LN(2)/25))/(LN(2)/25)*Calculateur!BL82*Calculateur!BN82*VLOOKUP('Données projet'!$B$11,Paramètres!$A$1:$I$89,3,0)*0.475*44/12</f>
        <v>3.9242916414539732</v>
      </c>
      <c r="BR82" s="21">
        <f>EXP(-LN(2)/2)*BR81+(1-EXP(-LN(2)/2))/(LN(2)/2)*BL82*BO82*VLOOKUP('Données projet'!$B$11,Paramètres!$A$1:$I$89,3,0)*0.475*44/12</f>
        <v>9.2467416880576001E-7</v>
      </c>
      <c r="BS82" s="22">
        <f t="shared" si="63"/>
        <v>4.8847064043152661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12.5</v>
      </c>
      <c r="BY82" s="12">
        <f>IF('Données projet'!$A$114&gt;35,BY81+BX82-CG81,IF(A82&lt;'Données projet'!$A$114,$BV$205^A82,IF(A82='Données projet'!$A$114,'Données projet'!$B$114,BY81+BX82-CG81)))</f>
        <v>524.50000000000023</v>
      </c>
      <c r="BZ82" s="13">
        <f>BY82*VLOOKUP('Données projet'!$B$12,Paramètres!$A$1:$I$89,3,0)*VLOOKUP('Données projet'!$B$12,Paramètres!$A$1:$I$89,5,0)</f>
        <v>313.65100000000018</v>
      </c>
      <c r="CA82" s="13">
        <f t="shared" si="93"/>
        <v>74.030783927316818</v>
      </c>
      <c r="CB82" s="20">
        <f t="shared" si="64"/>
        <v>675.21244034007702</v>
      </c>
      <c r="CC82" s="59">
        <f t="shared" si="65"/>
        <v>968.54577367341039</v>
      </c>
      <c r="CD82" s="59">
        <f ca="1">AVERAGE(OFFSET($CC$3,0,0,'Données projet'!$E$12+1,1))-AVERAGE(OFFSET($H$3,0,0,'Données projet'!$E$12+1,1))</f>
        <v>270.30888762640245</v>
      </c>
      <c r="CE82" s="59">
        <f t="shared" si="94"/>
        <v>202.23783851977691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0.8116173280454565</v>
      </c>
      <c r="CL82" s="21">
        <f>EXP(-LN(2)/25)*CL81+(1-EXP(-LN(2)/25))/(LN(2)/25)*Calculateur!CG82*Calculateur!CI82*VLOOKUP('Données projet'!$B$12,Paramètres!$A$1:$I$89,3,0)*0.475*44/12</f>
        <v>3.1602183808738435</v>
      </c>
      <c r="CM82" s="21">
        <f>EXP(-LN(2)/2)*CM81+(1-EXP(-LN(2)/2))/(LN(2)/2)*CG82*CJ82*VLOOKUP('Données projet'!$B$12,Paramètres!$A$1:$I$89,3,0)*0.475*44/12</f>
        <v>7.7940517266489675E-7</v>
      </c>
      <c r="CN82" s="22">
        <f t="shared" si="66"/>
        <v>3.971836488324473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3.9</v>
      </c>
      <c r="CT82" s="12">
        <f>IF('Données projet'!$A$140&gt;35,CT81+CS82-DB81,IF(A82&lt;'Données projet'!$A$140,$CQ$205^A82,IF(A82='Données projet'!$A$140,'Données projet'!$B$140,CT81+CS82-DB81)))</f>
        <v>338.09999999999951</v>
      </c>
      <c r="CU82" s="17">
        <f>CT82*VLOOKUP('Données projet'!$B$13,Paramètres!$A$1:$I$89,3,0)*VLOOKUP('Données projet'!$B$13,Paramètres!$A$1:$I$89,5,0)</f>
        <v>226.79747999999967</v>
      </c>
      <c r="CV82" s="13">
        <f t="shared" si="95"/>
        <v>55.589657749663466</v>
      </c>
      <c r="CW82" s="20">
        <f t="shared" si="67"/>
        <v>491.82426491399656</v>
      </c>
      <c r="CX82" s="59">
        <f t="shared" si="68"/>
        <v>785.15759824732982</v>
      </c>
      <c r="CY82" s="59">
        <f ca="1">AVERAGE(OFFSET($CX$3,0,0,'Données projet'!$E$13+1,1))-AVERAGE(OFFSET($H$3,0,0,'Données projet'!$E$13+1,1))</f>
        <v>207.93042467236967</v>
      </c>
      <c r="CZ82" s="59">
        <f t="shared" si="96"/>
        <v>250.70954318710835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1.0424904375450208</v>
      </c>
      <c r="DG82" s="21">
        <f>EXP(-LN(2)/25)*DG81+(1-EXP(-LN(2)/25))/(LN(2)/25)*Calculateur!DB82*Calculateur!DD82*VLOOKUP('Données projet'!$B$13,Paramètres!$A$1:$I$89,3,0)*0.475*44/12</f>
        <v>4.4468085930916308</v>
      </c>
      <c r="DH82" s="21">
        <f>EXP(-LN(2)/2)*DH81+(1-EXP(-LN(2)/2))/(LN(2)/2)*DB82*DE82*VLOOKUP('Données projet'!$B$13,Paramètres!$A$1:$I$89,3,0)*0.475*44/12</f>
        <v>8.5424098048948278E-7</v>
      </c>
      <c r="DI82" s="22">
        <f t="shared" si="69"/>
        <v>5.4892998848776315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3.1</v>
      </c>
      <c r="DO82" s="12">
        <f>IF('Données projet'!$A$166&gt;35,DO81+DN82-DW81,IF(A82&lt;'Données projet'!$A$166,$DL$205^A82,IF(A82='Données projet'!$A$166,'Données projet'!$B$166,DO81+DN82-DW81)))</f>
        <v>280.90000000000003</v>
      </c>
      <c r="DP82" s="17">
        <f>DO82*VLOOKUP('Données projet'!$B$14,Paramètres!$A$1:$I$89,3,0)*VLOOKUP('Données projet'!$B$14,Paramètres!$A$1:$I$89,5,0)</f>
        <v>188.42772000000002</v>
      </c>
      <c r="DQ82" s="13">
        <f t="shared" si="97"/>
        <v>47.192176135661008</v>
      </c>
      <c r="DR82" s="20">
        <f t="shared" si="70"/>
        <v>410.37131910294289</v>
      </c>
      <c r="DS82" s="59">
        <f t="shared" si="71"/>
        <v>703.70465243627621</v>
      </c>
      <c r="DT82" s="59">
        <f ca="1">AVERAGE(OFFSET($DS$3,0,0,'Données projet'!$E$14+1,1))-AVERAGE(OFFSET($H$3,0,0,'Données projet'!$E$14+1,1))</f>
        <v>156.63226020379989</v>
      </c>
      <c r="DU82" s="59">
        <f t="shared" si="98"/>
        <v>196.0481096619543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2.2284265801833096</v>
      </c>
      <c r="EC82" s="21">
        <f>EXP(-LN(2)/2)*EC81+(1-EXP(-LN(2)/2))/(LN(2)/2)*DW82*DZ82*VLOOKUP('Données projet'!$B$14,Paramètres!$A$1:$I$89,3,0)*0.475*44/12</f>
        <v>3.8241819936526023E-7</v>
      </c>
      <c r="ED82" s="22">
        <f t="shared" si="72"/>
        <v>2.228426962601509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5.5042735042735051</v>
      </c>
      <c r="EJ82" s="12">
        <f>IF('Données projet'!$A$192&gt;35,EJ81+EI82-ER81,IF(A82&lt;'Données projet'!$A$192,$EG$205^A82,IF(A82='Données projet'!$A$192,'Données projet'!$B$192,EJ81+EI82-ER81)))</f>
        <v>172.48504273504267</v>
      </c>
      <c r="EK82" s="17">
        <f>EJ82*VLOOKUP('Données projet'!$B$15,Paramètres!$A$1:$I$89,3,0)*VLOOKUP('Données projet'!$B$15,Paramètres!$A$1:$I$89,5,0)</f>
        <v>174.89983333333328</v>
      </c>
      <c r="EL82" s="13">
        <f t="shared" si="99"/>
        <v>44.185601847169707</v>
      </c>
      <c r="EM82" s="20">
        <f t="shared" si="73"/>
        <v>381.57379960604271</v>
      </c>
      <c r="EN82" s="59">
        <f t="shared" si="74"/>
        <v>674.90713293937597</v>
      </c>
      <c r="EO82" s="59">
        <f ca="1">AVERAGE(OFFSET($EN$3,0,0,'Données projet'!$E$15+1,1))-AVERAGE(OFFSET($H$3,0,0,'Données projet'!$E$15+1,1))</f>
        <v>190.21499310415584</v>
      </c>
      <c r="EP82" s="59">
        <f t="shared" si="100"/>
        <v>136.15730566500173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1.2750000000000015</v>
      </c>
      <c r="FE82" s="12">
        <f>IF('Données projet'!$A$218&gt;35,FE81+FD82-FM81,IF(A82&lt;'Données projet'!$A$218,$FB$205^A82,IF(A82='Données projet'!$A$218,'Données projet'!$B$218,FE81+FD82-FM81)))</f>
        <v>77.808333333333351</v>
      </c>
      <c r="FF82" s="17">
        <f>FE82*VLOOKUP('Données projet'!$B$16,Paramètres!$A$1:$I$89,3,0)*VLOOKUP('Données projet'!$B$16,Paramètres!$A$1:$I$89,5,0)</f>
        <v>89.635200000000012</v>
      </c>
      <c r="FG82" s="13">
        <f t="shared" si="101"/>
        <v>24.477223231836803</v>
      </c>
      <c r="FH82" s="20">
        <f t="shared" si="76"/>
        <v>198.74580379544909</v>
      </c>
      <c r="FI82" s="59">
        <f t="shared" si="77"/>
        <v>492.07913712878241</v>
      </c>
      <c r="FJ82" s="59">
        <f ca="1">AVERAGE(OFFSET($FI$3,0,0,'Données projet'!$E$16+1,1))-AVERAGE(OFFSET($H$3,0,0,'Données projet'!$E$16+1,1))</f>
        <v>14.847345852478327</v>
      </c>
      <c r="FK82" s="59">
        <f t="shared" si="102"/>
        <v>46.764428272166299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0.45616731179887893</v>
      </c>
      <c r="FS82" s="21">
        <f>EXP(-LN(2)/2)*FS81+(1-EXP(-LN(2)/2))/(LN(2)/2)*FM82*FP82*VLOOKUP('Données projet'!$B$16,Paramètres!$A$1:$I$89,3,0)*0.475*44/12</f>
        <v>8.3155542207520346E-8</v>
      </c>
      <c r="FT82" s="22">
        <f t="shared" si="78"/>
        <v>0.45616739495442116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274.0128205128205</v>
      </c>
      <c r="L83" s="12">
        <f>VLOOKUP(A83,'Données projet'!$A$35:$I$55,9,0)</f>
        <v>7.8425925925925934</v>
      </c>
      <c r="M83" s="12">
        <f t="array" ref="M83">INDEX(L:L,MIN(IF(ISNUMBER(L83:L279),ROW(L83:L279),"")))</f>
        <v>7.8425925925925934</v>
      </c>
      <c r="N83" s="13">
        <f>IF('Données projet'!$A$36&gt;35,N82+M83-V82,IF(A83&lt;'Données projet'!$A$36,$K$205^A83,IF(A83='Données projet'!$A$36,'Données projet'!$B$36,N82+M83-V82)))</f>
        <v>274.0128205128205</v>
      </c>
      <c r="O83" s="13">
        <f>N83*VLOOKUP('Données projet'!$B$9,Paramètres!$A$1:$I$89,3,0)*VLOOKUP('Données projet'!$B$9,Paramètres!$A$1:$I$89,5,0)</f>
        <v>247.92679999999999</v>
      </c>
      <c r="P83" s="13">
        <f t="shared" si="87"/>
        <v>60.141781345371967</v>
      </c>
      <c r="Q83" s="20">
        <f t="shared" si="54"/>
        <v>536.55277917652279</v>
      </c>
      <c r="R83" s="59">
        <f t="shared" si="55"/>
        <v>829.88611250985605</v>
      </c>
      <c r="S83" s="59">
        <f ca="1">AVERAGE(OFFSET($R$3,0,0,'Données projet'!$E$9+1,1))-AVERAGE(OFFSET($H$3,0,0,'Données projet'!$E$9+1,1))</f>
        <v>221.7429870520005</v>
      </c>
      <c r="T83" s="59">
        <f t="shared" si="88"/>
        <v>182.2029938397186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45.608974358974358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342</v>
      </c>
      <c r="AG83" s="12">
        <f>VLOOKUP(A83,'Données projet'!$A$61:$I$81,9,0)</f>
        <v>3.9</v>
      </c>
      <c r="AH83" s="12">
        <f t="array" ref="AH83">INDEX(AG:AG,MIN(IF(ISNUMBER(AG83:AG279),ROW(AG83:AG279),"")))</f>
        <v>3.9</v>
      </c>
      <c r="AI83" s="13">
        <f>IF('Données projet'!$A$62&gt;35,AI82+AH83-AQ82,IF(A83&lt;'Données projet'!$A$62,$AF$205^A83,IF(A83='Données projet'!$A$62,'Données projet'!$B$62,AI82+AH83-AQ82)))</f>
        <v>341.99999999999949</v>
      </c>
      <c r="AJ83" s="13">
        <f>AI83*VLOOKUP('Données projet'!$B$10,Paramètres!$A$1:$I$89,3,0)*VLOOKUP('Données projet'!$B$10,Paramètres!$A$1:$I$89,5,0)</f>
        <v>272.09519999999958</v>
      </c>
      <c r="AK83" s="13">
        <f t="shared" si="89"/>
        <v>65.293723364568322</v>
      </c>
      <c r="AL83" s="20">
        <f t="shared" si="58"/>
        <v>587.61904152662237</v>
      </c>
      <c r="AM83" s="59">
        <f t="shared" si="59"/>
        <v>880.95237485995563</v>
      </c>
      <c r="AN83" s="59">
        <f ca="1">AVERAGE(OFFSET($AM$3,0,0,'Données projet'!$E$10+1,1))-AVERAGE(OFFSET($H$3,0,0,'Données projet'!$E$10+1,1))</f>
        <v>260.20517190557814</v>
      </c>
      <c r="AO83" s="59">
        <f t="shared" si="90"/>
        <v>307.22009971147133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342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1.212196270511126</v>
      </c>
      <c r="AV83" s="21">
        <f>EXP(-LN(2)/25)*AV82+(1-EXP(-LN(2)/25))/(LN(2)/25)*Calculateur!AQ83*Calculateur!AS83*VLOOKUP('Données projet'!$B$10,Paramètres!$A$1:$I$89,3,0)*0.475*44/12</f>
        <v>5.12990068119925</v>
      </c>
      <c r="AW83" s="21">
        <f>EXP(-LN(2)/2)*AW82+(1-EXP(-LN(2)/2))/(LN(2)/2)*AQ83*AT83*VLOOKUP('Données projet'!$B$10,Paramètres!$A$1:$I$89,3,0)*0.475*44/12</f>
        <v>7.1641904868952293E-7</v>
      </c>
      <c r="AX83" s="21">
        <f t="shared" si="60"/>
        <v>6.3420976681294245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606</v>
      </c>
      <c r="BB83" s="12">
        <f>VLOOKUP(A83,'Données projet'!$A$87:$I$107,9,0)</f>
        <v>14.5</v>
      </c>
      <c r="BC83" s="12">
        <f t="array" ref="BC83">INDEX(BB:BB,MIN(IF(ISNUMBER(BB83:BB279),ROW(BB83:BB279),"")))</f>
        <v>14.5</v>
      </c>
      <c r="BD83" s="12">
        <f>IF('Données projet'!$A$88&gt;35,BD82+BC83-BL82,IF(A83&lt;'Données projet'!$A$88,$BA$205^A83,IF(A83='Données projet'!$A$88,'Données projet'!$B$88,BD82+BC83-BL82)))</f>
        <v>605.99999999999955</v>
      </c>
      <c r="BE83" s="13">
        <f>BD83*VLOOKUP('Données projet'!$B$11,Paramètres!$A$1:$I$89,3,0)*VLOOKUP('Données projet'!$B$11,Paramètres!$A$1:$I$89,5,0)</f>
        <v>362.38799999999981</v>
      </c>
      <c r="BF83" s="13">
        <f t="shared" si="91"/>
        <v>84.108142484692749</v>
      </c>
      <c r="BG83" s="20">
        <f t="shared" si="61"/>
        <v>777.64744816083942</v>
      </c>
      <c r="BH83" s="59">
        <f t="shared" si="62"/>
        <v>1070.9807814941728</v>
      </c>
      <c r="BI83" s="59">
        <f ca="1">AVERAGE(OFFSET($BH$3,0,0,'Données projet'!$E$11+1,1))-AVERAGE(OFFSET($H$3,0,0,'Données projet'!$E$11+1,1))</f>
        <v>316.58509520829671</v>
      </c>
      <c r="BJ83" s="59">
        <f t="shared" si="92"/>
        <v>240.71332110643596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94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0.94158070861487297</v>
      </c>
      <c r="BQ83" s="21">
        <f>EXP(-LN(2)/25)*BQ82+(1-EXP(-LN(2)/25))/(LN(2)/25)*Calculateur!BL83*Calculateur!BN83*VLOOKUP('Données projet'!$B$11,Paramètres!$A$1:$I$89,3,0)*0.475*44/12</f>
        <v>3.8169816801488858</v>
      </c>
      <c r="BR83" s="21">
        <f>EXP(-LN(2)/2)*BR82+(1-EXP(-LN(2)/2))/(LN(2)/2)*BL83*BO83*VLOOKUP('Données projet'!$B$11,Paramètres!$A$1:$I$89,3,0)*0.475*44/12</f>
        <v>6.5384337515058731E-7</v>
      </c>
      <c r="BS83" s="22">
        <f t="shared" si="63"/>
        <v>4.7585630426071335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537</v>
      </c>
      <c r="BW83" s="12">
        <f>VLOOKUP(A83,'Données projet'!$A$113:$I$133,9,0)</f>
        <v>12.5</v>
      </c>
      <c r="BX83" s="12">
        <f t="array" ref="BX83">INDEX(BW:BW,MIN(IF(ISNUMBER(BW83:BW279),ROW(BW83:BW279),"")))</f>
        <v>12.5</v>
      </c>
      <c r="BY83" s="12">
        <f>IF('Données projet'!$A$114&gt;35,BY82+BX83-CG82,IF(A83&lt;'Données projet'!$A$114,$BV$205^A83,IF(A83='Données projet'!$A$114,'Données projet'!$B$114,BY82+BX83-CG82)))</f>
        <v>537.00000000000023</v>
      </c>
      <c r="BZ83" s="13">
        <f>BY83*VLOOKUP('Données projet'!$B$12,Paramètres!$A$1:$I$89,3,0)*VLOOKUP('Données projet'!$B$12,Paramètres!$A$1:$I$89,5,0)</f>
        <v>321.12600000000015</v>
      </c>
      <c r="CA83" s="13">
        <f t="shared" si="93"/>
        <v>75.587591944000323</v>
      </c>
      <c r="CB83" s="20">
        <f t="shared" si="64"/>
        <v>690.94283930246741</v>
      </c>
      <c r="CC83" s="59">
        <f t="shared" si="65"/>
        <v>984.27617263580078</v>
      </c>
      <c r="CD83" s="59">
        <f ca="1">AVERAGE(OFFSET($CC$3,0,0,'Données projet'!$E$12+1,1))-AVERAGE(OFFSET($H$3,0,0,'Données projet'!$E$12+1,1))</f>
        <v>270.30888762640245</v>
      </c>
      <c r="CE83" s="59">
        <f t="shared" si="94"/>
        <v>202.23783851977691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78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0.79570200728017426</v>
      </c>
      <c r="CL83" s="21">
        <f>EXP(-LN(2)/25)*CL82+(1-EXP(-LN(2)/25))/(LN(2)/25)*Calculateur!CG83*Calculateur!CI83*VLOOKUP('Données projet'!$B$12,Paramètres!$A$1:$I$89,3,0)*0.475*44/12</f>
        <v>3.0738020430601862</v>
      </c>
      <c r="CM83" s="21">
        <f>EXP(-LN(2)/2)*CM82+(1-EXP(-LN(2)/2))/(LN(2)/2)*CG83*CJ83*VLOOKUP('Données projet'!$B$12,Paramètres!$A$1:$I$89,3,0)*0.475*44/12</f>
        <v>5.5112268288322043E-7</v>
      </c>
      <c r="CN83" s="22">
        <f t="shared" si="66"/>
        <v>3.8695046014630434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342</v>
      </c>
      <c r="CR83" s="12">
        <f>VLOOKUP(A83,'Données projet'!$A$139:$I$159,9,0)</f>
        <v>3.9</v>
      </c>
      <c r="CS83" s="12">
        <f t="array" ref="CS83">INDEX(CR:CR,MIN(IF(ISNUMBER(CR83:CR279),ROW(CR83:CR279),"")))</f>
        <v>3.9</v>
      </c>
      <c r="CT83" s="12">
        <f>IF('Données projet'!$A$140&gt;35,CT82+CS83-DB82,IF(A83&lt;'Données projet'!$A$140,$CQ$205^A83,IF(A83='Données projet'!$A$140,'Données projet'!$B$140,CT82+CS83-DB82)))</f>
        <v>341.99999999999949</v>
      </c>
      <c r="CU83" s="17">
        <f>CT83*VLOOKUP('Données projet'!$B$13,Paramètres!$A$1:$I$89,3,0)*VLOOKUP('Données projet'!$B$13,Paramètres!$A$1:$I$89,5,0)</f>
        <v>229.41359999999966</v>
      </c>
      <c r="CV83" s="13">
        <f t="shared" si="95"/>
        <v>56.155869309033378</v>
      </c>
      <c r="CW83" s="20">
        <f t="shared" si="67"/>
        <v>497.36682571323246</v>
      </c>
      <c r="CX83" s="59">
        <f t="shared" si="68"/>
        <v>790.70015904656577</v>
      </c>
      <c r="CY83" s="59">
        <f ca="1">AVERAGE(OFFSET($CX$3,0,0,'Données projet'!$E$13+1,1))-AVERAGE(OFFSET($H$3,0,0,'Données projet'!$E$13+1,1))</f>
        <v>207.93042467236967</v>
      </c>
      <c r="CZ83" s="59">
        <f t="shared" si="96"/>
        <v>250.70954318710835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342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1.0220478359211442</v>
      </c>
      <c r="DG83" s="21">
        <f>EXP(-LN(2)/25)*DG82+(1-EXP(-LN(2)/25))/(LN(2)/25)*Calculateur!DB83*Calculateur!DD83*VLOOKUP('Données projet'!$B$13,Paramètres!$A$1:$I$89,3,0)*0.475*44/12</f>
        <v>4.3252103782660392</v>
      </c>
      <c r="DH83" s="21">
        <f>EXP(-LN(2)/2)*DH82+(1-EXP(-LN(2)/2))/(LN(2)/2)*DB83*DE83*VLOOKUP('Données projet'!$B$13,Paramètres!$A$1:$I$89,3,0)*0.475*44/12</f>
        <v>6.040395900715585E-7</v>
      </c>
      <c r="DI83" s="22">
        <f t="shared" si="69"/>
        <v>5.3472588182267735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284</v>
      </c>
      <c r="DM83" s="12">
        <f>VLOOKUP(A83,'Données projet'!$A$165:$I$185,9,0)</f>
        <v>3.1</v>
      </c>
      <c r="DN83" s="12">
        <f t="array" ref="DN83">INDEX(DM:DM,MIN(IF(ISNUMBER(DM83:DM279),ROW(DM83:DM279),"")))</f>
        <v>3.1</v>
      </c>
      <c r="DO83" s="12">
        <f>IF('Données projet'!$A$166&gt;35,DO82+DN83-DW82,IF(A83&lt;'Données projet'!$A$166,$DL$205^A83,IF(A83='Données projet'!$A$166,'Données projet'!$B$166,DO82+DN83-DW82)))</f>
        <v>284.00000000000006</v>
      </c>
      <c r="DP83" s="17">
        <f>DO83*VLOOKUP('Données projet'!$B$14,Paramètres!$A$1:$I$89,3,0)*VLOOKUP('Données projet'!$B$14,Paramètres!$A$1:$I$89,5,0)</f>
        <v>190.50720000000004</v>
      </c>
      <c r="DQ83" s="13">
        <f t="shared" si="97"/>
        <v>47.652070165548515</v>
      </c>
      <c r="DR83" s="20">
        <f t="shared" si="70"/>
        <v>414.79406220499703</v>
      </c>
      <c r="DS83" s="59">
        <f t="shared" si="71"/>
        <v>708.12739553833035</v>
      </c>
      <c r="DT83" s="59">
        <f ca="1">AVERAGE(OFFSET($DS$3,0,0,'Données projet'!$E$14+1,1))-AVERAGE(OFFSET($H$3,0,0,'Données projet'!$E$14+1,1))</f>
        <v>156.63226020379989</v>
      </c>
      <c r="DU83" s="59">
        <f t="shared" si="98"/>
        <v>196.0481096619543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284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2.1674901381603364</v>
      </c>
      <c r="EC83" s="21">
        <f>EXP(-LN(2)/2)*EC82+(1-EXP(-LN(2)/2))/(LN(2)/2)*DW83*DZ83*VLOOKUP('Données projet'!$B$14,Paramètres!$A$1:$I$89,3,0)*0.475*44/12</f>
        <v>2.7041050202032457E-7</v>
      </c>
      <c r="ED83" s="22">
        <f t="shared" si="72"/>
        <v>2.1674904085708384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5.5042735042735051</v>
      </c>
      <c r="EJ83" s="12">
        <f>IF('Données projet'!$A$192&gt;35,EJ82+EI83-ER82,IF(A83&lt;'Données projet'!$A$192,$EG$205^A83,IF(A83='Données projet'!$A$192,'Données projet'!$B$192,EJ82+EI83-ER82)))</f>
        <v>177.98931623931617</v>
      </c>
      <c r="EK83" s="17">
        <f>EJ83*VLOOKUP('Données projet'!$B$15,Paramètres!$A$1:$I$89,3,0)*VLOOKUP('Données projet'!$B$15,Paramètres!$A$1:$I$89,5,0)</f>
        <v>180.48116666666661</v>
      </c>
      <c r="EL83" s="13">
        <f t="shared" si="99"/>
        <v>45.429220246818225</v>
      </c>
      <c r="EM83" s="20">
        <f t="shared" si="73"/>
        <v>393.46059054098606</v>
      </c>
      <c r="EN83" s="59">
        <f t="shared" si="74"/>
        <v>686.79392387431938</v>
      </c>
      <c r="EO83" s="59">
        <f ca="1">AVERAGE(OFFSET($EN$3,0,0,'Données projet'!$E$15+1,1))-AVERAGE(OFFSET($H$3,0,0,'Données projet'!$E$15+1,1))</f>
        <v>190.21499310415584</v>
      </c>
      <c r="EP83" s="59">
        <f t="shared" si="100"/>
        <v>136.15730566500173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79.083333333333343</v>
      </c>
      <c r="FC83" s="12">
        <f>VLOOKUP(A83,'Données projet'!$A$217:$I$237,9,0)</f>
        <v>1.2750000000000015</v>
      </c>
      <c r="FD83" s="12">
        <f t="array" ref="FD83">INDEX(FC:FC,MIN(IF(ISNUMBER(FC83:FC279),ROW(FC83:FC279),"")))</f>
        <v>1.2750000000000015</v>
      </c>
      <c r="FE83" s="12">
        <f>IF('Données projet'!$A$218&gt;35,FE82+FD83-FM82,IF(A83&lt;'Données projet'!$A$218,$FB$205^A83,IF(A83='Données projet'!$A$218,'Données projet'!$B$218,FE82+FD83-FM82)))</f>
        <v>79.083333333333357</v>
      </c>
      <c r="FF83" s="17">
        <f>FE83*VLOOKUP('Données projet'!$B$16,Paramètres!$A$1:$I$89,3,0)*VLOOKUP('Données projet'!$B$16,Paramètres!$A$1:$I$89,5,0)</f>
        <v>91.104000000000013</v>
      </c>
      <c r="FG83" s="13">
        <f t="shared" si="101"/>
        <v>24.831293984707884</v>
      </c>
      <c r="FH83" s="20">
        <f t="shared" si="76"/>
        <v>201.92063702336625</v>
      </c>
      <c r="FI83" s="59">
        <f t="shared" si="77"/>
        <v>495.2539703566996</v>
      </c>
      <c r="FJ83" s="59">
        <f ca="1">AVERAGE(OFFSET($FI$3,0,0,'Données projet'!$E$16+1,1))-AVERAGE(OFFSET($H$3,0,0,'Données projet'!$E$16+1,1))</f>
        <v>14.847345852478327</v>
      </c>
      <c r="FK83" s="59">
        <f t="shared" si="102"/>
        <v>46.764428272166299</v>
      </c>
      <c r="FL83" s="15">
        <f>IF(ISNA(VLOOKUP(A83,'Données projet'!$A$217:$I$237,3,0)),0,VLOOKUP(A83,'Données projet'!$A$217:$I$237,3,0))</f>
        <v>8</v>
      </c>
      <c r="FM83" s="15">
        <f>IF(ISNA(VLOOKUP(A83,'Données projet'!$A$217:$I$237,4,0)),0,VLOOKUP(A83,'Données projet'!$A$217:$I$237,4,0))</f>
        <v>8.5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0.44369339266894225</v>
      </c>
      <c r="FS83" s="21">
        <f>EXP(-LN(2)/2)*FS82+(1-EXP(-LN(2)/2))/(LN(2)/2)*FM83*FP83*VLOOKUP('Données projet'!$B$16,Paramètres!$A$1:$I$89,3,0)*0.475*44/12</f>
        <v>5.8799847788181811E-8</v>
      </c>
      <c r="FT83" s="22">
        <f t="shared" si="78"/>
        <v>0.44369345146879002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7.4950142450142483</v>
      </c>
      <c r="N84" s="13">
        <f>IF('Données projet'!$A$36&gt;35,N83+M84-V83,IF(A84&lt;'Données projet'!$A$36,$K$205^A84,IF(A84='Données projet'!$A$36,'Données projet'!$B$36,N83+M84-V83)))</f>
        <v>235.89886039886039</v>
      </c>
      <c r="O84" s="13">
        <f>N84*VLOOKUP('Données projet'!$B$9,Paramètres!$A$1:$I$89,3,0)*VLOOKUP('Données projet'!$B$9,Paramètres!$A$1:$I$89,5,0)</f>
        <v>213.44128888888889</v>
      </c>
      <c r="P84" s="13">
        <f t="shared" si="87"/>
        <v>52.686881026481927</v>
      </c>
      <c r="Q84" s="20">
        <f t="shared" si="54"/>
        <v>463.50656260260411</v>
      </c>
      <c r="R84" s="59">
        <f t="shared" si="55"/>
        <v>756.83989593593742</v>
      </c>
      <c r="S84" s="59">
        <f ca="1">AVERAGE(OFFSET($R$3,0,0,'Données projet'!$E$9+1,1))-AVERAGE(OFFSET($H$3,0,0,'Données projet'!$E$9+1,1))</f>
        <v>221.7429870520005</v>
      </c>
      <c r="T84" s="59">
        <f t="shared" si="88"/>
        <v>182.2029938397186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-5.1159076974727213E-13</v>
      </c>
      <c r="AJ84" s="13">
        <f>AI84*VLOOKUP('Données projet'!$B$10,Paramètres!$A$1:$I$89,3,0)*VLOOKUP('Données projet'!$B$10,Paramètres!$A$1:$I$89,5,0)</f>
        <v>-4.0702161641092972E-13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260.20517190557814</v>
      </c>
      <c r="AO84" s="59">
        <f t="shared" si="90"/>
        <v>307.22009971147133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1.1884258410131214</v>
      </c>
      <c r="AV84" s="21">
        <f>EXP(-LN(2)/25)*AV83+(1-EXP(-LN(2)/25))/(LN(2)/25)*Calculateur!AQ84*Calculateur!AS84*VLOOKUP('Données projet'!$B$10,Paramètres!$A$1:$I$89,3,0)*0.475*44/12</f>
        <v>4.9896232773021039</v>
      </c>
      <c r="AW84" s="21">
        <f>EXP(-LN(2)/2)*AW83+(1-EXP(-LN(2)/2))/(LN(2)/2)*AQ84*AT84*VLOOKUP('Données projet'!$B$10,Paramètres!$A$1:$I$89,3,0)*0.475*44/12</f>
        <v>5.0658476749957702E-7</v>
      </c>
      <c r="AX84" s="21">
        <f t="shared" si="60"/>
        <v>6.1780496248999937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12.5</v>
      </c>
      <c r="BD84" s="12">
        <f>IF('Données projet'!$A$88&gt;35,BD83+BC84-BL83,IF(A84&lt;'Données projet'!$A$88,$BA$205^A84,IF(A84='Données projet'!$A$88,'Données projet'!$B$88,BD83+BC84-BL83)))</f>
        <v>524.49999999999955</v>
      </c>
      <c r="BE84" s="13">
        <f>BD84*VLOOKUP('Données projet'!$B$11,Paramètres!$A$1:$I$89,3,0)*VLOOKUP('Données projet'!$B$11,Paramètres!$A$1:$I$89,5,0)</f>
        <v>313.65099999999978</v>
      </c>
      <c r="BF84" s="13">
        <f t="shared" si="91"/>
        <v>74.030783927316818</v>
      </c>
      <c r="BG84" s="20">
        <f t="shared" si="61"/>
        <v>675.21244034007634</v>
      </c>
      <c r="BH84" s="59">
        <f t="shared" si="62"/>
        <v>968.54577367340971</v>
      </c>
      <c r="BI84" s="59">
        <f ca="1">AVERAGE(OFFSET($BH$3,0,0,'Données projet'!$E$11+1,1))-AVERAGE(OFFSET($H$3,0,0,'Données projet'!$E$11+1,1))</f>
        <v>316.58509520829671</v>
      </c>
      <c r="BJ84" s="59">
        <f t="shared" si="92"/>
        <v>240.71332110643596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0.9231168852264594</v>
      </c>
      <c r="BQ84" s="21">
        <f>EXP(-LN(2)/25)*BQ83+(1-EXP(-LN(2)/25))/(LN(2)/25)*Calculateur!BL84*Calculateur!BN84*VLOOKUP('Données projet'!$B$11,Paramètres!$A$1:$I$89,3,0)*0.475*44/12</f>
        <v>3.7126061153788719</v>
      </c>
      <c r="BR84" s="21">
        <f>EXP(-LN(2)/2)*BR83+(1-EXP(-LN(2)/2))/(LN(2)/2)*BL84*BO84*VLOOKUP('Données projet'!$B$11,Paramètres!$A$1:$I$89,3,0)*0.475*44/12</f>
        <v>4.6233708440288006E-7</v>
      </c>
      <c r="BS84" s="22">
        <f t="shared" si="63"/>
        <v>4.6357234629424156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10.8</v>
      </c>
      <c r="BY84" s="12">
        <f>IF('Données projet'!$A$114&gt;35,BY83+BX84-CG83,IF(A84&lt;'Données projet'!$A$114,$BV$205^A84,IF(A84='Données projet'!$A$114,'Données projet'!$B$114,BY83+BX84-CG83)))</f>
        <v>469.80000000000018</v>
      </c>
      <c r="BZ84" s="13">
        <f>BY84*VLOOKUP('Données projet'!$B$12,Paramètres!$A$1:$I$89,3,0)*VLOOKUP('Données projet'!$B$12,Paramètres!$A$1:$I$89,5,0)</f>
        <v>280.94040000000012</v>
      </c>
      <c r="CA84" s="13">
        <f t="shared" si="93"/>
        <v>67.165703636653262</v>
      </c>
      <c r="CB84" s="20">
        <f t="shared" si="64"/>
        <v>606.2847971671714</v>
      </c>
      <c r="CC84" s="59">
        <f t="shared" si="65"/>
        <v>899.61813050050478</v>
      </c>
      <c r="CD84" s="59">
        <f ca="1">AVERAGE(OFFSET($CC$3,0,0,'Données projet'!$E$12+1,1))-AVERAGE(OFFSET($H$3,0,0,'Données projet'!$E$12+1,1))</f>
        <v>270.30888762640245</v>
      </c>
      <c r="CE84" s="59">
        <f t="shared" si="94"/>
        <v>202.23783851977691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0.78009877624771207</v>
      </c>
      <c r="CL84" s="21">
        <f>EXP(-LN(2)/25)*CL83+(1-EXP(-LN(2)/25))/(LN(2)/25)*Calculateur!CG84*Calculateur!CI84*VLOOKUP('Données projet'!$B$12,Paramètres!$A$1:$I$89,3,0)*0.475*44/12</f>
        <v>2.989748764548481</v>
      </c>
      <c r="CM84" s="21">
        <f>EXP(-LN(2)/2)*CM83+(1-EXP(-LN(2)/2))/(LN(2)/2)*CG84*CJ84*VLOOKUP('Données projet'!$B$12,Paramètres!$A$1:$I$89,3,0)*0.475*44/12</f>
        <v>3.8970258633244837E-7</v>
      </c>
      <c r="CN84" s="22">
        <f t="shared" si="66"/>
        <v>3.7698479304987793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-5.1159076974727213E-13</v>
      </c>
      <c r="CU84" s="17">
        <f>CT84*VLOOKUP('Données projet'!$B$13,Paramètres!$A$1:$I$89,3,0)*VLOOKUP('Données projet'!$B$13,Paramètres!$A$1:$I$89,5,0)</f>
        <v>-3.4317508834647017E-13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207.93042467236967</v>
      </c>
      <c r="CZ84" s="59">
        <f t="shared" si="96"/>
        <v>250.70954318710835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1.0020061012463561</v>
      </c>
      <c r="DG84" s="21">
        <f>EXP(-LN(2)/25)*DG83+(1-EXP(-LN(2)/25))/(LN(2)/25)*Calculateur!DB84*Calculateur!DD84*VLOOKUP('Données projet'!$B$13,Paramètres!$A$1:$I$89,3,0)*0.475*44/12</f>
        <v>4.2069372730194257</v>
      </c>
      <c r="DH84" s="21">
        <f>EXP(-LN(2)/2)*DH83+(1-EXP(-LN(2)/2))/(LN(2)/2)*DB84*DE84*VLOOKUP('Données projet'!$B$13,Paramètres!$A$1:$I$89,3,0)*0.475*44/12</f>
        <v>4.2712049024474139E-7</v>
      </c>
      <c r="DI84" s="22">
        <f t="shared" si="69"/>
        <v>5.2089438013862717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5.6843418860808015E-14</v>
      </c>
      <c r="DP84" s="17">
        <f>DO84*VLOOKUP('Données projet'!$B$14,Paramètres!$A$1:$I$89,3,0)*VLOOKUP('Données projet'!$B$14,Paramètres!$A$1:$I$89,5,0)</f>
        <v>3.813056537183002E-14</v>
      </c>
      <c r="DQ84" s="13">
        <f t="shared" si="97"/>
        <v>6.4086286045526829E-13</v>
      </c>
      <c r="DR84" s="20">
        <f t="shared" si="70"/>
        <v>1.1825802166488628E-12</v>
      </c>
      <c r="DS84" s="59">
        <f t="shared" si="71"/>
        <v>293.33333333333451</v>
      </c>
      <c r="DT84" s="59">
        <f ca="1">AVERAGE(OFFSET($DS$3,0,0,'Données projet'!$E$14+1,1))-AVERAGE(OFFSET($H$3,0,0,'Données projet'!$E$14+1,1))</f>
        <v>156.63226020379989</v>
      </c>
      <c r="DU84" s="59">
        <f t="shared" si="98"/>
        <v>196.0481096619543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2.1082200063489895</v>
      </c>
      <c r="EC84" s="21">
        <f>EXP(-LN(2)/2)*EC83+(1-EXP(-LN(2)/2))/(LN(2)/2)*DW84*DZ84*VLOOKUP('Données projet'!$B$14,Paramètres!$A$1:$I$89,3,0)*0.475*44/12</f>
        <v>1.9120909968263012E-7</v>
      </c>
      <c r="ED84" s="22">
        <f t="shared" si="72"/>
        <v>2.1082201975580892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5.5042735042735051</v>
      </c>
      <c r="EJ84" s="12">
        <f>IF('Données projet'!$A$192&gt;35,EJ83+EI84-ER83,IF(A84&lt;'Données projet'!$A$192,$EG$205^A84,IF(A84='Données projet'!$A$192,'Données projet'!$B$192,EJ83+EI84-ER83)))</f>
        <v>183.49358974358967</v>
      </c>
      <c r="EK84" s="17">
        <f>EJ84*VLOOKUP('Données projet'!$B$15,Paramètres!$A$1:$I$89,3,0)*VLOOKUP('Données projet'!$B$15,Paramètres!$A$1:$I$89,5,0)</f>
        <v>186.06249999999994</v>
      </c>
      <c r="EL84" s="13">
        <f t="shared" si="99"/>
        <v>46.668369362854641</v>
      </c>
      <c r="EM84" s="20">
        <f t="shared" si="73"/>
        <v>405.33959747363838</v>
      </c>
      <c r="EN84" s="59">
        <f t="shared" si="74"/>
        <v>698.67293080697164</v>
      </c>
      <c r="EO84" s="59">
        <f ca="1">AVERAGE(OFFSET($EN$3,0,0,'Données projet'!$E$15+1,1))-AVERAGE(OFFSET($H$3,0,0,'Données projet'!$E$15+1,1))</f>
        <v>190.21499310415584</v>
      </c>
      <c r="EP84" s="59">
        <f t="shared" si="100"/>
        <v>136.15730566500173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1.2374999999999985</v>
      </c>
      <c r="FE84" s="12">
        <f>IF('Données projet'!$A$218&gt;35,FE83+FD84-FM83,IF(A84&lt;'Données projet'!$A$218,$FB$205^A84,IF(A84='Données projet'!$A$218,'Données projet'!$B$218,FE83+FD84-FM83)))</f>
        <v>71.820833333333354</v>
      </c>
      <c r="FF84" s="17">
        <f>FE84*VLOOKUP('Données projet'!$B$16,Paramètres!$A$1:$I$89,3,0)*VLOOKUP('Données projet'!$B$16,Paramètres!$A$1:$I$89,5,0)</f>
        <v>82.737600000000029</v>
      </c>
      <c r="FG84" s="13">
        <f t="shared" si="101"/>
        <v>22.805225140892624</v>
      </c>
      <c r="FH84" s="20">
        <f t="shared" si="76"/>
        <v>183.82042045372137</v>
      </c>
      <c r="FI84" s="59">
        <f t="shared" si="77"/>
        <v>477.15375378705471</v>
      </c>
      <c r="FJ84" s="59">
        <f ca="1">AVERAGE(OFFSET($FI$3,0,0,'Données projet'!$E$16+1,1))-AVERAGE(OFFSET($H$3,0,0,'Données projet'!$E$16+1,1))</f>
        <v>14.847345852478327</v>
      </c>
      <c r="FK84" s="59">
        <f t="shared" si="102"/>
        <v>46.764428272166299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0.43156057351358856</v>
      </c>
      <c r="FS84" s="21">
        <f>EXP(-LN(2)/2)*FS83+(1-EXP(-LN(2)/2))/(LN(2)/2)*FM84*FP84*VLOOKUP('Données projet'!$B$16,Paramètres!$A$1:$I$89,3,0)*0.475*44/12</f>
        <v>4.1577771103760179E-8</v>
      </c>
      <c r="FT84" s="22">
        <f t="shared" si="78"/>
        <v>0.43156061509135968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7.4950142450142483</v>
      </c>
      <c r="N85" s="13">
        <f>IF('Données projet'!$A$36&gt;35,N84+M85-V84,IF(A85&lt;'Données projet'!$A$36,$K$205^A85,IF(A85='Données projet'!$A$36,'Données projet'!$B$36,N84+M85-V84)))</f>
        <v>243.39387464387465</v>
      </c>
      <c r="O85" s="13">
        <f>N85*VLOOKUP('Données projet'!$B$9,Paramètres!$A$1:$I$89,3,0)*VLOOKUP('Données projet'!$B$9,Paramètres!$A$1:$I$89,5,0)</f>
        <v>220.22277777777776</v>
      </c>
      <c r="P85" s="13">
        <f t="shared" si="87"/>
        <v>54.163302517364315</v>
      </c>
      <c r="Q85" s="20">
        <f t="shared" si="54"/>
        <v>477.88908984737236</v>
      </c>
      <c r="R85" s="59">
        <f t="shared" si="55"/>
        <v>771.22242318070562</v>
      </c>
      <c r="S85" s="59">
        <f ca="1">AVERAGE(OFFSET($R$3,0,0,'Données projet'!$E$9+1,1))-AVERAGE(OFFSET($H$3,0,0,'Données projet'!$E$9+1,1))</f>
        <v>221.7429870520005</v>
      </c>
      <c r="T85" s="59">
        <f t="shared" si="88"/>
        <v>182.2029938397186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-5.1159076974727213E-13</v>
      </c>
      <c r="AJ85" s="13">
        <f>AI85*VLOOKUP('Données projet'!$B$10,Paramètres!$A$1:$I$89,3,0)*VLOOKUP('Données projet'!$B$10,Paramètres!$A$1:$I$89,5,0)</f>
        <v>-4.0702161641092972E-13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260.20517190557814</v>
      </c>
      <c r="AO85" s="59">
        <f t="shared" si="90"/>
        <v>307.22009971147133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1.1651215351390423</v>
      </c>
      <c r="AV85" s="21">
        <f>EXP(-LN(2)/25)*AV84+(1-EXP(-LN(2)/25))/(LN(2)/25)*Calculateur!AQ85*Calculateur!AS85*VLOOKUP('Données projet'!$B$10,Paramètres!$A$1:$I$89,3,0)*0.475*44/12</f>
        <v>4.8531817663913932</v>
      </c>
      <c r="AW85" s="21">
        <f>EXP(-LN(2)/2)*AW84+(1-EXP(-LN(2)/2))/(LN(2)/2)*AQ85*AT85*VLOOKUP('Données projet'!$B$10,Paramètres!$A$1:$I$89,3,0)*0.475*44/12</f>
        <v>3.5820952434476146E-7</v>
      </c>
      <c r="AX85" s="21">
        <f t="shared" si="60"/>
        <v>6.01830365973996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12.5</v>
      </c>
      <c r="BD85" s="12">
        <f>IF('Données projet'!$A$88&gt;35,BD84+BC85-BL84,IF(A85&lt;'Données projet'!$A$88,$BA$205^A85,IF(A85='Données projet'!$A$88,'Données projet'!$B$88,BD84+BC85-BL84)))</f>
        <v>536.99999999999955</v>
      </c>
      <c r="BE85" s="13">
        <f>BD85*VLOOKUP('Données projet'!$B$11,Paramètres!$A$1:$I$89,3,0)*VLOOKUP('Données projet'!$B$11,Paramètres!$A$1:$I$89,5,0)</f>
        <v>321.12599999999975</v>
      </c>
      <c r="BF85" s="13">
        <f t="shared" si="91"/>
        <v>75.587591944000252</v>
      </c>
      <c r="BG85" s="20">
        <f t="shared" si="61"/>
        <v>690.94283930246672</v>
      </c>
      <c r="BH85" s="59">
        <f t="shared" si="62"/>
        <v>984.27617263580009</v>
      </c>
      <c r="BI85" s="59">
        <f ca="1">AVERAGE(OFFSET($BH$3,0,0,'Données projet'!$E$11+1,1))-AVERAGE(OFFSET($H$3,0,0,'Données projet'!$E$11+1,1))</f>
        <v>316.58509520829671</v>
      </c>
      <c r="BJ85" s="59">
        <f t="shared" si="92"/>
        <v>240.71332110643596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0.90501512615287238</v>
      </c>
      <c r="BQ85" s="21">
        <f>EXP(-LN(2)/25)*BQ84+(1-EXP(-LN(2)/25))/(LN(2)/25)*Calculateur!BL85*Calculateur!BN85*VLOOKUP('Données projet'!$B$11,Paramètres!$A$1:$I$89,3,0)*0.475*44/12</f>
        <v>3.6110847059163662</v>
      </c>
      <c r="BR85" s="21">
        <f>EXP(-LN(2)/2)*BR84+(1-EXP(-LN(2)/2))/(LN(2)/2)*BL85*BO85*VLOOKUP('Données projet'!$B$11,Paramètres!$A$1:$I$89,3,0)*0.475*44/12</f>
        <v>3.2692168757529371E-7</v>
      </c>
      <c r="BS85" s="22">
        <f t="shared" si="63"/>
        <v>4.5161001589909269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10.8</v>
      </c>
      <c r="BY85" s="12">
        <f>IF('Données projet'!$A$114&gt;35,BY84+BX85-CG84,IF(A85&lt;'Données projet'!$A$114,$BV$205^A85,IF(A85='Données projet'!$A$114,'Données projet'!$B$114,BY84+BX85-CG84)))</f>
        <v>480.60000000000019</v>
      </c>
      <c r="BZ85" s="13">
        <f>BY85*VLOOKUP('Données projet'!$B$12,Paramètres!$A$1:$I$89,3,0)*VLOOKUP('Données projet'!$B$12,Paramètres!$A$1:$I$89,5,0)</f>
        <v>287.39880000000016</v>
      </c>
      <c r="CA85" s="13">
        <f t="shared" si="93"/>
        <v>68.528206713592894</v>
      </c>
      <c r="CB85" s="20">
        <f t="shared" si="64"/>
        <v>619.90620335950791</v>
      </c>
      <c r="CC85" s="59">
        <f t="shared" si="65"/>
        <v>913.23953669284128</v>
      </c>
      <c r="CD85" s="59">
        <f ca="1">AVERAGE(OFFSET($CC$3,0,0,'Données projet'!$E$12+1,1))-AVERAGE(OFFSET($H$3,0,0,'Données projet'!$E$12+1,1))</f>
        <v>270.30888762640245</v>
      </c>
      <c r="CE85" s="59">
        <f t="shared" si="94"/>
        <v>202.23783851977691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0.76480151505876526</v>
      </c>
      <c r="CL85" s="21">
        <f>EXP(-LN(2)/25)*CL84+(1-EXP(-LN(2)/25))/(LN(2)/25)*Calculateur!CG85*Calculateur!CI85*VLOOKUP('Données projet'!$B$12,Paramètres!$A$1:$I$89,3,0)*0.475*44/12</f>
        <v>2.9079939273578486</v>
      </c>
      <c r="CM85" s="21">
        <f>EXP(-LN(2)/2)*CM84+(1-EXP(-LN(2)/2))/(LN(2)/2)*CG85*CJ85*VLOOKUP('Données projet'!$B$12,Paramètres!$A$1:$I$89,3,0)*0.475*44/12</f>
        <v>2.7556134144161022E-7</v>
      </c>
      <c r="CN85" s="22">
        <f t="shared" si="66"/>
        <v>3.6727957179779551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-5.1159076974727213E-13</v>
      </c>
      <c r="CU85" s="17">
        <f>CT85*VLOOKUP('Données projet'!$B$13,Paramètres!$A$1:$I$89,3,0)*VLOOKUP('Données projet'!$B$13,Paramètres!$A$1:$I$89,5,0)</f>
        <v>-3.4317508834647017E-13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207.93042467236967</v>
      </c>
      <c r="CZ85" s="59">
        <f t="shared" si="96"/>
        <v>250.70954318710835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0.98235737276428947</v>
      </c>
      <c r="DG85" s="21">
        <f>EXP(-LN(2)/25)*DG84+(1-EXP(-LN(2)/25))/(LN(2)/25)*Calculateur!DB85*Calculateur!DD85*VLOOKUP('Données projet'!$B$13,Paramètres!$A$1:$I$89,3,0)*0.475*44/12</f>
        <v>4.0918983520554937</v>
      </c>
      <c r="DH85" s="21">
        <f>EXP(-LN(2)/2)*DH84+(1-EXP(-LN(2)/2))/(LN(2)/2)*DB85*DE85*VLOOKUP('Données projet'!$B$13,Paramètres!$A$1:$I$89,3,0)*0.475*44/12</f>
        <v>3.0201979503577925E-7</v>
      </c>
      <c r="DI85" s="22">
        <f t="shared" si="69"/>
        <v>5.0742560268395778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5.6843418860808015E-14</v>
      </c>
      <c r="DP85" s="17">
        <f>DO85*VLOOKUP('Données projet'!$B$14,Paramètres!$A$1:$I$89,3,0)*VLOOKUP('Données projet'!$B$14,Paramètres!$A$1:$I$89,5,0)</f>
        <v>3.813056537183002E-14</v>
      </c>
      <c r="DQ85" s="13">
        <f t="shared" si="97"/>
        <v>6.4086286045526829E-13</v>
      </c>
      <c r="DR85" s="20">
        <f t="shared" si="70"/>
        <v>1.1825802166488628E-12</v>
      </c>
      <c r="DS85" s="59">
        <f t="shared" si="71"/>
        <v>293.33333333333451</v>
      </c>
      <c r="DT85" s="59">
        <f ca="1">AVERAGE(OFFSET($DS$3,0,0,'Données projet'!$E$14+1,1))-AVERAGE(OFFSET($H$3,0,0,'Données projet'!$E$14+1,1))</f>
        <v>156.63226020379989</v>
      </c>
      <c r="DU85" s="59">
        <f t="shared" si="98"/>
        <v>196.0481096619543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2.0505706194089046</v>
      </c>
      <c r="EC85" s="21">
        <f>EXP(-LN(2)/2)*EC84+(1-EXP(-LN(2)/2))/(LN(2)/2)*DW85*DZ85*VLOOKUP('Données projet'!$B$14,Paramètres!$A$1:$I$89,3,0)*0.475*44/12</f>
        <v>1.3520525101016229E-7</v>
      </c>
      <c r="ED85" s="22">
        <f t="shared" si="72"/>
        <v>2.0505707546141556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5.5042735042735051</v>
      </c>
      <c r="EJ85" s="12">
        <f>IF('Données projet'!$A$192&gt;35,EJ84+EI85-ER84,IF(A85&lt;'Données projet'!$A$192,$EG$205^A85,IF(A85='Données projet'!$A$192,'Données projet'!$B$192,EJ84+EI85-ER84)))</f>
        <v>188.99786324786317</v>
      </c>
      <c r="EK85" s="17">
        <f>EJ85*VLOOKUP('Données projet'!$B$15,Paramètres!$A$1:$I$89,3,0)*VLOOKUP('Données projet'!$B$15,Paramètres!$A$1:$I$89,5,0)</f>
        <v>191.64383333333325</v>
      </c>
      <c r="EL85" s="13">
        <f t="shared" si="99"/>
        <v>47.903198650456822</v>
      </c>
      <c r="EM85" s="20">
        <f t="shared" si="73"/>
        <v>417.21108070510104</v>
      </c>
      <c r="EN85" s="59">
        <f t="shared" si="74"/>
        <v>710.5444140384343</v>
      </c>
      <c r="EO85" s="59">
        <f ca="1">AVERAGE(OFFSET($EN$3,0,0,'Données projet'!$E$15+1,1))-AVERAGE(OFFSET($H$3,0,0,'Données projet'!$E$15+1,1))</f>
        <v>190.21499310415584</v>
      </c>
      <c r="EP85" s="59">
        <f t="shared" si="100"/>
        <v>136.15730566500173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1.2374999999999985</v>
      </c>
      <c r="FE85" s="12">
        <f>IF('Données projet'!$A$218&gt;35,FE84+FD85-FM84,IF(A85&lt;'Données projet'!$A$218,$FB$205^A85,IF(A85='Données projet'!$A$218,'Données projet'!$B$218,FE84+FD85-FM84)))</f>
        <v>73.058333333333351</v>
      </c>
      <c r="FF85" s="17">
        <f>FE85*VLOOKUP('Données projet'!$B$16,Paramètres!$A$1:$I$89,3,0)*VLOOKUP('Données projet'!$B$16,Paramètres!$A$1:$I$89,5,0)</f>
        <v>84.163200000000003</v>
      </c>
      <c r="FG85" s="13">
        <f t="shared" si="101"/>
        <v>23.152083269498174</v>
      </c>
      <c r="FH85" s="20">
        <f t="shared" si="76"/>
        <v>186.90745169437602</v>
      </c>
      <c r="FI85" s="59">
        <f t="shared" si="77"/>
        <v>480.24078502770931</v>
      </c>
      <c r="FJ85" s="59">
        <f ca="1">AVERAGE(OFFSET($FI$3,0,0,'Données projet'!$E$16+1,1))-AVERAGE(OFFSET($H$3,0,0,'Données projet'!$E$16+1,1))</f>
        <v>14.847345852478327</v>
      </c>
      <c r="FK85" s="59">
        <f t="shared" si="102"/>
        <v>46.764428272166299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0.41975952693607527</v>
      </c>
      <c r="FS85" s="21">
        <f>EXP(-LN(2)/2)*FS84+(1-EXP(-LN(2)/2))/(LN(2)/2)*FM85*FP85*VLOOKUP('Données projet'!$B$16,Paramètres!$A$1:$I$89,3,0)*0.475*44/12</f>
        <v>2.9399923894090909E-8</v>
      </c>
      <c r="FT85" s="22">
        <f t="shared" si="78"/>
        <v>0.41975955633599915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7.4950142450142483</v>
      </c>
      <c r="N86" s="13">
        <f>IF('Données projet'!$A$36&gt;35,N85+M86-V85,IF(A86&lt;'Données projet'!$A$36,$K$205^A86,IF(A86='Données projet'!$A$36,'Données projet'!$B$36,N85+M86-V85)))</f>
        <v>250.88888888888891</v>
      </c>
      <c r="O86" s="13">
        <f>N86*VLOOKUP('Données projet'!$B$9,Paramètres!$A$1:$I$89,3,0)*VLOOKUP('Données projet'!$B$9,Paramètres!$A$1:$I$89,5,0)</f>
        <v>227.00426666666667</v>
      </c>
      <c r="P86" s="13">
        <f t="shared" si="87"/>
        <v>55.634440522110069</v>
      </c>
      <c r="Q86" s="20">
        <f t="shared" si="54"/>
        <v>492.26241502045281</v>
      </c>
      <c r="R86" s="59">
        <f t="shared" si="55"/>
        <v>785.59574835378612</v>
      </c>
      <c r="S86" s="59">
        <f ca="1">AVERAGE(OFFSET($R$3,0,0,'Données projet'!$E$9+1,1))-AVERAGE(OFFSET($H$3,0,0,'Données projet'!$E$9+1,1))</f>
        <v>221.7429870520005</v>
      </c>
      <c r="T86" s="59">
        <f t="shared" si="88"/>
        <v>182.2029938397186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-5.1159076974727213E-13</v>
      </c>
      <c r="AJ86" s="13">
        <f>AI86*VLOOKUP('Données projet'!$B$10,Paramètres!$A$1:$I$89,3,0)*VLOOKUP('Données projet'!$B$10,Paramètres!$A$1:$I$89,5,0)</f>
        <v>-4.0702161641092972E-13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260.20517190557814</v>
      </c>
      <c r="AO86" s="59">
        <f t="shared" si="90"/>
        <v>307.22009971147133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1.1422742124889309</v>
      </c>
      <c r="AV86" s="21">
        <f>EXP(-LN(2)/25)*AV85+(1-EXP(-LN(2)/25))/(LN(2)/25)*Calculateur!AQ86*Calculateur!AS86*VLOOKUP('Données projet'!$B$10,Paramètres!$A$1:$I$89,3,0)*0.475*44/12</f>
        <v>4.7204712557716837</v>
      </c>
      <c r="AW86" s="21">
        <f>EXP(-LN(2)/2)*AW85+(1-EXP(-LN(2)/2))/(LN(2)/2)*AQ86*AT86*VLOOKUP('Données projet'!$B$10,Paramètres!$A$1:$I$89,3,0)*0.475*44/12</f>
        <v>2.5329238374978851E-7</v>
      </c>
      <c r="AX86" s="21">
        <f t="shared" si="60"/>
        <v>5.8627457215529981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12.5</v>
      </c>
      <c r="BD86" s="12">
        <f>IF('Données projet'!$A$88&gt;35,BD85+BC86-BL85,IF(A86&lt;'Données projet'!$A$88,$BA$205^A86,IF(A86='Données projet'!$A$88,'Données projet'!$B$88,BD85+BC86-BL85)))</f>
        <v>549.49999999999955</v>
      </c>
      <c r="BE86" s="13">
        <f>BD86*VLOOKUP('Données projet'!$B$11,Paramètres!$A$1:$I$89,3,0)*VLOOKUP('Données projet'!$B$11,Paramètres!$A$1:$I$89,5,0)</f>
        <v>328.60099999999977</v>
      </c>
      <c r="BF86" s="13">
        <f t="shared" si="91"/>
        <v>77.140187101009843</v>
      </c>
      <c r="BG86" s="20">
        <f t="shared" si="61"/>
        <v>706.66590086759163</v>
      </c>
      <c r="BH86" s="59">
        <f t="shared" si="62"/>
        <v>999.999234200925</v>
      </c>
      <c r="BI86" s="59">
        <f ca="1">AVERAGE(OFFSET($BH$3,0,0,'Données projet'!$E$11+1,1))-AVERAGE(OFFSET($H$3,0,0,'Données projet'!$E$11+1,1))</f>
        <v>316.58509520829671</v>
      </c>
      <c r="BJ86" s="59">
        <f t="shared" si="92"/>
        <v>240.71332110643596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0.88726833153373552</v>
      </c>
      <c r="BQ86" s="21">
        <f>EXP(-LN(2)/25)*BQ85+(1-EXP(-LN(2)/25))/(LN(2)/25)*Calculateur!BL86*Calculateur!BN86*VLOOKUP('Données projet'!$B$11,Paramètres!$A$1:$I$89,3,0)*0.475*44/12</f>
        <v>3.5123394047343917</v>
      </c>
      <c r="BR86" s="21">
        <f>EXP(-LN(2)/2)*BR85+(1-EXP(-LN(2)/2))/(LN(2)/2)*BL86*BO86*VLOOKUP('Données projet'!$B$11,Paramètres!$A$1:$I$89,3,0)*0.475*44/12</f>
        <v>2.3116854220144008E-7</v>
      </c>
      <c r="BS86" s="22">
        <f t="shared" si="63"/>
        <v>4.399607967436669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10.8</v>
      </c>
      <c r="BY86" s="12">
        <f>IF('Données projet'!$A$114&gt;35,BY85+BX86-CG85,IF(A86&lt;'Données projet'!$A$114,$BV$205^A86,IF(A86='Données projet'!$A$114,'Données projet'!$B$114,BY85+BX86-CG85)))</f>
        <v>491.4000000000002</v>
      </c>
      <c r="BZ86" s="13">
        <f>BY86*VLOOKUP('Données projet'!$B$12,Paramètres!$A$1:$I$89,3,0)*VLOOKUP('Données projet'!$B$12,Paramètres!$A$1:$I$89,5,0)</f>
        <v>293.85720000000015</v>
      </c>
      <c r="CA86" s="13">
        <f t="shared" si="93"/>
        <v>69.887150190339838</v>
      </c>
      <c r="CB86" s="20">
        <f t="shared" si="64"/>
        <v>633.52140991484214</v>
      </c>
      <c r="CC86" s="59">
        <f t="shared" si="65"/>
        <v>926.85474324817551</v>
      </c>
      <c r="CD86" s="59">
        <f ca="1">AVERAGE(OFFSET($CC$3,0,0,'Données projet'!$E$12+1,1))-AVERAGE(OFFSET($H$3,0,0,'Données projet'!$E$12+1,1))</f>
        <v>270.30888762640245</v>
      </c>
      <c r="CE86" s="59">
        <f t="shared" si="94"/>
        <v>202.23783851977691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0.74980422383132572</v>
      </c>
      <c r="CL86" s="21">
        <f>EXP(-LN(2)/25)*CL85+(1-EXP(-LN(2)/25))/(LN(2)/25)*Calculateur!CG86*Calculateur!CI86*VLOOKUP('Données projet'!$B$12,Paramètres!$A$1:$I$89,3,0)*0.475*44/12</f>
        <v>2.828474680489494</v>
      </c>
      <c r="CM86" s="21">
        <f>EXP(-LN(2)/2)*CM85+(1-EXP(-LN(2)/2))/(LN(2)/2)*CG86*CJ86*VLOOKUP('Données projet'!$B$12,Paramètres!$A$1:$I$89,3,0)*0.475*44/12</f>
        <v>1.9485129316622419E-7</v>
      </c>
      <c r="CN86" s="22">
        <f t="shared" si="66"/>
        <v>3.578279099172113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-5.1159076974727213E-13</v>
      </c>
      <c r="CU86" s="17">
        <f>CT86*VLOOKUP('Données projet'!$B$13,Paramètres!$A$1:$I$89,3,0)*VLOOKUP('Données projet'!$B$13,Paramètres!$A$1:$I$89,5,0)</f>
        <v>-3.4317508834647017E-13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207.93042467236967</v>
      </c>
      <c r="CZ86" s="59">
        <f t="shared" si="96"/>
        <v>250.70954318710835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0.96309394386321512</v>
      </c>
      <c r="DG86" s="21">
        <f>EXP(-LN(2)/25)*DG85+(1-EXP(-LN(2)/25))/(LN(2)/25)*Calculateur!DB86*Calculateur!DD86*VLOOKUP('Données projet'!$B$13,Paramètres!$A$1:$I$89,3,0)*0.475*44/12</f>
        <v>3.980005176434954</v>
      </c>
      <c r="DH86" s="21">
        <f>EXP(-LN(2)/2)*DH85+(1-EXP(-LN(2)/2))/(LN(2)/2)*DB86*DE86*VLOOKUP('Données projet'!$B$13,Paramètres!$A$1:$I$89,3,0)*0.475*44/12</f>
        <v>2.1356024512237069E-7</v>
      </c>
      <c r="DI86" s="22">
        <f t="shared" si="69"/>
        <v>4.9430993338584139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5.6843418860808015E-14</v>
      </c>
      <c r="DP86" s="17">
        <f>DO86*VLOOKUP('Données projet'!$B$14,Paramètres!$A$1:$I$89,3,0)*VLOOKUP('Données projet'!$B$14,Paramètres!$A$1:$I$89,5,0)</f>
        <v>3.813056537183002E-14</v>
      </c>
      <c r="DQ86" s="13">
        <f t="shared" si="97"/>
        <v>6.4086286045526829E-13</v>
      </c>
      <c r="DR86" s="20">
        <f t="shared" si="70"/>
        <v>1.1825802166488628E-12</v>
      </c>
      <c r="DS86" s="59">
        <f t="shared" si="71"/>
        <v>293.33333333333451</v>
      </c>
      <c r="DT86" s="59">
        <f ca="1">AVERAGE(OFFSET($DS$3,0,0,'Données projet'!$E$14+1,1))-AVERAGE(OFFSET($H$3,0,0,'Données projet'!$E$14+1,1))</f>
        <v>156.63226020379989</v>
      </c>
      <c r="DU86" s="59">
        <f t="shared" si="98"/>
        <v>196.0481096619543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1.9944976579863458</v>
      </c>
      <c r="EC86" s="21">
        <f>EXP(-LN(2)/2)*EC85+(1-EXP(-LN(2)/2))/(LN(2)/2)*DW86*DZ86*VLOOKUP('Données projet'!$B$14,Paramètres!$A$1:$I$89,3,0)*0.475*44/12</f>
        <v>9.5604549841315058E-8</v>
      </c>
      <c r="ED86" s="22">
        <f t="shared" si="72"/>
        <v>1.9944977535908957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5.5042735042735051</v>
      </c>
      <c r="EJ86" s="12">
        <f>IF('Données projet'!$A$192&gt;35,EJ85+EI86-ER85,IF(A86&lt;'Données projet'!$A$192,$EG$205^A86,IF(A86='Données projet'!$A$192,'Données projet'!$B$192,EJ85+EI86-ER85)))</f>
        <v>194.50213675213666</v>
      </c>
      <c r="EK86" s="17">
        <f>EJ86*VLOOKUP('Données projet'!$B$15,Paramètres!$A$1:$I$89,3,0)*VLOOKUP('Données projet'!$B$15,Paramètres!$A$1:$I$89,5,0)</f>
        <v>197.22516666666658</v>
      </c>
      <c r="EL86" s="13">
        <f t="shared" si="99"/>
        <v>49.133848364506264</v>
      </c>
      <c r="EM86" s="20">
        <f t="shared" si="73"/>
        <v>429.07528451262601</v>
      </c>
      <c r="EN86" s="59">
        <f t="shared" si="74"/>
        <v>722.40861784595927</v>
      </c>
      <c r="EO86" s="59">
        <f ca="1">AVERAGE(OFFSET($EN$3,0,0,'Données projet'!$E$15+1,1))-AVERAGE(OFFSET($H$3,0,0,'Données projet'!$E$15+1,1))</f>
        <v>190.21499310415584</v>
      </c>
      <c r="EP86" s="59">
        <f t="shared" si="100"/>
        <v>136.15730566500173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1.2374999999999985</v>
      </c>
      <c r="FE86" s="12">
        <f>IF('Données projet'!$A$218&gt;35,FE85+FD86-FM85,IF(A86&lt;'Données projet'!$A$218,$FB$205^A86,IF(A86='Données projet'!$A$218,'Données projet'!$B$218,FE85+FD86-FM85)))</f>
        <v>74.295833333333348</v>
      </c>
      <c r="FF86" s="17">
        <f>FE86*VLOOKUP('Données projet'!$B$16,Paramètres!$A$1:$I$89,3,0)*VLOOKUP('Données projet'!$B$16,Paramètres!$A$1:$I$89,5,0)</f>
        <v>85.588800000000006</v>
      </c>
      <c r="FG86" s="13">
        <f t="shared" si="101"/>
        <v>23.498258156672122</v>
      </c>
      <c r="FH86" s="20">
        <f t="shared" si="76"/>
        <v>189.99329295620396</v>
      </c>
      <c r="FI86" s="59">
        <f t="shared" si="77"/>
        <v>483.32662628953727</v>
      </c>
      <c r="FJ86" s="59">
        <f ca="1">AVERAGE(OFFSET($FI$3,0,0,'Données projet'!$E$16+1,1))-AVERAGE(OFFSET($H$3,0,0,'Données projet'!$E$16+1,1))</f>
        <v>14.847345852478327</v>
      </c>
      <c r="FK86" s="59">
        <f t="shared" si="102"/>
        <v>46.764428272166299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0.40828118059781415</v>
      </c>
      <c r="FS86" s="21">
        <f>EXP(-LN(2)/2)*FS85+(1-EXP(-LN(2)/2))/(LN(2)/2)*FM86*FP86*VLOOKUP('Données projet'!$B$16,Paramètres!$A$1:$I$89,3,0)*0.475*44/12</f>
        <v>2.0788885551880093E-8</v>
      </c>
      <c r="FT86" s="22">
        <f t="shared" si="78"/>
        <v>0.40828120138669971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7.4950142450142483</v>
      </c>
      <c r="N87" s="13">
        <f>IF('Données projet'!$A$36&gt;35,N86+M87-V86,IF(A87&lt;'Données projet'!$A$36,$K$205^A87,IF(A87='Données projet'!$A$36,'Données projet'!$B$36,N86+M87-V86)))</f>
        <v>258.38390313390317</v>
      </c>
      <c r="O87" s="13">
        <f>N87*VLOOKUP('Données projet'!$B$9,Paramètres!$A$1:$I$89,3,0)*VLOOKUP('Données projet'!$B$9,Paramètres!$A$1:$I$89,5,0)</f>
        <v>233.7857555555556</v>
      </c>
      <c r="P87" s="13">
        <f t="shared" si="87"/>
        <v>57.10047099813341</v>
      </c>
      <c r="Q87" s="20">
        <f t="shared" si="54"/>
        <v>506.62684458100836</v>
      </c>
      <c r="R87" s="59">
        <f t="shared" si="55"/>
        <v>799.96017791434167</v>
      </c>
      <c r="S87" s="59">
        <f ca="1">AVERAGE(OFFSET($R$3,0,0,'Données projet'!$E$9+1,1))-AVERAGE(OFFSET($H$3,0,0,'Données projet'!$E$9+1,1))</f>
        <v>221.7429870520005</v>
      </c>
      <c r="T87" s="59">
        <f t="shared" si="88"/>
        <v>182.2029938397186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-5.1159076974727213E-13</v>
      </c>
      <c r="AJ87" s="13">
        <f>AI87*VLOOKUP('Données projet'!$B$10,Paramètres!$A$1:$I$89,3,0)*VLOOKUP('Données projet'!$B$10,Paramètres!$A$1:$I$89,5,0)</f>
        <v>-4.0702161641092972E-13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260.20517190557814</v>
      </c>
      <c r="AO87" s="59">
        <f t="shared" si="90"/>
        <v>307.22009971147133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1.1198749119004974</v>
      </c>
      <c r="AV87" s="21">
        <f>EXP(-LN(2)/25)*AV86+(1-EXP(-LN(2)/25))/(LN(2)/25)*Calculateur!AQ87*Calculateur!AS87*VLOOKUP('Données projet'!$B$10,Paramètres!$A$1:$I$89,3,0)*0.475*44/12</f>
        <v>4.5913897210438126</v>
      </c>
      <c r="AW87" s="21">
        <f>EXP(-LN(2)/2)*AW86+(1-EXP(-LN(2)/2))/(LN(2)/2)*AQ87*AT87*VLOOKUP('Données projet'!$B$10,Paramètres!$A$1:$I$89,3,0)*0.475*44/12</f>
        <v>1.7910476217238073E-7</v>
      </c>
      <c r="AX87" s="21">
        <f t="shared" si="60"/>
        <v>5.7112648120490723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12.5</v>
      </c>
      <c r="BD87" s="12">
        <f>IF('Données projet'!$A$88&gt;35,BD86+BC87-BL86,IF(A87&lt;'Données projet'!$A$88,$BA$205^A87,IF(A87='Données projet'!$A$88,'Données projet'!$B$88,BD86+BC87-BL86)))</f>
        <v>561.99999999999955</v>
      </c>
      <c r="BE87" s="13">
        <f>BD87*VLOOKUP('Données projet'!$B$11,Paramètres!$A$1:$I$89,3,0)*VLOOKUP('Données projet'!$B$11,Paramètres!$A$1:$I$89,5,0)</f>
        <v>336.07599999999979</v>
      </c>
      <c r="BF87" s="13">
        <f t="shared" si="91"/>
        <v>78.688676264452241</v>
      </c>
      <c r="BG87" s="20">
        <f t="shared" si="61"/>
        <v>722.38181116058729</v>
      </c>
      <c r="BH87" s="59">
        <f t="shared" si="62"/>
        <v>1015.7151444939207</v>
      </c>
      <c r="BI87" s="59">
        <f ca="1">AVERAGE(OFFSET($BH$3,0,0,'Données projet'!$E$11+1,1))-AVERAGE(OFFSET($H$3,0,0,'Données projet'!$E$11+1,1))</f>
        <v>316.58509520829671</v>
      </c>
      <c r="BJ87" s="59">
        <f t="shared" si="92"/>
        <v>240.71332110643596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0.86986954073260414</v>
      </c>
      <c r="BQ87" s="21">
        <f>EXP(-LN(2)/25)*BQ86+(1-EXP(-LN(2)/25))/(LN(2)/25)*Calculateur!BL87*Calculateur!BN87*VLOOKUP('Données projet'!$B$11,Paramètres!$A$1:$I$89,3,0)*0.475*44/12</f>
        <v>3.4162942990060281</v>
      </c>
      <c r="BR87" s="21">
        <f>EXP(-LN(2)/2)*BR86+(1-EXP(-LN(2)/2))/(LN(2)/2)*BL87*BO87*VLOOKUP('Données projet'!$B$11,Paramètres!$A$1:$I$89,3,0)*0.475*44/12</f>
        <v>1.6346084378764688E-7</v>
      </c>
      <c r="BS87" s="22">
        <f t="shared" si="63"/>
        <v>4.2861640031994765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10.8</v>
      </c>
      <c r="BY87" s="12">
        <f>IF('Données projet'!$A$114&gt;35,BY86+BX87-CG86,IF(A87&lt;'Données projet'!$A$114,$BV$205^A87,IF(A87='Données projet'!$A$114,'Données projet'!$B$114,BY86+BX87-CG86)))</f>
        <v>502.20000000000022</v>
      </c>
      <c r="BZ87" s="13">
        <f>BY87*VLOOKUP('Données projet'!$B$12,Paramètres!$A$1:$I$89,3,0)*VLOOKUP('Données projet'!$B$12,Paramètres!$A$1:$I$89,5,0)</f>
        <v>300.31560000000013</v>
      </c>
      <c r="CA87" s="13">
        <f t="shared" si="93"/>
        <v>71.242621308749136</v>
      </c>
      <c r="CB87" s="20">
        <f t="shared" si="64"/>
        <v>647.13056877940483</v>
      </c>
      <c r="CC87" s="59">
        <f t="shared" si="65"/>
        <v>940.4639021127382</v>
      </c>
      <c r="CD87" s="59">
        <f ca="1">AVERAGE(OFFSET($CC$3,0,0,'Données projet'!$E$12+1,1))-AVERAGE(OFFSET($H$3,0,0,'Données projet'!$E$12+1,1))</f>
        <v>270.30888762640245</v>
      </c>
      <c r="CE87" s="59">
        <f t="shared" si="94"/>
        <v>202.23783851977691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0.73510102033741187</v>
      </c>
      <c r="CL87" s="21">
        <f>EXP(-LN(2)/25)*CL86+(1-EXP(-LN(2)/25))/(LN(2)/25)*Calculateur!CG87*Calculateur!CI87*VLOOKUP('Données projet'!$B$12,Paramètres!$A$1:$I$89,3,0)*0.475*44/12</f>
        <v>2.7511298916084899</v>
      </c>
      <c r="CM87" s="21">
        <f>EXP(-LN(2)/2)*CM86+(1-EXP(-LN(2)/2))/(LN(2)/2)*CG87*CJ87*VLOOKUP('Données projet'!$B$12,Paramètres!$A$1:$I$89,3,0)*0.475*44/12</f>
        <v>1.3778067072080511E-7</v>
      </c>
      <c r="CN87" s="22">
        <f t="shared" si="66"/>
        <v>3.4862310497265727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-5.1159076974727213E-13</v>
      </c>
      <c r="CU87" s="17">
        <f>CT87*VLOOKUP('Données projet'!$B$13,Paramètres!$A$1:$I$89,3,0)*VLOOKUP('Données projet'!$B$13,Paramètres!$A$1:$I$89,5,0)</f>
        <v>-3.4317508834647017E-13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207.93042467236967</v>
      </c>
      <c r="CZ87" s="59">
        <f t="shared" si="96"/>
        <v>250.70954318710835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0.94420825905335937</v>
      </c>
      <c r="DG87" s="21">
        <f>EXP(-LN(2)/25)*DG86+(1-EXP(-LN(2)/25))/(LN(2)/25)*Calculateur!DB87*Calculateur!DD87*VLOOKUP('Données projet'!$B$13,Paramètres!$A$1:$I$89,3,0)*0.475*44/12</f>
        <v>3.8711717255859646</v>
      </c>
      <c r="DH87" s="21">
        <f>EXP(-LN(2)/2)*DH86+(1-EXP(-LN(2)/2))/(LN(2)/2)*DB87*DE87*VLOOKUP('Données projet'!$B$13,Paramètres!$A$1:$I$89,3,0)*0.475*44/12</f>
        <v>1.5100989751788963E-7</v>
      </c>
      <c r="DI87" s="22">
        <f t="shared" si="69"/>
        <v>4.8153801356492218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5.6843418860808015E-14</v>
      </c>
      <c r="DP87" s="17">
        <f>DO87*VLOOKUP('Données projet'!$B$14,Paramètres!$A$1:$I$89,3,0)*VLOOKUP('Données projet'!$B$14,Paramètres!$A$1:$I$89,5,0)</f>
        <v>3.813056537183002E-14</v>
      </c>
      <c r="DQ87" s="13">
        <f t="shared" si="97"/>
        <v>6.4086286045526829E-13</v>
      </c>
      <c r="DR87" s="20">
        <f t="shared" si="70"/>
        <v>1.1825802166488628E-12</v>
      </c>
      <c r="DS87" s="59">
        <f t="shared" si="71"/>
        <v>293.33333333333451</v>
      </c>
      <c r="DT87" s="59">
        <f ca="1">AVERAGE(OFFSET($DS$3,0,0,'Données projet'!$E$14+1,1))-AVERAGE(OFFSET($H$3,0,0,'Données projet'!$E$14+1,1))</f>
        <v>156.63226020379989</v>
      </c>
      <c r="DU87" s="59">
        <f t="shared" si="98"/>
        <v>196.0481096619543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1.9399580146426358</v>
      </c>
      <c r="EC87" s="21">
        <f>EXP(-LN(2)/2)*EC86+(1-EXP(-LN(2)/2))/(LN(2)/2)*DW87*DZ87*VLOOKUP('Données projet'!$B$14,Paramètres!$A$1:$I$89,3,0)*0.475*44/12</f>
        <v>6.7602625505081144E-8</v>
      </c>
      <c r="ED87" s="22">
        <f t="shared" si="72"/>
        <v>1.9399580822452613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>
        <f>VLOOKUP(A87,'Données projet'!$A$191:$I$211,2,0)</f>
        <v>200.00641025641025</v>
      </c>
      <c r="EH87" s="12">
        <f>VLOOKUP(A87,'Données projet'!$A$191:$I$211,9,0)</f>
        <v>5.5042735042735051</v>
      </c>
      <c r="EI87" s="12">
        <f t="array" ref="EI87">INDEX(EH:EH,MIN(IF(ISNUMBER(EH87:EH283),ROW(EH87:EH283),"")))</f>
        <v>5.5042735042735051</v>
      </c>
      <c r="EJ87" s="12">
        <f>IF('Données projet'!$A$192&gt;35,EJ86+EI87-ER86,IF(A87&lt;'Données projet'!$A$192,$EG$205^A87,IF(A87='Données projet'!$A$192,'Données projet'!$B$192,EJ86+EI87-ER86)))</f>
        <v>200.00641025641016</v>
      </c>
      <c r="EK87" s="17">
        <f>EJ87*VLOOKUP('Données projet'!$B$15,Paramètres!$A$1:$I$89,3,0)*VLOOKUP('Données projet'!$B$15,Paramètres!$A$1:$I$89,5,0)</f>
        <v>202.80649999999991</v>
      </c>
      <c r="EL87" s="13">
        <f t="shared" si="99"/>
        <v>50.360450370083477</v>
      </c>
      <c r="EM87" s="20">
        <f t="shared" si="73"/>
        <v>440.93243856122854</v>
      </c>
      <c r="EN87" s="59">
        <f t="shared" si="74"/>
        <v>734.26577189456179</v>
      </c>
      <c r="EO87" s="59">
        <f ca="1">AVERAGE(OFFSET($EN$3,0,0,'Données projet'!$E$15+1,1))-AVERAGE(OFFSET($H$3,0,0,'Données projet'!$E$15+1,1))</f>
        <v>190.21499310415584</v>
      </c>
      <c r="EP87" s="59">
        <f t="shared" si="100"/>
        <v>136.15730566500173</v>
      </c>
      <c r="EQ87" s="15">
        <f>IF(ISNA(VLOOKUP(A87,'Données projet'!$A$191:$I$211,3,0)),0,VLOOKUP(A87,'Données projet'!$A$191:$I$211,3,0))</f>
        <v>6</v>
      </c>
      <c r="ER87" s="15">
        <f>IF(ISNA(VLOOKUP(A87,'Données projet'!$A$191:$I$211,4,0)),0,VLOOKUP(A87,'Données projet'!$A$191:$I$211,4,0))</f>
        <v>35.083333333333329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1.2374999999999985</v>
      </c>
      <c r="FE87" s="12">
        <f>IF('Données projet'!$A$218&gt;35,FE86+FD87-FM86,IF(A87&lt;'Données projet'!$A$218,$FB$205^A87,IF(A87='Données projet'!$A$218,'Données projet'!$B$218,FE86+FD87-FM86)))</f>
        <v>75.533333333333346</v>
      </c>
      <c r="FF87" s="17">
        <f>FE87*VLOOKUP('Données projet'!$B$16,Paramètres!$A$1:$I$89,3,0)*VLOOKUP('Données projet'!$B$16,Paramètres!$A$1:$I$89,5,0)</f>
        <v>87.014400000000009</v>
      </c>
      <c r="FG87" s="13">
        <f t="shared" si="101"/>
        <v>23.843762496291962</v>
      </c>
      <c r="FH87" s="20">
        <f t="shared" si="76"/>
        <v>193.0779663477085</v>
      </c>
      <c r="FI87" s="59">
        <f t="shared" si="77"/>
        <v>486.41129968104178</v>
      </c>
      <c r="FJ87" s="59">
        <f ca="1">AVERAGE(OFFSET($FI$3,0,0,'Données projet'!$E$16+1,1))-AVERAGE(OFFSET($H$3,0,0,'Données projet'!$E$16+1,1))</f>
        <v>14.847345852478327</v>
      </c>
      <c r="FK87" s="59">
        <f t="shared" si="102"/>
        <v>46.764428272166299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0.3971167102437928</v>
      </c>
      <c r="FS87" s="21">
        <f>EXP(-LN(2)/2)*FS86+(1-EXP(-LN(2)/2))/(LN(2)/2)*FM87*FP87*VLOOKUP('Données projet'!$B$16,Paramètres!$A$1:$I$89,3,0)*0.475*44/12</f>
        <v>1.4699961947045458E-8</v>
      </c>
      <c r="FT87" s="22">
        <f t="shared" si="78"/>
        <v>0.39711672494375477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7.4950142450142483</v>
      </c>
      <c r="N88" s="13">
        <f>IF('Données projet'!$A$36&gt;35,N87+M88-V87,IF(A88&lt;'Données projet'!$A$36,$K$205^A88,IF(A88='Données projet'!$A$36,'Données projet'!$B$36,N87+M88-V87)))</f>
        <v>265.87891737891744</v>
      </c>
      <c r="O88" s="13">
        <f>N88*VLOOKUP('Données projet'!$B$9,Paramètres!$A$1:$I$89,3,0)*VLOOKUP('Données projet'!$B$9,Paramètres!$A$1:$I$89,5,0)</f>
        <v>240.5672444444445</v>
      </c>
      <c r="P88" s="13">
        <f t="shared" si="87"/>
        <v>58.5615591142816</v>
      </c>
      <c r="Q88" s="20">
        <f t="shared" si="54"/>
        <v>520.98266619811454</v>
      </c>
      <c r="R88" s="59">
        <f t="shared" si="55"/>
        <v>814.31599953144791</v>
      </c>
      <c r="S88" s="59">
        <f ca="1">AVERAGE(OFFSET($R$3,0,0,'Données projet'!$E$9+1,1))-AVERAGE(OFFSET($H$3,0,0,'Données projet'!$E$9+1,1))</f>
        <v>221.7429870520005</v>
      </c>
      <c r="T88" s="59">
        <f t="shared" si="88"/>
        <v>182.2029938397186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-5.1159076974727213E-13</v>
      </c>
      <c r="AJ88" s="13">
        <f>AI88*VLOOKUP('Données projet'!$B$10,Paramètres!$A$1:$I$89,3,0)*VLOOKUP('Données projet'!$B$10,Paramètres!$A$1:$I$89,5,0)</f>
        <v>-4.0702161641092972E-13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260.20517190557814</v>
      </c>
      <c r="AO88" s="59">
        <f t="shared" si="90"/>
        <v>307.22009971147133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1.0979148479343788</v>
      </c>
      <c r="AV88" s="21">
        <f>EXP(-LN(2)/25)*AV87+(1-EXP(-LN(2)/25))/(LN(2)/25)*Calculateur!AQ88*Calculateur!AS88*VLOOKUP('Données projet'!$B$10,Paramètres!$A$1:$I$89,3,0)*0.475*44/12</f>
        <v>4.4658379276711777</v>
      </c>
      <c r="AW88" s="21">
        <f>EXP(-LN(2)/2)*AW87+(1-EXP(-LN(2)/2))/(LN(2)/2)*AQ88*AT88*VLOOKUP('Données projet'!$B$10,Paramètres!$A$1:$I$89,3,0)*0.475*44/12</f>
        <v>1.2664619187489426E-7</v>
      </c>
      <c r="AX88" s="21">
        <f t="shared" si="60"/>
        <v>5.5637529022517489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12.5</v>
      </c>
      <c r="BD88" s="12">
        <f>IF('Données projet'!$A$88&gt;35,BD87+BC88-BL87,IF(A88&lt;'Données projet'!$A$88,$BA$205^A88,IF(A88='Données projet'!$A$88,'Données projet'!$B$88,BD87+BC88-BL87)))</f>
        <v>574.49999999999955</v>
      </c>
      <c r="BE88" s="13">
        <f>BD88*VLOOKUP('Données projet'!$B$11,Paramètres!$A$1:$I$89,3,0)*VLOOKUP('Données projet'!$B$11,Paramètres!$A$1:$I$89,5,0)</f>
        <v>343.55099999999976</v>
      </c>
      <c r="BF88" s="13">
        <f t="shared" si="91"/>
        <v>80.233161275191421</v>
      </c>
      <c r="BG88" s="20">
        <f t="shared" si="61"/>
        <v>738.09074755429128</v>
      </c>
      <c r="BH88" s="59">
        <f t="shared" si="62"/>
        <v>1031.4240808876245</v>
      </c>
      <c r="BI88" s="59">
        <f ca="1">AVERAGE(OFFSET($BH$3,0,0,'Données projet'!$E$11+1,1))-AVERAGE(OFFSET($H$3,0,0,'Données projet'!$E$11+1,1))</f>
        <v>316.58509520829671</v>
      </c>
      <c r="BJ88" s="59">
        <f t="shared" si="92"/>
        <v>240.71332110643596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0.85281192960686836</v>
      </c>
      <c r="BQ88" s="21">
        <f>EXP(-LN(2)/25)*BQ87+(1-EXP(-LN(2)/25))/(LN(2)/25)*Calculateur!BL88*Calculateur!BN88*VLOOKUP('Données projet'!$B$11,Paramètres!$A$1:$I$89,3,0)*0.475*44/12</f>
        <v>3.3228755517445991</v>
      </c>
      <c r="BR88" s="21">
        <f>EXP(-LN(2)/2)*BR87+(1-EXP(-LN(2)/2))/(LN(2)/2)*BL88*BO88*VLOOKUP('Données projet'!$B$11,Paramètres!$A$1:$I$89,3,0)*0.475*44/12</f>
        <v>1.1558427110072005E-7</v>
      </c>
      <c r="BS88" s="22">
        <f t="shared" si="63"/>
        <v>4.1756875969357381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10.8</v>
      </c>
      <c r="BY88" s="12">
        <f>IF('Données projet'!$A$114&gt;35,BY87+BX88-CG87,IF(A88&lt;'Données projet'!$A$114,$BV$205^A88,IF(A88='Données projet'!$A$114,'Données projet'!$B$114,BY87+BX88-CG87)))</f>
        <v>513.00000000000023</v>
      </c>
      <c r="BZ88" s="13">
        <f>BY88*VLOOKUP('Données projet'!$B$12,Paramètres!$A$1:$I$89,3,0)*VLOOKUP('Données projet'!$B$12,Paramètres!$A$1:$I$89,5,0)</f>
        <v>306.77400000000017</v>
      </c>
      <c r="CA88" s="13">
        <f t="shared" si="93"/>
        <v>72.594703343999115</v>
      </c>
      <c r="CB88" s="20">
        <f t="shared" si="64"/>
        <v>660.73382499079878</v>
      </c>
      <c r="CC88" s="59">
        <f t="shared" si="65"/>
        <v>954.06715832413215</v>
      </c>
      <c r="CD88" s="59">
        <f ca="1">AVERAGE(OFFSET($CC$3,0,0,'Données projet'!$E$12+1,1))-AVERAGE(OFFSET($H$3,0,0,'Données projet'!$E$12+1,1))</f>
        <v>270.30888762640245</v>
      </c>
      <c r="CE88" s="59">
        <f t="shared" si="94"/>
        <v>202.23783851977691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0.72068613769594503</v>
      </c>
      <c r="CL88" s="21">
        <f>EXP(-LN(2)/25)*CL87+(1-EXP(-LN(2)/25))/(LN(2)/25)*Calculateur!CG88*Calculateur!CI88*VLOOKUP('Données projet'!$B$12,Paramètres!$A$1:$I$89,3,0)*0.475*44/12</f>
        <v>2.6759001000468223</v>
      </c>
      <c r="CM88" s="21">
        <f>EXP(-LN(2)/2)*CM87+(1-EXP(-LN(2)/2))/(LN(2)/2)*CG88*CJ88*VLOOKUP('Données projet'!$B$12,Paramètres!$A$1:$I$89,3,0)*0.475*44/12</f>
        <v>9.7425646583112094E-8</v>
      </c>
      <c r="CN88" s="22">
        <f t="shared" si="66"/>
        <v>3.396586335168414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-5.1159076974727213E-13</v>
      </c>
      <c r="CU88" s="17">
        <f>CT88*VLOOKUP('Données projet'!$B$13,Paramètres!$A$1:$I$89,3,0)*VLOOKUP('Données projet'!$B$13,Paramètres!$A$1:$I$89,5,0)</f>
        <v>-3.4317508834647017E-13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207.93042467236967</v>
      </c>
      <c r="CZ88" s="59">
        <f t="shared" si="96"/>
        <v>250.70954318710835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0.9256929110034946</v>
      </c>
      <c r="DG88" s="21">
        <f>EXP(-LN(2)/25)*DG87+(1-EXP(-LN(2)/25))/(LN(2)/25)*Calculateur!DB88*Calculateur!DD88*VLOOKUP('Données projet'!$B$13,Paramètres!$A$1:$I$89,3,0)*0.475*44/12</f>
        <v>3.7653143311737431</v>
      </c>
      <c r="DH88" s="21">
        <f>EXP(-LN(2)/2)*DH87+(1-EXP(-LN(2)/2))/(LN(2)/2)*DB88*DE88*VLOOKUP('Données projet'!$B$13,Paramètres!$A$1:$I$89,3,0)*0.475*44/12</f>
        <v>1.0678012256118535E-7</v>
      </c>
      <c r="DI88" s="22">
        <f t="shared" si="69"/>
        <v>4.6910073489573598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5.6843418860808015E-14</v>
      </c>
      <c r="DP88" s="17">
        <f>DO88*VLOOKUP('Données projet'!$B$14,Paramètres!$A$1:$I$89,3,0)*VLOOKUP('Données projet'!$B$14,Paramètres!$A$1:$I$89,5,0)</f>
        <v>3.813056537183002E-14</v>
      </c>
      <c r="DQ88" s="13">
        <f t="shared" si="97"/>
        <v>6.4086286045526829E-13</v>
      </c>
      <c r="DR88" s="20">
        <f t="shared" si="70"/>
        <v>1.1825802166488628E-12</v>
      </c>
      <c r="DS88" s="59">
        <f t="shared" si="71"/>
        <v>293.33333333333451</v>
      </c>
      <c r="DT88" s="59">
        <f ca="1">AVERAGE(OFFSET($DS$3,0,0,'Données projet'!$E$14+1,1))-AVERAGE(OFFSET($H$3,0,0,'Données projet'!$E$14+1,1))</f>
        <v>156.63226020379989</v>
      </c>
      <c r="DU88" s="59">
        <f t="shared" si="98"/>
        <v>196.0481096619543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1.8869097607142749</v>
      </c>
      <c r="EC88" s="21">
        <f>EXP(-LN(2)/2)*EC87+(1-EXP(-LN(2)/2))/(LN(2)/2)*DW88*DZ88*VLOOKUP('Données projet'!$B$14,Paramètres!$A$1:$I$89,3,0)*0.475*44/12</f>
        <v>4.7802274920657529E-8</v>
      </c>
      <c r="ED88" s="22">
        <f t="shared" si="72"/>
        <v>1.8869098085165499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5.2606837606837598</v>
      </c>
      <c r="EJ88" s="12">
        <f>IF('Données projet'!$A$192&gt;35,EJ87+EI88-ER87,IF(A88&lt;'Données projet'!$A$192,$EG$205^A88,IF(A88='Données projet'!$A$192,'Données projet'!$B$192,EJ87+EI88-ER87)))</f>
        <v>170.18376068376057</v>
      </c>
      <c r="EK88" s="17">
        <f>EJ88*VLOOKUP('Données projet'!$B$15,Paramètres!$A$1:$I$89,3,0)*VLOOKUP('Données projet'!$B$15,Paramètres!$A$1:$I$89,5,0)</f>
        <v>172.56633333333323</v>
      </c>
      <c r="EL88" s="13">
        <f t="shared" si="99"/>
        <v>43.664294704622499</v>
      </c>
      <c r="EM88" s="20">
        <f t="shared" si="73"/>
        <v>376.60167716610619</v>
      </c>
      <c r="EN88" s="59">
        <f t="shared" si="74"/>
        <v>669.9350104994395</v>
      </c>
      <c r="EO88" s="59">
        <f ca="1">AVERAGE(OFFSET($EN$3,0,0,'Données projet'!$E$15+1,1))-AVERAGE(OFFSET($H$3,0,0,'Données projet'!$E$15+1,1))</f>
        <v>190.21499310415584</v>
      </c>
      <c r="EP88" s="59">
        <f t="shared" si="100"/>
        <v>136.15730566500173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1.2374999999999985</v>
      </c>
      <c r="FE88" s="12">
        <f>IF('Données projet'!$A$218&gt;35,FE87+FD88-FM87,IF(A88&lt;'Données projet'!$A$218,$FB$205^A88,IF(A88='Données projet'!$A$218,'Données projet'!$B$218,FE87+FD88-FM87)))</f>
        <v>76.770833333333343</v>
      </c>
      <c r="FF88" s="17">
        <f>FE88*VLOOKUP('Données projet'!$B$16,Paramètres!$A$1:$I$89,3,0)*VLOOKUP('Données projet'!$B$16,Paramètres!$A$1:$I$89,5,0)</f>
        <v>88.44</v>
      </c>
      <c r="FG88" s="13">
        <f t="shared" si="101"/>
        <v>24.188608542447859</v>
      </c>
      <c r="FH88" s="20">
        <f t="shared" si="76"/>
        <v>196.16149321143004</v>
      </c>
      <c r="FI88" s="59">
        <f t="shared" si="77"/>
        <v>489.49482654476333</v>
      </c>
      <c r="FJ88" s="59">
        <f ca="1">AVERAGE(OFFSET($FI$3,0,0,'Données projet'!$E$16+1,1))-AVERAGE(OFFSET($H$3,0,0,'Données projet'!$E$16+1,1))</f>
        <v>14.847345852478327</v>
      </c>
      <c r="FK88" s="59">
        <f t="shared" si="102"/>
        <v>46.764428272166299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0.38625753291871612</v>
      </c>
      <c r="FS88" s="21">
        <f>EXP(-LN(2)/2)*FS87+(1-EXP(-LN(2)/2))/(LN(2)/2)*FM88*FP88*VLOOKUP('Données projet'!$B$16,Paramètres!$A$1:$I$89,3,0)*0.475*44/12</f>
        <v>1.0394442775940048E-8</v>
      </c>
      <c r="FT88" s="22">
        <f t="shared" si="78"/>
        <v>0.38625754331315887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7.4950142450142483</v>
      </c>
      <c r="N89" s="13">
        <f>IF('Données projet'!$A$36&gt;35,N88+M89-V88,IF(A89&lt;'Données projet'!$A$36,$K$205^A89,IF(A89='Données projet'!$A$36,'Données projet'!$B$36,N88+M89-V88)))</f>
        <v>273.3739316239317</v>
      </c>
      <c r="O89" s="13">
        <f>N89*VLOOKUP('Données projet'!$B$9,Paramètres!$A$1:$I$89,3,0)*VLOOKUP('Données projet'!$B$9,Paramètres!$A$1:$I$89,5,0)</f>
        <v>247.3487333333334</v>
      </c>
      <c r="P89" s="13">
        <f t="shared" si="87"/>
        <v>60.017860197565874</v>
      </c>
      <c r="Q89" s="20">
        <f t="shared" si="54"/>
        <v>535.33015039964948</v>
      </c>
      <c r="R89" s="59">
        <f t="shared" si="55"/>
        <v>828.66348373298274</v>
      </c>
      <c r="S89" s="59">
        <f ca="1">AVERAGE(OFFSET($R$3,0,0,'Données projet'!$E$9+1,1))-AVERAGE(OFFSET($H$3,0,0,'Données projet'!$E$9+1,1))</f>
        <v>221.7429870520005</v>
      </c>
      <c r="T89" s="59">
        <f t="shared" si="88"/>
        <v>182.2029938397186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-5.1159076974727213E-13</v>
      </c>
      <c r="AJ89" s="13">
        <f>AI89*VLOOKUP('Données projet'!$B$10,Paramètres!$A$1:$I$89,3,0)*VLOOKUP('Données projet'!$B$10,Paramètres!$A$1:$I$89,5,0)</f>
        <v>-4.0702161641092972E-13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260.20517190557814</v>
      </c>
      <c r="AO89" s="59">
        <f t="shared" si="90"/>
        <v>307.22009971147133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1.0763854074283192</v>
      </c>
      <c r="AV89" s="21">
        <f>EXP(-LN(2)/25)*AV88+(1-EXP(-LN(2)/25))/(LN(2)/25)*Calculateur!AQ89*Calculateur!AS89*VLOOKUP('Données projet'!$B$10,Paramètres!$A$1:$I$89,3,0)*0.475*44/12</f>
        <v>4.3437193546907995</v>
      </c>
      <c r="AW89" s="21">
        <f>EXP(-LN(2)/2)*AW88+(1-EXP(-LN(2)/2))/(LN(2)/2)*AQ89*AT89*VLOOKUP('Données projet'!$B$10,Paramètres!$A$1:$I$89,3,0)*0.475*44/12</f>
        <v>8.9552381086190366E-8</v>
      </c>
      <c r="AX89" s="21">
        <f t="shared" si="60"/>
        <v>5.4201048516714998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12.5</v>
      </c>
      <c r="BD89" s="12">
        <f>IF('Données projet'!$A$88&gt;35,BD88+BC89-BL88,IF(A89&lt;'Données projet'!$A$88,$BA$205^A89,IF(A89='Données projet'!$A$88,'Données projet'!$B$88,BD88+BC89-BL88)))</f>
        <v>586.99999999999955</v>
      </c>
      <c r="BE89" s="13">
        <f>BD89*VLOOKUP('Données projet'!$B$11,Paramètres!$A$1:$I$89,3,0)*VLOOKUP('Données projet'!$B$11,Paramètres!$A$1:$I$89,5,0)</f>
        <v>351.02599999999978</v>
      </c>
      <c r="BF89" s="13">
        <f t="shared" si="91"/>
        <v>81.773739289271361</v>
      </c>
      <c r="BG89" s="20">
        <f t="shared" si="61"/>
        <v>753.79287926214727</v>
      </c>
      <c r="BH89" s="59">
        <f t="shared" si="62"/>
        <v>1047.1262125954806</v>
      </c>
      <c r="BI89" s="59">
        <f ca="1">AVERAGE(OFFSET($BH$3,0,0,'Données projet'!$E$11+1,1))-AVERAGE(OFFSET($H$3,0,0,'Données projet'!$E$11+1,1))</f>
        <v>316.58509520829671</v>
      </c>
      <c r="BJ89" s="59">
        <f t="shared" si="92"/>
        <v>240.71332110643596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0.83608880783119277</v>
      </c>
      <c r="BQ89" s="21">
        <f>EXP(-LN(2)/25)*BQ88+(1-EXP(-LN(2)/25))/(LN(2)/25)*Calculateur!BL89*Calculateur!BN89*VLOOKUP('Données projet'!$B$11,Paramètres!$A$1:$I$89,3,0)*0.475*44/12</f>
        <v>3.2320113450397123</v>
      </c>
      <c r="BR89" s="21">
        <f>EXP(-LN(2)/2)*BR88+(1-EXP(-LN(2)/2))/(LN(2)/2)*BL89*BO89*VLOOKUP('Données projet'!$B$11,Paramètres!$A$1:$I$89,3,0)*0.475*44/12</f>
        <v>8.1730421893823454E-8</v>
      </c>
      <c r="BS89" s="22">
        <f t="shared" si="63"/>
        <v>4.0681002346013262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10.8</v>
      </c>
      <c r="BY89" s="12">
        <f>IF('Données projet'!$A$114&gt;35,BY88+BX89-CG88,IF(A89&lt;'Données projet'!$A$114,$BV$205^A89,IF(A89='Données projet'!$A$114,'Données projet'!$B$114,BY88+BX89-CG88)))</f>
        <v>523.80000000000018</v>
      </c>
      <c r="BZ89" s="13">
        <f>BY89*VLOOKUP('Données projet'!$B$12,Paramètres!$A$1:$I$89,3,0)*VLOOKUP('Données projet'!$B$12,Paramètres!$A$1:$I$89,5,0)</f>
        <v>313.23240000000015</v>
      </c>
      <c r="CA89" s="13">
        <f t="shared" si="93"/>
        <v>73.94347586459719</v>
      </c>
      <c r="CB89" s="20">
        <f t="shared" si="64"/>
        <v>674.33131713084038</v>
      </c>
      <c r="CC89" s="59">
        <f t="shared" si="65"/>
        <v>967.66465046417375</v>
      </c>
      <c r="CD89" s="59">
        <f ca="1">AVERAGE(OFFSET($CC$3,0,0,'Données projet'!$E$12+1,1))-AVERAGE(OFFSET($H$3,0,0,'Données projet'!$E$12+1,1))</f>
        <v>270.30888762640245</v>
      </c>
      <c r="CE89" s="59">
        <f t="shared" si="94"/>
        <v>202.23783851977691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0.70655392211086709</v>
      </c>
      <c r="CL89" s="21">
        <f>EXP(-LN(2)/25)*CL88+(1-EXP(-LN(2)/25))/(LN(2)/25)*Calculateur!CG89*Calculateur!CI89*VLOOKUP('Données projet'!$B$12,Paramètres!$A$1:$I$89,3,0)*0.475*44/12</f>
        <v>2.6027274710915718</v>
      </c>
      <c r="CM89" s="21">
        <f>EXP(-LN(2)/2)*CM88+(1-EXP(-LN(2)/2))/(LN(2)/2)*CG89*CJ89*VLOOKUP('Données projet'!$B$12,Paramètres!$A$1:$I$89,3,0)*0.475*44/12</f>
        <v>6.8890335360402554E-8</v>
      </c>
      <c r="CN89" s="22">
        <f t="shared" si="66"/>
        <v>3.3092814620927742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-5.1159076974727213E-13</v>
      </c>
      <c r="CU89" s="17">
        <f>CT89*VLOOKUP('Données projet'!$B$13,Paramètres!$A$1:$I$89,3,0)*VLOOKUP('Données projet'!$B$13,Paramètres!$A$1:$I$89,5,0)</f>
        <v>-3.4317508834647017E-13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207.93042467236967</v>
      </c>
      <c r="CZ89" s="59">
        <f t="shared" si="96"/>
        <v>250.70954318710835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0.90754063763564052</v>
      </c>
      <c r="DG89" s="21">
        <f>EXP(-LN(2)/25)*DG88+(1-EXP(-LN(2)/25))/(LN(2)/25)*Calculateur!DB89*Calculateur!DD89*VLOOKUP('Données projet'!$B$13,Paramètres!$A$1:$I$89,3,0)*0.475*44/12</f>
        <v>3.6623516127785223</v>
      </c>
      <c r="DH89" s="21">
        <f>EXP(-LN(2)/2)*DH88+(1-EXP(-LN(2)/2))/(LN(2)/2)*DB89*DE89*VLOOKUP('Données projet'!$B$13,Paramètres!$A$1:$I$89,3,0)*0.475*44/12</f>
        <v>7.5504948758944813E-8</v>
      </c>
      <c r="DI89" s="22">
        <f t="shared" si="69"/>
        <v>4.5698923259191115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5.6843418860808015E-14</v>
      </c>
      <c r="DP89" s="17">
        <f>DO89*VLOOKUP('Données projet'!$B$14,Paramètres!$A$1:$I$89,3,0)*VLOOKUP('Données projet'!$B$14,Paramètres!$A$1:$I$89,5,0)</f>
        <v>3.813056537183002E-14</v>
      </c>
      <c r="DQ89" s="13">
        <f t="shared" si="97"/>
        <v>6.4086286045526829E-13</v>
      </c>
      <c r="DR89" s="20">
        <f t="shared" si="70"/>
        <v>1.1825802166488628E-12</v>
      </c>
      <c r="DS89" s="59">
        <f t="shared" si="71"/>
        <v>293.33333333333451</v>
      </c>
      <c r="DT89" s="59">
        <f ca="1">AVERAGE(OFFSET($DS$3,0,0,'Données projet'!$E$14+1,1))-AVERAGE(OFFSET($H$3,0,0,'Données projet'!$E$14+1,1))</f>
        <v>156.63226020379989</v>
      </c>
      <c r="DU89" s="59">
        <f t="shared" si="98"/>
        <v>196.0481096619543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1.8353121140792712</v>
      </c>
      <c r="EC89" s="21">
        <f>EXP(-LN(2)/2)*EC88+(1-EXP(-LN(2)/2))/(LN(2)/2)*DW89*DZ89*VLOOKUP('Données projet'!$B$14,Paramètres!$A$1:$I$89,3,0)*0.475*44/12</f>
        <v>3.3801312752540572E-8</v>
      </c>
      <c r="ED89" s="22">
        <f t="shared" si="72"/>
        <v>1.8353121478805841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5.2606837606837598</v>
      </c>
      <c r="EJ89" s="12">
        <f>IF('Données projet'!$A$192&gt;35,EJ88+EI89-ER88,IF(A89&lt;'Données projet'!$A$192,$EG$205^A89,IF(A89='Données projet'!$A$192,'Données projet'!$B$192,EJ88+EI89-ER88)))</f>
        <v>175.44444444444431</v>
      </c>
      <c r="EK89" s="17">
        <f>EJ89*VLOOKUP('Données projet'!$B$15,Paramètres!$A$1:$I$89,3,0)*VLOOKUP('Données projet'!$B$15,Paramètres!$A$1:$I$89,5,0)</f>
        <v>177.90066666666655</v>
      </c>
      <c r="EL89" s="13">
        <f t="shared" si="99"/>
        <v>44.854804758185892</v>
      </c>
      <c r="EM89" s="20">
        <f t="shared" si="73"/>
        <v>387.96577939828467</v>
      </c>
      <c r="EN89" s="59">
        <f t="shared" si="74"/>
        <v>681.29911273161792</v>
      </c>
      <c r="EO89" s="59">
        <f ca="1">AVERAGE(OFFSET($EN$3,0,0,'Données projet'!$E$15+1,1))-AVERAGE(OFFSET($H$3,0,0,'Données projet'!$E$15+1,1))</f>
        <v>190.21499310415584</v>
      </c>
      <c r="EP89" s="59">
        <f t="shared" si="100"/>
        <v>136.15730566500173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1.2374999999999985</v>
      </c>
      <c r="FE89" s="12">
        <f>IF('Données projet'!$A$218&gt;35,FE88+FD89-FM88,IF(A89&lt;'Données projet'!$A$218,$FB$205^A89,IF(A89='Données projet'!$A$218,'Données projet'!$B$218,FE88+FD89-FM88)))</f>
        <v>78.00833333333334</v>
      </c>
      <c r="FF89" s="17">
        <f>FE89*VLOOKUP('Données projet'!$B$16,Paramètres!$A$1:$I$89,3,0)*VLOOKUP('Données projet'!$B$16,Paramètres!$A$1:$I$89,5,0)</f>
        <v>89.865600000000001</v>
      </c>
      <c r="FG89" s="13">
        <f t="shared" si="101"/>
        <v>24.53280813151839</v>
      </c>
      <c r="FH89" s="20">
        <f t="shared" si="76"/>
        <v>199.24389416239453</v>
      </c>
      <c r="FI89" s="59">
        <f t="shared" si="77"/>
        <v>492.57722749572781</v>
      </c>
      <c r="FJ89" s="59">
        <f ca="1">AVERAGE(OFFSET($FI$3,0,0,'Données projet'!$E$16+1,1))-AVERAGE(OFFSET($H$3,0,0,'Données projet'!$E$16+1,1))</f>
        <v>14.847345852478327</v>
      </c>
      <c r="FK89" s="59">
        <f t="shared" si="102"/>
        <v>46.764428272166299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0.37569530036865295</v>
      </c>
      <c r="FS89" s="21">
        <f>EXP(-LN(2)/2)*FS88+(1-EXP(-LN(2)/2))/(LN(2)/2)*FM89*FP89*VLOOKUP('Données projet'!$B$16,Paramètres!$A$1:$I$89,3,0)*0.475*44/12</f>
        <v>7.3499809735227297E-9</v>
      </c>
      <c r="FT89" s="22">
        <f t="shared" si="78"/>
        <v>0.37569530771863391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7.4950142450142483</v>
      </c>
      <c r="N90" s="13">
        <f>IF('Données projet'!$A$36&gt;35,N89+M90-V89,IF(A90&lt;'Données projet'!$A$36,$K$205^A90,IF(A90='Données projet'!$A$36,'Données projet'!$B$36,N89+M90-V89)))</f>
        <v>280.86894586894596</v>
      </c>
      <c r="O90" s="13">
        <f>N90*VLOOKUP('Données projet'!$B$9,Paramètres!$A$1:$I$89,3,0)*VLOOKUP('Données projet'!$B$9,Paramètres!$A$1:$I$89,5,0)</f>
        <v>254.13022222222227</v>
      </c>
      <c r="P90" s="13">
        <f t="shared" si="87"/>
        <v>61.469520573147541</v>
      </c>
      <c r="Q90" s="20">
        <f t="shared" si="54"/>
        <v>549.66955203526913</v>
      </c>
      <c r="R90" s="59">
        <f t="shared" si="55"/>
        <v>843.00288536860239</v>
      </c>
      <c r="S90" s="59">
        <f ca="1">AVERAGE(OFFSET($R$3,0,0,'Données projet'!$E$9+1,1))-AVERAGE(OFFSET($H$3,0,0,'Données projet'!$E$9+1,1))</f>
        <v>221.7429870520005</v>
      </c>
      <c r="T90" s="59">
        <f t="shared" si="88"/>
        <v>182.2029938397186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-5.1159076974727213E-13</v>
      </c>
      <c r="AJ90" s="13">
        <f>AI90*VLOOKUP('Données projet'!$B$10,Paramètres!$A$1:$I$89,3,0)*VLOOKUP('Données projet'!$B$10,Paramètres!$A$1:$I$89,5,0)</f>
        <v>-4.0702161641092972E-13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260.20517190557814</v>
      </c>
      <c r="AO90" s="59">
        <f t="shared" si="90"/>
        <v>307.22009971147133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1.0552781461189213</v>
      </c>
      <c r="AV90" s="21">
        <f>EXP(-LN(2)/25)*AV89+(1-EXP(-LN(2)/25))/(LN(2)/25)*Calculateur!AQ90*Calculateur!AS90*VLOOKUP('Données projet'!$B$10,Paramètres!$A$1:$I$89,3,0)*0.475*44/12</f>
        <v>4.2249401205105066</v>
      </c>
      <c r="AW90" s="21">
        <f>EXP(-LN(2)/2)*AW89+(1-EXP(-LN(2)/2))/(LN(2)/2)*AQ90*AT90*VLOOKUP('Données projet'!$B$10,Paramètres!$A$1:$I$89,3,0)*0.475*44/12</f>
        <v>6.3323095937447128E-8</v>
      </c>
      <c r="AX90" s="21">
        <f t="shared" si="60"/>
        <v>5.2802183299525236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12.5</v>
      </c>
      <c r="BD90" s="12">
        <f>IF('Données projet'!$A$88&gt;35,BD89+BC90-BL89,IF(A90&lt;'Données projet'!$A$88,$BA$205^A90,IF(A90='Données projet'!$A$88,'Données projet'!$B$88,BD89+BC90-BL89)))</f>
        <v>599.49999999999955</v>
      </c>
      <c r="BE90" s="13">
        <f>BD90*VLOOKUP('Données projet'!$B$11,Paramètres!$A$1:$I$89,3,0)*VLOOKUP('Données projet'!$B$11,Paramètres!$A$1:$I$89,5,0)</f>
        <v>358.50099999999975</v>
      </c>
      <c r="BF90" s="13">
        <f t="shared" si="91"/>
        <v>83.310503088522523</v>
      </c>
      <c r="BG90" s="20">
        <f t="shared" si="61"/>
        <v>769.48836787917628</v>
      </c>
      <c r="BH90" s="59">
        <f t="shared" si="62"/>
        <v>1062.8217012125097</v>
      </c>
      <c r="BI90" s="59">
        <f ca="1">AVERAGE(OFFSET($BH$3,0,0,'Données projet'!$E$11+1,1))-AVERAGE(OFFSET($H$3,0,0,'Données projet'!$E$11+1,1))</f>
        <v>316.58509520829671</v>
      </c>
      <c r="BJ90" s="59">
        <f t="shared" si="92"/>
        <v>240.71332110643596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0.81969361627344106</v>
      </c>
      <c r="BQ90" s="21">
        <f>EXP(-LN(2)/25)*BQ89+(1-EXP(-LN(2)/25))/(LN(2)/25)*Calculateur!BL90*Calculateur!BN90*VLOOKUP('Données projet'!$B$11,Paramètres!$A$1:$I$89,3,0)*0.475*44/12</f>
        <v>3.1436318248455115</v>
      </c>
      <c r="BR90" s="21">
        <f>EXP(-LN(2)/2)*BR89+(1-EXP(-LN(2)/2))/(LN(2)/2)*BL90*BO90*VLOOKUP('Données projet'!$B$11,Paramètres!$A$1:$I$89,3,0)*0.475*44/12</f>
        <v>5.779213555036004E-8</v>
      </c>
      <c r="BS90" s="22">
        <f t="shared" si="63"/>
        <v>3.9633254989110882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10.8</v>
      </c>
      <c r="BY90" s="12">
        <f>IF('Données projet'!$A$114&gt;35,BY89+BX90-CG89,IF(A90&lt;'Données projet'!$A$114,$BV$205^A90,IF(A90='Données projet'!$A$114,'Données projet'!$B$114,BY89+BX90-CG89)))</f>
        <v>534.60000000000014</v>
      </c>
      <c r="BZ90" s="13">
        <f>BY90*VLOOKUP('Données projet'!$B$12,Paramètres!$A$1:$I$89,3,0)*VLOOKUP('Données projet'!$B$12,Paramètres!$A$1:$I$89,5,0)</f>
        <v>319.69080000000014</v>
      </c>
      <c r="CA90" s="13">
        <f t="shared" si="93"/>
        <v>75.289014970336254</v>
      </c>
      <c r="CB90" s="20">
        <f t="shared" si="64"/>
        <v>687.92317774000242</v>
      </c>
      <c r="CC90" s="59">
        <f t="shared" si="65"/>
        <v>981.25651107333579</v>
      </c>
      <c r="CD90" s="59">
        <f ca="1">AVERAGE(OFFSET($CC$3,0,0,'Données projet'!$E$12+1,1))-AVERAGE(OFFSET($H$3,0,0,'Données projet'!$E$12+1,1))</f>
        <v>270.30888762640245</v>
      </c>
      <c r="CE90" s="59">
        <f t="shared" si="94"/>
        <v>202.23783851977691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0.69269883065361215</v>
      </c>
      <c r="CL90" s="21">
        <f>EXP(-LN(2)/25)*CL89+(1-EXP(-LN(2)/25))/(LN(2)/25)*Calculateur!CG90*Calculateur!CI90*VLOOKUP('Données projet'!$B$12,Paramètres!$A$1:$I$89,3,0)*0.475*44/12</f>
        <v>2.5315557515230838</v>
      </c>
      <c r="CM90" s="21">
        <f>EXP(-LN(2)/2)*CM89+(1-EXP(-LN(2)/2))/(LN(2)/2)*CG90*CJ90*VLOOKUP('Données projet'!$B$12,Paramètres!$A$1:$I$89,3,0)*0.475*44/12</f>
        <v>4.8712823291556047E-8</v>
      </c>
      <c r="CN90" s="22">
        <f t="shared" si="66"/>
        <v>3.224254630889519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-5.1159076974727213E-13</v>
      </c>
      <c r="CU90" s="17">
        <f>CT90*VLOOKUP('Données projet'!$B$13,Paramètres!$A$1:$I$89,3,0)*VLOOKUP('Données projet'!$B$13,Paramètres!$A$1:$I$89,5,0)</f>
        <v>-3.4317508834647017E-13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207.93042467236967</v>
      </c>
      <c r="CZ90" s="59">
        <f t="shared" si="96"/>
        <v>250.70954318710835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0.88974431927673658</v>
      </c>
      <c r="DG90" s="21">
        <f>EXP(-LN(2)/25)*DG89+(1-EXP(-LN(2)/25))/(LN(2)/25)*Calculateur!DB90*Calculateur!DD90*VLOOKUP('Données projet'!$B$13,Paramètres!$A$1:$I$89,3,0)*0.475*44/12</f>
        <v>3.5622044153323928</v>
      </c>
      <c r="DH90" s="21">
        <f>EXP(-LN(2)/2)*DH89+(1-EXP(-LN(2)/2))/(LN(2)/2)*DB90*DE90*VLOOKUP('Données projet'!$B$13,Paramètres!$A$1:$I$89,3,0)*0.475*44/12</f>
        <v>5.3390061280592674E-8</v>
      </c>
      <c r="DI90" s="22">
        <f t="shared" si="69"/>
        <v>4.451948787999191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5.6843418860808015E-14</v>
      </c>
      <c r="DP90" s="17">
        <f>DO90*VLOOKUP('Données projet'!$B$14,Paramètres!$A$1:$I$89,3,0)*VLOOKUP('Données projet'!$B$14,Paramètres!$A$1:$I$89,5,0)</f>
        <v>3.813056537183002E-14</v>
      </c>
      <c r="DQ90" s="13">
        <f t="shared" si="97"/>
        <v>6.4086286045526829E-13</v>
      </c>
      <c r="DR90" s="20">
        <f t="shared" si="70"/>
        <v>1.1825802166488628E-12</v>
      </c>
      <c r="DS90" s="59">
        <f t="shared" si="71"/>
        <v>293.33333333333451</v>
      </c>
      <c r="DT90" s="59">
        <f ca="1">AVERAGE(OFFSET($DS$3,0,0,'Données projet'!$E$14+1,1))-AVERAGE(OFFSET($H$3,0,0,'Données projet'!$E$14+1,1))</f>
        <v>156.63226020379989</v>
      </c>
      <c r="DU90" s="59">
        <f t="shared" si="98"/>
        <v>196.0481096619543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1.7851254078049041</v>
      </c>
      <c r="EC90" s="21">
        <f>EXP(-LN(2)/2)*EC89+(1-EXP(-LN(2)/2))/(LN(2)/2)*DW90*DZ90*VLOOKUP('Données projet'!$B$14,Paramètres!$A$1:$I$89,3,0)*0.475*44/12</f>
        <v>2.3901137460328764E-8</v>
      </c>
      <c r="ED90" s="22">
        <f t="shared" si="72"/>
        <v>1.7851254317060417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5.2606837606837598</v>
      </c>
      <c r="EJ90" s="12">
        <f>IF('Données projet'!$A$192&gt;35,EJ89+EI90-ER89,IF(A90&lt;'Données projet'!$A$192,$EG$205^A90,IF(A90='Données projet'!$A$192,'Données projet'!$B$192,EJ89+EI90-ER89)))</f>
        <v>180.70512820512806</v>
      </c>
      <c r="EK90" s="17">
        <f>EJ90*VLOOKUP('Données projet'!$B$15,Paramètres!$A$1:$I$89,3,0)*VLOOKUP('Données projet'!$B$15,Paramètres!$A$1:$I$89,5,0)</f>
        <v>183.23499999999987</v>
      </c>
      <c r="EL90" s="13">
        <f t="shared" si="99"/>
        <v>46.041166229421272</v>
      </c>
      <c r="EM90" s="20">
        <f t="shared" si="73"/>
        <v>399.32265618290847</v>
      </c>
      <c r="EN90" s="59">
        <f t="shared" si="74"/>
        <v>692.65598951624179</v>
      </c>
      <c r="EO90" s="59">
        <f ca="1">AVERAGE(OFFSET($EN$3,0,0,'Données projet'!$E$15+1,1))-AVERAGE(OFFSET($H$3,0,0,'Données projet'!$E$15+1,1))</f>
        <v>190.21499310415584</v>
      </c>
      <c r="EP90" s="59">
        <f t="shared" si="100"/>
        <v>136.15730566500173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1.2374999999999985</v>
      </c>
      <c r="FE90" s="12">
        <f>IF('Données projet'!$A$218&gt;35,FE89+FD90-FM89,IF(A90&lt;'Données projet'!$A$218,$FB$205^A90,IF(A90='Données projet'!$A$218,'Données projet'!$B$218,FE89+FD90-FM89)))</f>
        <v>79.245833333333337</v>
      </c>
      <c r="FF90" s="17">
        <f>FE90*VLOOKUP('Données projet'!$B$16,Paramètres!$A$1:$I$89,3,0)*VLOOKUP('Données projet'!$B$16,Paramètres!$A$1:$I$89,5,0)</f>
        <v>91.291200000000003</v>
      </c>
      <c r="FG90" s="13">
        <f t="shared" si="101"/>
        <v>24.87637270280544</v>
      </c>
      <c r="FH90" s="20">
        <f t="shared" si="76"/>
        <v>202.32518912405283</v>
      </c>
      <c r="FI90" s="59">
        <f t="shared" si="77"/>
        <v>495.65852245738614</v>
      </c>
      <c r="FJ90" s="59">
        <f ca="1">AVERAGE(OFFSET($FI$3,0,0,'Données projet'!$E$16+1,1))-AVERAGE(OFFSET($H$3,0,0,'Données projet'!$E$16+1,1))</f>
        <v>14.847345852478327</v>
      </c>
      <c r="FK90" s="59">
        <f t="shared" si="102"/>
        <v>46.764428272166299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0.36542189262311497</v>
      </c>
      <c r="FS90" s="21">
        <f>EXP(-LN(2)/2)*FS89+(1-EXP(-LN(2)/2))/(LN(2)/2)*FM90*FP90*VLOOKUP('Données projet'!$B$16,Paramètres!$A$1:$I$89,3,0)*0.475*44/12</f>
        <v>5.1972213879700249E-9</v>
      </c>
      <c r="FT90" s="22">
        <f t="shared" si="78"/>
        <v>0.36542189782033635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7.4950142450142483</v>
      </c>
      <c r="N91" s="13">
        <f>IF('Données projet'!$A$36&gt;35,N90+M91-V90,IF(A91&lt;'Données projet'!$A$36,$K$205^A91,IF(A91='Données projet'!$A$36,'Données projet'!$B$36,N90+M91-V90)))</f>
        <v>288.36396011396022</v>
      </c>
      <c r="O91" s="13">
        <f>N91*VLOOKUP('Données projet'!$B$9,Paramètres!$A$1:$I$89,3,0)*VLOOKUP('Données projet'!$B$9,Paramètres!$A$1:$I$89,5,0)</f>
        <v>260.91171111111117</v>
      </c>
      <c r="P91" s="13">
        <f t="shared" si="87"/>
        <v>62.916678312142118</v>
      </c>
      <c r="Q91" s="20">
        <f t="shared" si="54"/>
        <v>564.00111157883271</v>
      </c>
      <c r="R91" s="59">
        <f t="shared" si="55"/>
        <v>857.33444491216596</v>
      </c>
      <c r="S91" s="59">
        <f ca="1">AVERAGE(OFFSET($R$3,0,0,'Données projet'!$E$9+1,1))-AVERAGE(OFFSET($H$3,0,0,'Données projet'!$E$9+1,1))</f>
        <v>221.7429870520005</v>
      </c>
      <c r="T91" s="59">
        <f t="shared" si="88"/>
        <v>182.2029938397186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-5.1159076974727213E-13</v>
      </c>
      <c r="AJ91" s="13">
        <f>AI91*VLOOKUP('Données projet'!$B$10,Paramètres!$A$1:$I$89,3,0)*VLOOKUP('Données projet'!$B$10,Paramètres!$A$1:$I$89,5,0)</f>
        <v>-4.0702161641092972E-13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260.20517190557814</v>
      </c>
      <c r="AO91" s="59">
        <f t="shared" si="90"/>
        <v>307.22009971147133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1.0345847853296426</v>
      </c>
      <c r="AV91" s="21">
        <f>EXP(-LN(2)/25)*AV90+(1-EXP(-LN(2)/25))/(LN(2)/25)*Calculateur!AQ91*Calculateur!AS91*VLOOKUP('Données projet'!$B$10,Paramètres!$A$1:$I$89,3,0)*0.475*44/12</f>
        <v>4.1094089107352021</v>
      </c>
      <c r="AW91" s="21">
        <f>EXP(-LN(2)/2)*AW90+(1-EXP(-LN(2)/2))/(LN(2)/2)*AQ91*AT91*VLOOKUP('Données projet'!$B$10,Paramètres!$A$1:$I$89,3,0)*0.475*44/12</f>
        <v>4.4776190543095183E-8</v>
      </c>
      <c r="AX91" s="21">
        <f t="shared" si="60"/>
        <v>5.1439937408410357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12.5</v>
      </c>
      <c r="BD91" s="12">
        <f>IF('Données projet'!$A$88&gt;35,BD90+BC91-BL90,IF(A91&lt;'Données projet'!$A$88,$BA$205^A91,IF(A91='Données projet'!$A$88,'Données projet'!$B$88,BD90+BC91-BL90)))</f>
        <v>611.99999999999955</v>
      </c>
      <c r="BE91" s="13">
        <f>BD91*VLOOKUP('Données projet'!$B$11,Paramètres!$A$1:$I$89,3,0)*VLOOKUP('Données projet'!$B$11,Paramètres!$A$1:$I$89,5,0)</f>
        <v>365.97599999999977</v>
      </c>
      <c r="BF91" s="13">
        <f t="shared" si="91"/>
        <v>84.843541364532513</v>
      </c>
      <c r="BG91" s="20">
        <f t="shared" si="61"/>
        <v>785.17736787656031</v>
      </c>
      <c r="BH91" s="59">
        <f t="shared" si="62"/>
        <v>1078.5107012098936</v>
      </c>
      <c r="BI91" s="59">
        <f ca="1">AVERAGE(OFFSET($BH$3,0,0,'Données projet'!$E$11+1,1))-AVERAGE(OFFSET($H$3,0,0,'Données projet'!$E$11+1,1))</f>
        <v>316.58509520829671</v>
      </c>
      <c r="BJ91" s="59">
        <f t="shared" si="92"/>
        <v>240.71332110643596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0.80361992442205754</v>
      </c>
      <c r="BQ91" s="21">
        <f>EXP(-LN(2)/25)*BQ90+(1-EXP(-LN(2)/25))/(LN(2)/25)*Calculateur!BL91*Calculateur!BN91*VLOOKUP('Données projet'!$B$11,Paramètres!$A$1:$I$89,3,0)*0.475*44/12</f>
        <v>3.057669047278698</v>
      </c>
      <c r="BR91" s="21">
        <f>EXP(-LN(2)/2)*BR90+(1-EXP(-LN(2)/2))/(LN(2)/2)*BL91*BO91*VLOOKUP('Données projet'!$B$11,Paramètres!$A$1:$I$89,3,0)*0.475*44/12</f>
        <v>4.0865210946911734E-8</v>
      </c>
      <c r="BS91" s="22">
        <f t="shared" si="63"/>
        <v>3.8612890125659662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10.8</v>
      </c>
      <c r="BY91" s="12">
        <f>IF('Données projet'!$A$114&gt;35,BY90+BX91-CG90,IF(A91&lt;'Données projet'!$A$114,$BV$205^A91,IF(A91='Données projet'!$A$114,'Données projet'!$B$114,BY90+BX91-CG90)))</f>
        <v>545.40000000000009</v>
      </c>
      <c r="BZ91" s="13">
        <f>BY91*VLOOKUP('Données projet'!$B$12,Paramètres!$A$1:$I$89,3,0)*VLOOKUP('Données projet'!$B$12,Paramètres!$A$1:$I$89,5,0)</f>
        <v>326.14920000000006</v>
      </c>
      <c r="CA91" s="13">
        <f t="shared" si="93"/>
        <v>76.631393510479626</v>
      </c>
      <c r="CB91" s="20">
        <f t="shared" si="64"/>
        <v>701.50953369741865</v>
      </c>
      <c r="CC91" s="59">
        <f t="shared" si="65"/>
        <v>994.8428670307519</v>
      </c>
      <c r="CD91" s="59">
        <f ca="1">AVERAGE(OFFSET($CC$3,0,0,'Données projet'!$E$12+1,1))-AVERAGE(OFFSET($H$3,0,0,'Données projet'!$E$12+1,1))</f>
        <v>270.30888762640245</v>
      </c>
      <c r="CE91" s="59">
        <f t="shared" si="94"/>
        <v>202.23783851977691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0.67911542908906264</v>
      </c>
      <c r="CL91" s="21">
        <f>EXP(-LN(2)/25)*CL90+(1-EXP(-LN(2)/25))/(LN(2)/25)*Calculateur!CG91*Calculateur!CI91*VLOOKUP('Données projet'!$B$12,Paramètres!$A$1:$I$89,3,0)*0.475*44/12</f>
        <v>2.4623302263689539</v>
      </c>
      <c r="CM91" s="21">
        <f>EXP(-LN(2)/2)*CM90+(1-EXP(-LN(2)/2))/(LN(2)/2)*CG91*CJ91*VLOOKUP('Données projet'!$B$12,Paramètres!$A$1:$I$89,3,0)*0.475*44/12</f>
        <v>3.4445167680201277E-8</v>
      </c>
      <c r="CN91" s="22">
        <f t="shared" si="66"/>
        <v>3.1414456899031844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-5.1159076974727213E-13</v>
      </c>
      <c r="CU91" s="17">
        <f>CT91*VLOOKUP('Données projet'!$B$13,Paramètres!$A$1:$I$89,3,0)*VLOOKUP('Données projet'!$B$13,Paramètres!$A$1:$I$89,5,0)</f>
        <v>-3.4317508834647017E-13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207.93042467236967</v>
      </c>
      <c r="CZ91" s="59">
        <f t="shared" si="96"/>
        <v>250.70954318710835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0.87229697586616828</v>
      </c>
      <c r="DG91" s="21">
        <f>EXP(-LN(2)/25)*DG90+(1-EXP(-LN(2)/25))/(LN(2)/25)*Calculateur!DB91*Calculateur!DD91*VLOOKUP('Données projet'!$B$13,Paramètres!$A$1:$I$89,3,0)*0.475*44/12</f>
        <v>3.46479574826694</v>
      </c>
      <c r="DH91" s="21">
        <f>EXP(-LN(2)/2)*DH90+(1-EXP(-LN(2)/2))/(LN(2)/2)*DB91*DE91*VLOOKUP('Données projet'!$B$13,Paramètres!$A$1:$I$89,3,0)*0.475*44/12</f>
        <v>3.7752474379472407E-8</v>
      </c>
      <c r="DI91" s="22">
        <f t="shared" si="69"/>
        <v>4.3370927618855823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5.6843418860808015E-14</v>
      </c>
      <c r="DP91" s="17">
        <f>DO91*VLOOKUP('Données projet'!$B$14,Paramètres!$A$1:$I$89,3,0)*VLOOKUP('Données projet'!$B$14,Paramètres!$A$1:$I$89,5,0)</f>
        <v>3.813056537183002E-14</v>
      </c>
      <c r="DQ91" s="13">
        <f t="shared" si="97"/>
        <v>6.4086286045526829E-13</v>
      </c>
      <c r="DR91" s="20">
        <f t="shared" si="70"/>
        <v>1.1825802166488628E-12</v>
      </c>
      <c r="DS91" s="59">
        <f t="shared" si="71"/>
        <v>293.33333333333451</v>
      </c>
      <c r="DT91" s="59">
        <f ca="1">AVERAGE(OFFSET($DS$3,0,0,'Données projet'!$E$14+1,1))-AVERAGE(OFFSET($H$3,0,0,'Données projet'!$E$14+1,1))</f>
        <v>156.63226020379989</v>
      </c>
      <c r="DU91" s="59">
        <f t="shared" si="98"/>
        <v>196.0481096619543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1.7363110596528137</v>
      </c>
      <c r="EC91" s="21">
        <f>EXP(-LN(2)/2)*EC90+(1-EXP(-LN(2)/2))/(LN(2)/2)*DW91*DZ91*VLOOKUP('Données projet'!$B$14,Paramètres!$A$1:$I$89,3,0)*0.475*44/12</f>
        <v>1.6900656376270286E-8</v>
      </c>
      <c r="ED91" s="22">
        <f t="shared" si="72"/>
        <v>1.7363110765534702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5.2606837606837598</v>
      </c>
      <c r="EJ91" s="12">
        <f>IF('Données projet'!$A$192&gt;35,EJ90+EI91-ER90,IF(A91&lt;'Données projet'!$A$192,$EG$205^A91,IF(A91='Données projet'!$A$192,'Données projet'!$B$192,EJ90+EI91-ER90)))</f>
        <v>185.96581196581181</v>
      </c>
      <c r="EK91" s="17">
        <f>EJ91*VLOOKUP('Données projet'!$B$15,Paramètres!$A$1:$I$89,3,0)*VLOOKUP('Données projet'!$B$15,Paramètres!$A$1:$I$89,5,0)</f>
        <v>188.56933333333319</v>
      </c>
      <c r="EL91" s="13">
        <f t="shared" si="99"/>
        <v>47.223513760156187</v>
      </c>
      <c r="EM91" s="20">
        <f t="shared" si="73"/>
        <v>410.67254202116061</v>
      </c>
      <c r="EN91" s="59">
        <f t="shared" si="74"/>
        <v>704.00587535449392</v>
      </c>
      <c r="EO91" s="59">
        <f ca="1">AVERAGE(OFFSET($EN$3,0,0,'Données projet'!$E$15+1,1))-AVERAGE(OFFSET($H$3,0,0,'Données projet'!$E$15+1,1))</f>
        <v>190.21499310415584</v>
      </c>
      <c r="EP91" s="59">
        <f t="shared" si="100"/>
        <v>136.15730566500173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1.2374999999999985</v>
      </c>
      <c r="FE91" s="12">
        <f>IF('Données projet'!$A$218&gt;35,FE90+FD91-FM90,IF(A91&lt;'Données projet'!$A$218,$FB$205^A91,IF(A91='Données projet'!$A$218,'Données projet'!$B$218,FE90+FD91-FM90)))</f>
        <v>80.483333333333334</v>
      </c>
      <c r="FF91" s="17">
        <f>FE91*VLOOKUP('Données projet'!$B$16,Paramètres!$A$1:$I$89,3,0)*VLOOKUP('Données projet'!$B$16,Paramètres!$A$1:$I$89,5,0)</f>
        <v>92.716799999999992</v>
      </c>
      <c r="FG91" s="13">
        <f t="shared" si="101"/>
        <v>25.219313317843856</v>
      </c>
      <c r="FH91" s="20">
        <f t="shared" si="76"/>
        <v>205.40539736191135</v>
      </c>
      <c r="FI91" s="59">
        <f t="shared" si="77"/>
        <v>498.73873069524467</v>
      </c>
      <c r="FJ91" s="59">
        <f ca="1">AVERAGE(OFFSET($FI$3,0,0,'Données projet'!$E$16+1,1))-AVERAGE(OFFSET($H$3,0,0,'Données projet'!$E$16+1,1))</f>
        <v>14.847345852478327</v>
      </c>
      <c r="FK91" s="59">
        <f t="shared" si="102"/>
        <v>46.764428272166299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0.35542941175263376</v>
      </c>
      <c r="FS91" s="21">
        <f>EXP(-LN(2)/2)*FS90+(1-EXP(-LN(2)/2))/(LN(2)/2)*FM91*FP91*VLOOKUP('Données projet'!$B$16,Paramètres!$A$1:$I$89,3,0)*0.475*44/12</f>
        <v>3.6749904867613657E-9</v>
      </c>
      <c r="FT91" s="22">
        <f t="shared" si="78"/>
        <v>0.35542941542762424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295.85897435897436</v>
      </c>
      <c r="L92" s="12">
        <f>VLOOKUP(A92,'Données projet'!$A$35:$I$55,9,0)</f>
        <v>7.4950142450142483</v>
      </c>
      <c r="M92" s="12">
        <f t="array" ref="M92">INDEX(L:L,MIN(IF(ISNUMBER(L92:L288),ROW(L92:L288),"")))</f>
        <v>7.4950142450142483</v>
      </c>
      <c r="N92" s="13">
        <f>IF('Données projet'!$A$36&gt;35,N91+M92-V91,IF(A92&lt;'Données projet'!$A$36,$K$205^A92,IF(A92='Données projet'!$A$36,'Données projet'!$B$36,N91+M92-V91)))</f>
        <v>295.85897435897448</v>
      </c>
      <c r="O92" s="13">
        <f>N92*VLOOKUP('Données projet'!$B$9,Paramètres!$A$1:$I$89,3,0)*VLOOKUP('Données projet'!$B$9,Paramètres!$A$1:$I$89,5,0)</f>
        <v>267.6932000000001</v>
      </c>
      <c r="P92" s="13">
        <f t="shared" si="87"/>
        <v>64.359463899490166</v>
      </c>
      <c r="Q92" s="20">
        <f t="shared" si="54"/>
        <v>578.32505629161221</v>
      </c>
      <c r="R92" s="59">
        <f t="shared" si="55"/>
        <v>871.65838962494558</v>
      </c>
      <c r="S92" s="59">
        <f ca="1">AVERAGE(OFFSET($R$3,0,0,'Données projet'!$E$9+1,1))-AVERAGE(OFFSET($H$3,0,0,'Données projet'!$E$9+1,1))</f>
        <v>221.7429870520005</v>
      </c>
      <c r="T92" s="59">
        <f t="shared" si="88"/>
        <v>182.2029938397186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49.391025641025635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-5.1159076974727213E-13</v>
      </c>
      <c r="AJ92" s="13">
        <f>AI92*VLOOKUP('Données projet'!$B$10,Paramètres!$A$1:$I$89,3,0)*VLOOKUP('Données projet'!$B$10,Paramètres!$A$1:$I$89,5,0)</f>
        <v>-4.0702161641092972E-13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260.20517190557814</v>
      </c>
      <c r="AO92" s="59">
        <f t="shared" si="90"/>
        <v>307.22009971147133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1.0142972087237379</v>
      </c>
      <c r="AV92" s="21">
        <f>EXP(-LN(2)/25)*AV91+(1-EXP(-LN(2)/25))/(LN(2)/25)*Calculateur!AQ92*Calculateur!AS92*VLOOKUP('Données projet'!$B$10,Paramètres!$A$1:$I$89,3,0)*0.475*44/12</f>
        <v>3.9970369079667254</v>
      </c>
      <c r="AW92" s="21">
        <f>EXP(-LN(2)/2)*AW91+(1-EXP(-LN(2)/2))/(LN(2)/2)*AQ92*AT92*VLOOKUP('Données projet'!$B$10,Paramètres!$A$1:$I$89,3,0)*0.475*44/12</f>
        <v>3.1661547968723564E-8</v>
      </c>
      <c r="AX92" s="21">
        <f t="shared" si="60"/>
        <v>5.0113341483520113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12.5</v>
      </c>
      <c r="BD92" s="12">
        <f>IF('Données projet'!$A$88&gt;35,BD91+BC92-BL91,IF(A92&lt;'Données projet'!$A$88,$BA$205^A92,IF(A92='Données projet'!$A$88,'Données projet'!$B$88,BD91+BC92-BL91)))</f>
        <v>624.49999999999955</v>
      </c>
      <c r="BE92" s="13">
        <f>BD92*VLOOKUP('Données projet'!$B$11,Paramètres!$A$1:$I$89,3,0)*VLOOKUP('Données projet'!$B$11,Paramètres!$A$1:$I$89,5,0)</f>
        <v>373.45099999999979</v>
      </c>
      <c r="BF92" s="13">
        <f t="shared" si="91"/>
        <v>86.372938978761937</v>
      </c>
      <c r="BG92" s="20">
        <f t="shared" si="61"/>
        <v>800.86002705467661</v>
      </c>
      <c r="BH92" s="59">
        <f t="shared" si="62"/>
        <v>1094.19336038801</v>
      </c>
      <c r="BI92" s="59">
        <f ca="1">AVERAGE(OFFSET($BH$3,0,0,'Données projet'!$E$11+1,1))-AVERAGE(OFFSET($H$3,0,0,'Données projet'!$E$11+1,1))</f>
        <v>316.58509520829671</v>
      </c>
      <c r="BJ92" s="59">
        <f t="shared" si="92"/>
        <v>240.71332110643596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0.78786142786389568</v>
      </c>
      <c r="BQ92" s="21">
        <f>EXP(-LN(2)/25)*BQ91+(1-EXP(-LN(2)/25))/(LN(2)/25)*Calculateur!BL92*Calculateur!BN92*VLOOKUP('Données projet'!$B$11,Paramètres!$A$1:$I$89,3,0)*0.475*44/12</f>
        <v>2.9740569263850354</v>
      </c>
      <c r="BR92" s="21">
        <f>EXP(-LN(2)/2)*BR91+(1-EXP(-LN(2)/2))/(LN(2)/2)*BL92*BO92*VLOOKUP('Données projet'!$B$11,Paramètres!$A$1:$I$89,3,0)*0.475*44/12</f>
        <v>2.8896067775180023E-8</v>
      </c>
      <c r="BS92" s="22">
        <f t="shared" si="63"/>
        <v>3.7619183831449989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10.8</v>
      </c>
      <c r="BY92" s="12">
        <f>IF('Données projet'!$A$114&gt;35,BY91+BX92-CG91,IF(A92&lt;'Données projet'!$A$114,$BV$205^A92,IF(A92='Données projet'!$A$114,'Données projet'!$B$114,BY91+BX92-CG91)))</f>
        <v>556.20000000000005</v>
      </c>
      <c r="BZ92" s="13">
        <f>BY92*VLOOKUP('Données projet'!$B$12,Paramètres!$A$1:$I$89,3,0)*VLOOKUP('Données projet'!$B$12,Paramètres!$A$1:$I$89,5,0)</f>
        <v>332.60760000000005</v>
      </c>
      <c r="CA92" s="13">
        <f t="shared" si="93"/>
        <v>77.97068128417547</v>
      </c>
      <c r="CB92" s="20">
        <f t="shared" si="64"/>
        <v>715.09050656993907</v>
      </c>
      <c r="CC92" s="59">
        <f t="shared" si="65"/>
        <v>1008.4238399032724</v>
      </c>
      <c r="CD92" s="59">
        <f ca="1">AVERAGE(OFFSET($CC$3,0,0,'Données projet'!$E$12+1,1))-AVERAGE(OFFSET($H$3,0,0,'Données projet'!$E$12+1,1))</f>
        <v>270.30888762640245</v>
      </c>
      <c r="CE92" s="59">
        <f t="shared" si="94"/>
        <v>202.23783851977691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0.66579838974413708</v>
      </c>
      <c r="CL92" s="21">
        <f>EXP(-LN(2)/25)*CL91+(1-EXP(-LN(2)/25))/(LN(2)/25)*Calculateur!CG92*Calculateur!CI92*VLOOKUP('Données projet'!$B$12,Paramètres!$A$1:$I$89,3,0)*0.475*44/12</f>
        <v>2.3949976768405761</v>
      </c>
      <c r="CM92" s="21">
        <f>EXP(-LN(2)/2)*CM91+(1-EXP(-LN(2)/2))/(LN(2)/2)*CG92*CJ92*VLOOKUP('Données projet'!$B$12,Paramètres!$A$1:$I$89,3,0)*0.475*44/12</f>
        <v>2.4356411645778023E-8</v>
      </c>
      <c r="CN92" s="22">
        <f t="shared" si="66"/>
        <v>3.0607960909411247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-5.1159076974727213E-13</v>
      </c>
      <c r="CU92" s="17">
        <f>CT92*VLOOKUP('Données projet'!$B$13,Paramètres!$A$1:$I$89,3,0)*VLOOKUP('Données projet'!$B$13,Paramètres!$A$1:$I$89,5,0)</f>
        <v>-3.4317508834647017E-13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207.93042467236967</v>
      </c>
      <c r="CZ92" s="59">
        <f t="shared" si="96"/>
        <v>250.70954318710835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0.85519176421805254</v>
      </c>
      <c r="DG92" s="21">
        <f>EXP(-LN(2)/25)*DG91+(1-EXP(-LN(2)/25))/(LN(2)/25)*Calculateur!DB92*Calculateur!DD92*VLOOKUP('Données projet'!$B$13,Paramètres!$A$1:$I$89,3,0)*0.475*44/12</f>
        <v>3.3700507263248909</v>
      </c>
      <c r="DH92" s="21">
        <f>EXP(-LN(2)/2)*DH91+(1-EXP(-LN(2)/2))/(LN(2)/2)*DB92*DE92*VLOOKUP('Données projet'!$B$13,Paramètres!$A$1:$I$89,3,0)*0.475*44/12</f>
        <v>2.6695030640296337E-8</v>
      </c>
      <c r="DI92" s="22">
        <f t="shared" si="69"/>
        <v>4.2252425172379748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5.6843418860808015E-14</v>
      </c>
      <c r="DP92" s="17">
        <f>DO92*VLOOKUP('Données projet'!$B$14,Paramètres!$A$1:$I$89,3,0)*VLOOKUP('Données projet'!$B$14,Paramètres!$A$1:$I$89,5,0)</f>
        <v>3.813056537183002E-14</v>
      </c>
      <c r="DQ92" s="13">
        <f t="shared" si="97"/>
        <v>6.4086286045526829E-13</v>
      </c>
      <c r="DR92" s="20">
        <f t="shared" si="70"/>
        <v>1.1825802166488628E-12</v>
      </c>
      <c r="DS92" s="59">
        <f t="shared" si="71"/>
        <v>293.33333333333451</v>
      </c>
      <c r="DT92" s="59">
        <f ca="1">AVERAGE(OFFSET($DS$3,0,0,'Données projet'!$E$14+1,1))-AVERAGE(OFFSET($H$3,0,0,'Données projet'!$E$14+1,1))</f>
        <v>156.63226020379989</v>
      </c>
      <c r="DU92" s="59">
        <f t="shared" si="98"/>
        <v>196.0481096619543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1.6888315424179774</v>
      </c>
      <c r="EC92" s="21">
        <f>EXP(-LN(2)/2)*EC91+(1-EXP(-LN(2)/2))/(LN(2)/2)*DW92*DZ92*VLOOKUP('Données projet'!$B$14,Paramètres!$A$1:$I$89,3,0)*0.475*44/12</f>
        <v>1.1950568730164382E-8</v>
      </c>
      <c r="ED92" s="22">
        <f t="shared" si="72"/>
        <v>1.6888315543685462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5.2606837606837598</v>
      </c>
      <c r="EJ92" s="12">
        <f>IF('Données projet'!$A$192&gt;35,EJ91+EI92-ER91,IF(A92&lt;'Données projet'!$A$192,$EG$205^A92,IF(A92='Données projet'!$A$192,'Données projet'!$B$192,EJ91+EI92-ER91)))</f>
        <v>191.22649572649556</v>
      </c>
      <c r="EK92" s="17">
        <f>EJ92*VLOOKUP('Données projet'!$B$15,Paramètres!$A$1:$I$89,3,0)*VLOOKUP('Données projet'!$B$15,Paramètres!$A$1:$I$89,5,0)</f>
        <v>193.90366666666651</v>
      </c>
      <c r="EL92" s="13">
        <f t="shared" si="99"/>
        <v>48.401973941265673</v>
      </c>
      <c r="EM92" s="20">
        <f t="shared" si="73"/>
        <v>422.01565739214857</v>
      </c>
      <c r="EN92" s="59">
        <f t="shared" si="74"/>
        <v>715.34899072548183</v>
      </c>
      <c r="EO92" s="59">
        <f ca="1">AVERAGE(OFFSET($EN$3,0,0,'Données projet'!$E$15+1,1))-AVERAGE(OFFSET($H$3,0,0,'Données projet'!$E$15+1,1))</f>
        <v>190.21499310415584</v>
      </c>
      <c r="EP92" s="59">
        <f t="shared" si="100"/>
        <v>136.15730566500173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1.2374999999999985</v>
      </c>
      <c r="FE92" s="12">
        <f>IF('Données projet'!$A$218&gt;35,FE91+FD92-FM91,IF(A92&lt;'Données projet'!$A$218,$FB$205^A92,IF(A92='Données projet'!$A$218,'Données projet'!$B$218,FE91+FD92-FM91)))</f>
        <v>81.720833333333331</v>
      </c>
      <c r="FF92" s="17">
        <f>FE92*VLOOKUP('Données projet'!$B$16,Paramètres!$A$1:$I$89,3,0)*VLOOKUP('Données projet'!$B$16,Paramètres!$A$1:$I$89,5,0)</f>
        <v>94.142399999999995</v>
      </c>
      <c r="FG92" s="13">
        <f t="shared" si="101"/>
        <v>25.561640678489578</v>
      </c>
      <c r="FH92" s="20">
        <f t="shared" si="76"/>
        <v>208.48453751503601</v>
      </c>
      <c r="FI92" s="59">
        <f t="shared" si="77"/>
        <v>501.81787084836935</v>
      </c>
      <c r="FJ92" s="59">
        <f ca="1">AVERAGE(OFFSET($FI$3,0,0,'Données projet'!$E$16+1,1))-AVERAGE(OFFSET($H$3,0,0,'Données projet'!$E$16+1,1))</f>
        <v>14.847345852478327</v>
      </c>
      <c r="FK92" s="59">
        <f t="shared" si="102"/>
        <v>46.764428272166299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0.34571017579703756</v>
      </c>
      <c r="FS92" s="21">
        <f>EXP(-LN(2)/2)*FS91+(1-EXP(-LN(2)/2))/(LN(2)/2)*FM92*FP92*VLOOKUP('Données projet'!$B$16,Paramètres!$A$1:$I$89,3,0)*0.475*44/12</f>
        <v>2.5986106939850129E-9</v>
      </c>
      <c r="FT92" s="22">
        <f t="shared" si="78"/>
        <v>0.34571017839564827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7.1782051282051267</v>
      </c>
      <c r="N93" s="13">
        <f>IF('Données projet'!$A$36&gt;35,N92+M93-V92,IF(A93&lt;'Données projet'!$A$36,$K$205^A93,IF(A93='Données projet'!$A$36,'Données projet'!$B$36,N92+M93-V92)))</f>
        <v>253.64615384615399</v>
      </c>
      <c r="O93" s="13">
        <f>N93*VLOOKUP('Données projet'!$B$9,Paramètres!$A$1:$I$89,3,0)*VLOOKUP('Données projet'!$B$9,Paramètres!$A$1:$I$89,5,0)</f>
        <v>229.49904000000012</v>
      </c>
      <c r="P93" s="13">
        <f t="shared" si="87"/>
        <v>56.174348524497042</v>
      </c>
      <c r="Q93" s="20">
        <f t="shared" si="54"/>
        <v>497.54781834683246</v>
      </c>
      <c r="R93" s="59">
        <f t="shared" si="55"/>
        <v>790.88115168016577</v>
      </c>
      <c r="S93" s="59">
        <f ca="1">AVERAGE(OFFSET($R$3,0,0,'Données projet'!$E$9+1,1))-AVERAGE(OFFSET($H$3,0,0,'Données projet'!$E$9+1,1))</f>
        <v>221.7429870520005</v>
      </c>
      <c r="T93" s="59">
        <f t="shared" si="88"/>
        <v>182.2029938397186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-5.1159076974727213E-13</v>
      </c>
      <c r="AJ93" s="13">
        <f>AI93*VLOOKUP('Données projet'!$B$10,Paramètres!$A$1:$I$89,3,0)*VLOOKUP('Données projet'!$B$10,Paramètres!$A$1:$I$89,5,0)</f>
        <v>-4.0702161641092972E-13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260.20517190557814</v>
      </c>
      <c r="AO93" s="59">
        <f t="shared" si="90"/>
        <v>307.22009971147133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0.99440745912087503</v>
      </c>
      <c r="AV93" s="21">
        <f>EXP(-LN(2)/25)*AV92+(1-EXP(-LN(2)/25))/(LN(2)/25)*Calculateur!AQ93*Calculateur!AS93*VLOOKUP('Données projet'!$B$10,Paramètres!$A$1:$I$89,3,0)*0.475*44/12</f>
        <v>3.8877377235233395</v>
      </c>
      <c r="AW93" s="21">
        <f>EXP(-LN(2)/2)*AW92+(1-EXP(-LN(2)/2))/(LN(2)/2)*AQ93*AT93*VLOOKUP('Données projet'!$B$10,Paramètres!$A$1:$I$89,3,0)*0.475*44/12</f>
        <v>2.2388095271547592E-8</v>
      </c>
      <c r="AX93" s="21">
        <f t="shared" si="60"/>
        <v>4.8821452050323098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637</v>
      </c>
      <c r="BB93" s="12">
        <f>VLOOKUP(A93,'Données projet'!$A$87:$I$107,9,0)</f>
        <v>12.5</v>
      </c>
      <c r="BC93" s="12">
        <f t="array" ref="BC93">INDEX(BB:BB,MIN(IF(ISNUMBER(BB93:BB289),ROW(BB93:BB289),"")))</f>
        <v>12.5</v>
      </c>
      <c r="BD93" s="12">
        <f>IF('Données projet'!$A$88&gt;35,BD92+BC93-BL92,IF(A93&lt;'Données projet'!$A$88,$BA$205^A93,IF(A93='Données projet'!$A$88,'Données projet'!$B$88,BD92+BC93-BL92)))</f>
        <v>636.99999999999955</v>
      </c>
      <c r="BE93" s="13">
        <f>BD93*VLOOKUP('Données projet'!$B$11,Paramètres!$A$1:$I$89,3,0)*VLOOKUP('Données projet'!$B$11,Paramètres!$A$1:$I$89,5,0)</f>
        <v>380.92599999999976</v>
      </c>
      <c r="BF93" s="13">
        <f t="shared" si="91"/>
        <v>87.898777201244229</v>
      </c>
      <c r="BG93" s="20">
        <f t="shared" si="61"/>
        <v>816.53648695883328</v>
      </c>
      <c r="BH93" s="59">
        <f t="shared" si="62"/>
        <v>1109.8698202921667</v>
      </c>
      <c r="BI93" s="59">
        <f ca="1">AVERAGE(OFFSET($BH$3,0,0,'Données projet'!$E$11+1,1))-AVERAGE(OFFSET($H$3,0,0,'Données projet'!$E$11+1,1))</f>
        <v>316.58509520829671</v>
      </c>
      <c r="BJ93" s="59">
        <f t="shared" si="92"/>
        <v>240.71332110643596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83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0.77241194581150552</v>
      </c>
      <c r="BQ93" s="21">
        <f>EXP(-LN(2)/25)*BQ92+(1-EXP(-LN(2)/25))/(LN(2)/25)*Calculateur!BL93*Calculateur!BN93*VLOOKUP('Données projet'!$B$11,Paramètres!$A$1:$I$89,3,0)*0.475*44/12</f>
        <v>2.8927311833341802</v>
      </c>
      <c r="BR93" s="21">
        <f>EXP(-LN(2)/2)*BR92+(1-EXP(-LN(2)/2))/(LN(2)/2)*BL93*BO93*VLOOKUP('Données projet'!$B$11,Paramètres!$A$1:$I$89,3,0)*0.475*44/12</f>
        <v>2.043260547345587E-8</v>
      </c>
      <c r="BS93" s="22">
        <f t="shared" si="63"/>
        <v>3.6651431495782911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567</v>
      </c>
      <c r="BW93" s="12">
        <f>VLOOKUP(A93,'Données projet'!$A$113:$I$133,9,0)</f>
        <v>10.8</v>
      </c>
      <c r="BX93" s="12">
        <f t="array" ref="BX93">INDEX(BW:BW,MIN(IF(ISNUMBER(BW93:BW289),ROW(BW93:BW289),"")))</f>
        <v>10.8</v>
      </c>
      <c r="BY93" s="12">
        <f>IF('Données projet'!$A$114&gt;35,BY92+BX93-CG92,IF(A93&lt;'Données projet'!$A$114,$BV$205^A93,IF(A93='Données projet'!$A$114,'Données projet'!$B$114,BY92+BX93-CG92)))</f>
        <v>567</v>
      </c>
      <c r="BZ93" s="13">
        <f>BY93*VLOOKUP('Données projet'!$B$12,Paramètres!$A$1:$I$89,3,0)*VLOOKUP('Données projet'!$B$12,Paramètres!$A$1:$I$89,5,0)</f>
        <v>339.06600000000003</v>
      </c>
      <c r="CA93" s="13">
        <f t="shared" si="93"/>
        <v>79.30694522486489</v>
      </c>
      <c r="CB93" s="20">
        <f t="shared" si="64"/>
        <v>728.66621293330627</v>
      </c>
      <c r="CC93" s="59">
        <f t="shared" si="65"/>
        <v>1021.9995462666395</v>
      </c>
      <c r="CD93" s="59">
        <f ca="1">AVERAGE(OFFSET($CC$3,0,0,'Données projet'!$E$12+1,1))-AVERAGE(OFFSET($H$3,0,0,'Données projet'!$E$12+1,1))</f>
        <v>270.30888762640245</v>
      </c>
      <c r="CE93" s="59">
        <f t="shared" si="94"/>
        <v>202.23783851977691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70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0.65274248941817359</v>
      </c>
      <c r="CL93" s="21">
        <f>EXP(-LN(2)/25)*CL92+(1-EXP(-LN(2)/25))/(LN(2)/25)*Calculateur!CG93*Calculateur!CI93*VLOOKUP('Données projet'!$B$12,Paramètres!$A$1:$I$89,3,0)*0.475*44/12</f>
        <v>2.3295063394199165</v>
      </c>
      <c r="CM93" s="21">
        <f>EXP(-LN(2)/2)*CM92+(1-EXP(-LN(2)/2))/(LN(2)/2)*CG93*CJ93*VLOOKUP('Données projet'!$B$12,Paramètres!$A$1:$I$89,3,0)*0.475*44/12</f>
        <v>1.7222583840100639E-8</v>
      </c>
      <c r="CN93" s="22">
        <f t="shared" si="66"/>
        <v>2.9822488460606738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-5.1159076974727213E-13</v>
      </c>
      <c r="CU93" s="17">
        <f>CT93*VLOOKUP('Données projet'!$B$13,Paramètres!$A$1:$I$89,3,0)*VLOOKUP('Données projet'!$B$13,Paramètres!$A$1:$I$89,5,0)</f>
        <v>-3.4317508834647017E-13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207.93042467236967</v>
      </c>
      <c r="CZ93" s="59">
        <f t="shared" si="96"/>
        <v>250.70954318710835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0.83842197533720741</v>
      </c>
      <c r="DG93" s="21">
        <f>EXP(-LN(2)/25)*DG92+(1-EXP(-LN(2)/25))/(LN(2)/25)*Calculateur!DB93*Calculateur!DD93*VLOOKUP('Données projet'!$B$13,Paramètres!$A$1:$I$89,3,0)*0.475*44/12</f>
        <v>3.2778965119902712</v>
      </c>
      <c r="DH93" s="21">
        <f>EXP(-LN(2)/2)*DH92+(1-EXP(-LN(2)/2))/(LN(2)/2)*DB93*DE93*VLOOKUP('Données projet'!$B$13,Paramètres!$A$1:$I$89,3,0)*0.475*44/12</f>
        <v>1.8876237189736203E-8</v>
      </c>
      <c r="DI93" s="22">
        <f t="shared" si="69"/>
        <v>4.116318506203716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5.6843418860808015E-14</v>
      </c>
      <c r="DP93" s="17">
        <f>DO93*VLOOKUP('Données projet'!$B$14,Paramètres!$A$1:$I$89,3,0)*VLOOKUP('Données projet'!$B$14,Paramètres!$A$1:$I$89,5,0)</f>
        <v>3.813056537183002E-14</v>
      </c>
      <c r="DQ93" s="13">
        <f t="shared" si="97"/>
        <v>6.4086286045526829E-13</v>
      </c>
      <c r="DR93" s="20">
        <f t="shared" si="70"/>
        <v>1.1825802166488628E-12</v>
      </c>
      <c r="DS93" s="59">
        <f t="shared" si="71"/>
        <v>293.33333333333451</v>
      </c>
      <c r="DT93" s="59">
        <f ca="1">AVERAGE(OFFSET($DS$3,0,0,'Données projet'!$E$14+1,1))-AVERAGE(OFFSET($H$3,0,0,'Données projet'!$E$14+1,1))</f>
        <v>156.63226020379989</v>
      </c>
      <c r="DU93" s="59">
        <f t="shared" si="98"/>
        <v>196.0481096619543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1.6426503550787668</v>
      </c>
      <c r="EC93" s="21">
        <f>EXP(-LN(2)/2)*EC92+(1-EXP(-LN(2)/2))/(LN(2)/2)*DW93*DZ93*VLOOKUP('Données projet'!$B$14,Paramètres!$A$1:$I$89,3,0)*0.475*44/12</f>
        <v>8.4503281881351429E-9</v>
      </c>
      <c r="ED93" s="22">
        <f t="shared" si="72"/>
        <v>1.642650363529095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5.2606837606837598</v>
      </c>
      <c r="EJ93" s="12">
        <f>IF('Données projet'!$A$192&gt;35,EJ92+EI93-ER92,IF(A93&lt;'Données projet'!$A$192,$EG$205^A93,IF(A93='Données projet'!$A$192,'Données projet'!$B$192,EJ92+EI93-ER92)))</f>
        <v>196.4871794871793</v>
      </c>
      <c r="EK93" s="17">
        <f>EJ93*VLOOKUP('Données projet'!$B$15,Paramètres!$A$1:$I$89,3,0)*VLOOKUP('Données projet'!$B$15,Paramètres!$A$1:$I$89,5,0)</f>
        <v>199.23799999999983</v>
      </c>
      <c r="EL93" s="13">
        <f t="shared" si="99"/>
        <v>49.576666002151768</v>
      </c>
      <c r="EM93" s="20">
        <f t="shared" si="73"/>
        <v>433.35220995374738</v>
      </c>
      <c r="EN93" s="59">
        <f t="shared" si="74"/>
        <v>726.68554328708069</v>
      </c>
      <c r="EO93" s="59">
        <f ca="1">AVERAGE(OFFSET($EN$3,0,0,'Données projet'!$E$15+1,1))-AVERAGE(OFFSET($H$3,0,0,'Données projet'!$E$15+1,1))</f>
        <v>190.21499310415584</v>
      </c>
      <c r="EP93" s="59">
        <f t="shared" si="100"/>
        <v>136.15730566500173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82.958333333333329</v>
      </c>
      <c r="FC93" s="12">
        <f>VLOOKUP(A93,'Données projet'!$A$217:$I$237,9,0)</f>
        <v>1.2374999999999985</v>
      </c>
      <c r="FD93" s="12">
        <f t="array" ref="FD93">INDEX(FC:FC,MIN(IF(ISNUMBER(FC93:FC289),ROW(FC93:FC289),"")))</f>
        <v>1.2374999999999985</v>
      </c>
      <c r="FE93" s="12">
        <f>IF('Données projet'!$A$218&gt;35,FE92+FD93-FM92,IF(A93&lt;'Données projet'!$A$218,$FB$205^A93,IF(A93='Données projet'!$A$218,'Données projet'!$B$218,FE92+FD93-FM92)))</f>
        <v>82.958333333333329</v>
      </c>
      <c r="FF93" s="17">
        <f>FE93*VLOOKUP('Données projet'!$B$16,Paramètres!$A$1:$I$89,3,0)*VLOOKUP('Données projet'!$B$16,Paramètres!$A$1:$I$89,5,0)</f>
        <v>95.567999999999984</v>
      </c>
      <c r="FG93" s="13">
        <f t="shared" si="101"/>
        <v>25.903365143881221</v>
      </c>
      <c r="FH93" s="20">
        <f t="shared" si="76"/>
        <v>211.56262762559308</v>
      </c>
      <c r="FI93" s="59">
        <f t="shared" si="77"/>
        <v>504.89596095892637</v>
      </c>
      <c r="FJ93" s="59">
        <f ca="1">AVERAGE(OFFSET($FI$3,0,0,'Données projet'!$E$16+1,1))-AVERAGE(OFFSET($H$3,0,0,'Données projet'!$E$16+1,1))</f>
        <v>14.847345852478327</v>
      </c>
      <c r="FK93" s="59">
        <f t="shared" si="102"/>
        <v>46.764428272166299</v>
      </c>
      <c r="FL93" s="15">
        <f>IF(ISNA(VLOOKUP(A93,'Données projet'!$A$217:$I$237,3,0)),0,VLOOKUP(A93,'Données projet'!$A$217:$I$237,3,0))</f>
        <v>9</v>
      </c>
      <c r="FM93" s="15">
        <f>IF(ISNA(VLOOKUP(A93,'Données projet'!$A$217:$I$237,4,0)),0,VLOOKUP(A93,'Données projet'!$A$217:$I$237,4,0))</f>
        <v>8.2916666666666661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0.33625671285975955</v>
      </c>
      <c r="FS93" s="21">
        <f>EXP(-LN(2)/2)*FS92+(1-EXP(-LN(2)/2))/(LN(2)/2)*FM93*FP93*VLOOKUP('Données projet'!$B$16,Paramètres!$A$1:$I$89,3,0)*0.475*44/12</f>
        <v>1.837495243380683E-9</v>
      </c>
      <c r="FT93" s="22">
        <f t="shared" si="78"/>
        <v>0.33625671469725482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7.1782051282051267</v>
      </c>
      <c r="N94" s="13">
        <f>IF('Données projet'!$A$36&gt;35,N93+M94-V93,IF(A94&lt;'Données projet'!$A$36,$K$205^A94,IF(A94='Données projet'!$A$36,'Données projet'!$B$36,N93+M94-V93)))</f>
        <v>260.82435897435914</v>
      </c>
      <c r="O94" s="13">
        <f>N94*VLOOKUP('Données projet'!$B$9,Paramètres!$A$1:$I$89,3,0)*VLOOKUP('Données projet'!$B$9,Paramètres!$A$1:$I$89,5,0)</f>
        <v>235.99388000000016</v>
      </c>
      <c r="P94" s="13">
        <f t="shared" si="87"/>
        <v>57.57675164364376</v>
      </c>
      <c r="Q94" s="20">
        <f t="shared" si="54"/>
        <v>511.3021834460132</v>
      </c>
      <c r="R94" s="59">
        <f t="shared" si="55"/>
        <v>804.63551677934652</v>
      </c>
      <c r="S94" s="59">
        <f ca="1">AVERAGE(OFFSET($R$3,0,0,'Données projet'!$E$9+1,1))-AVERAGE(OFFSET($H$3,0,0,'Données projet'!$E$9+1,1))</f>
        <v>221.7429870520005</v>
      </c>
      <c r="T94" s="59">
        <f t="shared" si="88"/>
        <v>182.2029938397186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-5.1159076974727213E-13</v>
      </c>
      <c r="AJ94" s="13">
        <f>AI94*VLOOKUP('Données projet'!$B$10,Paramètres!$A$1:$I$89,3,0)*VLOOKUP('Données projet'!$B$10,Paramètres!$A$1:$I$89,5,0)</f>
        <v>-4.0702161641092972E-13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260.20517190557814</v>
      </c>
      <c r="AO94" s="59">
        <f t="shared" si="90"/>
        <v>307.22009971147133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0.97490773537617503</v>
      </c>
      <c r="AV94" s="21">
        <f>EXP(-LN(2)/25)*AV93+(1-EXP(-LN(2)/25))/(LN(2)/25)*Calculateur!AQ94*Calculateur!AS94*VLOOKUP('Données projet'!$B$10,Paramètres!$A$1:$I$89,3,0)*0.475*44/12</f>
        <v>3.7814273310263524</v>
      </c>
      <c r="AW94" s="21">
        <f>EXP(-LN(2)/2)*AW93+(1-EXP(-LN(2)/2))/(LN(2)/2)*AQ94*AT94*VLOOKUP('Données projet'!$B$10,Paramètres!$A$1:$I$89,3,0)*0.475*44/12</f>
        <v>1.5830773984361782E-8</v>
      </c>
      <c r="AX94" s="21">
        <f t="shared" si="60"/>
        <v>4.7563350822333019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553.99999999999955</v>
      </c>
      <c r="BE94" s="13">
        <f>BD94*VLOOKUP('Données projet'!$B$11,Paramètres!$A$1:$I$89,3,0)*VLOOKUP('Données projet'!$B$11,Paramètres!$A$1:$I$89,5,0)</f>
        <v>331.29199999999975</v>
      </c>
      <c r="BF94" s="13">
        <f t="shared" si="91"/>
        <v>77.698110787752</v>
      </c>
      <c r="BG94" s="20">
        <f t="shared" si="61"/>
        <v>712.32444295533423</v>
      </c>
      <c r="BH94" s="59">
        <f t="shared" si="62"/>
        <v>1005.6577762886675</v>
      </c>
      <c r="BI94" s="59">
        <f ca="1">AVERAGE(OFFSET($BH$3,0,0,'Données projet'!$E$11+1,1))-AVERAGE(OFFSET($H$3,0,0,'Données projet'!$E$11+1,1))</f>
        <v>316.58509520829671</v>
      </c>
      <c r="BJ94" s="59">
        <f t="shared" si="92"/>
        <v>240.71332110643596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0.75726541867890917</v>
      </c>
      <c r="BQ94" s="21">
        <f>EXP(-LN(2)/25)*BQ93+(1-EXP(-LN(2)/25))/(LN(2)/25)*Calculateur!BL94*Calculateur!BN94*VLOOKUP('Données projet'!$B$11,Paramètres!$A$1:$I$89,3,0)*0.475*44/12</f>
        <v>2.8136292970037857</v>
      </c>
      <c r="BR94" s="21">
        <f>EXP(-LN(2)/2)*BR93+(1-EXP(-LN(2)/2))/(LN(2)/2)*BL94*BO94*VLOOKUP('Données projet'!$B$11,Paramètres!$A$1:$I$89,3,0)*0.475*44/12</f>
        <v>1.4448033887590015E-8</v>
      </c>
      <c r="BS94" s="22">
        <f t="shared" si="63"/>
        <v>3.5708947301307288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497</v>
      </c>
      <c r="BZ94" s="13">
        <f>BY94*VLOOKUP('Données projet'!$B$12,Paramètres!$A$1:$I$89,3,0)*VLOOKUP('Données projet'!$B$12,Paramètres!$A$1:$I$89,5,0)</f>
        <v>297.20600000000002</v>
      </c>
      <c r="CA94" s="13">
        <f t="shared" si="93"/>
        <v>70.590415164571112</v>
      </c>
      <c r="CB94" s="20">
        <f t="shared" si="64"/>
        <v>640.57875641162809</v>
      </c>
      <c r="CC94" s="59">
        <f t="shared" si="65"/>
        <v>933.91208974496135</v>
      </c>
      <c r="CD94" s="59">
        <f ca="1">AVERAGE(OFFSET($CC$3,0,0,'Données projet'!$E$12+1,1))-AVERAGE(OFFSET($H$3,0,0,'Données projet'!$E$12+1,1))</f>
        <v>270.30888762640245</v>
      </c>
      <c r="CE94" s="59">
        <f t="shared" si="94"/>
        <v>202.23783851977691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0.63994260733428932</v>
      </c>
      <c r="CL94" s="21">
        <f>EXP(-LN(2)/25)*CL93+(1-EXP(-LN(2)/25))/(LN(2)/25)*Calculateur!CG94*Calculateur!CI94*VLOOKUP('Données projet'!$B$12,Paramètres!$A$1:$I$89,3,0)*0.475*44/12</f>
        <v>2.2658058660650648</v>
      </c>
      <c r="CM94" s="21">
        <f>EXP(-LN(2)/2)*CM93+(1-EXP(-LN(2)/2))/(LN(2)/2)*CG94*CJ94*VLOOKUP('Données projet'!$B$12,Paramètres!$A$1:$I$89,3,0)*0.475*44/12</f>
        <v>1.2178205822889012E-8</v>
      </c>
      <c r="CN94" s="22">
        <f t="shared" si="66"/>
        <v>2.9057484855775604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-5.1159076974727213E-13</v>
      </c>
      <c r="CU94" s="17">
        <f>CT94*VLOOKUP('Données projet'!$B$13,Paramètres!$A$1:$I$89,3,0)*VLOOKUP('Données projet'!$B$13,Paramètres!$A$1:$I$89,5,0)</f>
        <v>-3.4317508834647017E-13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207.93042467236967</v>
      </c>
      <c r="CZ94" s="59">
        <f t="shared" si="96"/>
        <v>250.70954318710835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0.8219810317877545</v>
      </c>
      <c r="DG94" s="21">
        <f>EXP(-LN(2)/25)*DG93+(1-EXP(-LN(2)/25))/(LN(2)/25)*Calculateur!DB94*Calculateur!DD94*VLOOKUP('Données projet'!$B$13,Paramètres!$A$1:$I$89,3,0)*0.475*44/12</f>
        <v>3.1882622594928116</v>
      </c>
      <c r="DH94" s="21">
        <f>EXP(-LN(2)/2)*DH93+(1-EXP(-LN(2)/2))/(LN(2)/2)*DB94*DE94*VLOOKUP('Données projet'!$B$13,Paramètres!$A$1:$I$89,3,0)*0.475*44/12</f>
        <v>1.3347515320148168E-8</v>
      </c>
      <c r="DI94" s="22">
        <f t="shared" si="69"/>
        <v>4.010243304628081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5.6843418860808015E-14</v>
      </c>
      <c r="DP94" s="17">
        <f>DO94*VLOOKUP('Données projet'!$B$14,Paramètres!$A$1:$I$89,3,0)*VLOOKUP('Données projet'!$B$14,Paramètres!$A$1:$I$89,5,0)</f>
        <v>3.813056537183002E-14</v>
      </c>
      <c r="DQ94" s="13">
        <f t="shared" si="97"/>
        <v>6.4086286045526829E-13</v>
      </c>
      <c r="DR94" s="20">
        <f t="shared" si="70"/>
        <v>1.1825802166488628E-12</v>
      </c>
      <c r="DS94" s="59">
        <f t="shared" si="71"/>
        <v>293.33333333333451</v>
      </c>
      <c r="DT94" s="59">
        <f ca="1">AVERAGE(OFFSET($DS$3,0,0,'Données projet'!$E$14+1,1))-AVERAGE(OFFSET($H$3,0,0,'Données projet'!$E$14+1,1))</f>
        <v>156.63226020379989</v>
      </c>
      <c r="DU94" s="59">
        <f t="shared" si="98"/>
        <v>196.0481096619543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1.5977319947359101</v>
      </c>
      <c r="EC94" s="21">
        <f>EXP(-LN(2)/2)*EC93+(1-EXP(-LN(2)/2))/(LN(2)/2)*DW94*DZ94*VLOOKUP('Données projet'!$B$14,Paramètres!$A$1:$I$89,3,0)*0.475*44/12</f>
        <v>5.9752843650821911E-9</v>
      </c>
      <c r="ED94" s="22">
        <f t="shared" si="72"/>
        <v>1.5977320007111944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5.2606837606837598</v>
      </c>
      <c r="EJ94" s="12">
        <f>IF('Données projet'!$A$192&gt;35,EJ93+EI94-ER93,IF(A94&lt;'Données projet'!$A$192,$EG$205^A94,IF(A94='Données projet'!$A$192,'Données projet'!$B$192,EJ93+EI94-ER93)))</f>
        <v>201.74786324786305</v>
      </c>
      <c r="EK94" s="17">
        <f>EJ94*VLOOKUP('Données projet'!$B$15,Paramètres!$A$1:$I$89,3,0)*VLOOKUP('Données projet'!$B$15,Paramètres!$A$1:$I$89,5,0)</f>
        <v>204.57233333333312</v>
      </c>
      <c r="EL94" s="13">
        <f t="shared" si="99"/>
        <v>50.747702424306688</v>
      </c>
      <c r="EM94" s="20">
        <f t="shared" si="73"/>
        <v>444.6823956112226</v>
      </c>
      <c r="EN94" s="59">
        <f t="shared" si="74"/>
        <v>738.01572894455592</v>
      </c>
      <c r="EO94" s="59">
        <f ca="1">AVERAGE(OFFSET($EN$3,0,0,'Données projet'!$E$15+1,1))-AVERAGE(OFFSET($H$3,0,0,'Données projet'!$E$15+1,1))</f>
        <v>190.21499310415584</v>
      </c>
      <c r="EP94" s="59">
        <f t="shared" si="100"/>
        <v>136.15730566500173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1.1541666666666686</v>
      </c>
      <c r="FE94" s="12">
        <f>IF('Données projet'!$A$218&gt;35,FE93+FD94-FM93,IF(A94&lt;'Données projet'!$A$218,$FB$205^A94,IF(A94='Données projet'!$A$218,'Données projet'!$B$218,FE93+FD94-FM93)))</f>
        <v>75.820833333333326</v>
      </c>
      <c r="FF94" s="17">
        <f>FE94*VLOOKUP('Données projet'!$B$16,Paramètres!$A$1:$I$89,3,0)*VLOOKUP('Données projet'!$B$16,Paramètres!$A$1:$I$89,5,0)</f>
        <v>87.34559999999999</v>
      </c>
      <c r="FG94" s="13">
        <f t="shared" si="101"/>
        <v>23.923936507245898</v>
      </c>
      <c r="FH94" s="20">
        <f t="shared" si="76"/>
        <v>193.79444275011988</v>
      </c>
      <c r="FI94" s="59">
        <f t="shared" si="77"/>
        <v>487.12777608345323</v>
      </c>
      <c r="FJ94" s="59">
        <f ca="1">AVERAGE(OFFSET($FI$3,0,0,'Données projet'!$E$16+1,1))-AVERAGE(OFFSET($H$3,0,0,'Données projet'!$E$16+1,1))</f>
        <v>14.847345852478327</v>
      </c>
      <c r="FK94" s="59">
        <f t="shared" si="102"/>
        <v>46.764428272166299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0.32706175536363741</v>
      </c>
      <c r="FS94" s="21">
        <f>EXP(-LN(2)/2)*FS93+(1-EXP(-LN(2)/2))/(LN(2)/2)*FM94*FP94*VLOOKUP('Données projet'!$B$16,Paramètres!$A$1:$I$89,3,0)*0.475*44/12</f>
        <v>1.2993053469925066E-9</v>
      </c>
      <c r="FT94" s="22">
        <f t="shared" si="78"/>
        <v>0.32706175666294274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7.1782051282051267</v>
      </c>
      <c r="N95" s="13">
        <f>IF('Données projet'!$A$36&gt;35,N94+M95-V94,IF(A95&lt;'Données projet'!$A$36,$K$205^A95,IF(A95='Données projet'!$A$36,'Données projet'!$B$36,N94+M95-V94)))</f>
        <v>268.00256410256429</v>
      </c>
      <c r="O95" s="13">
        <f>N95*VLOOKUP('Données projet'!$B$9,Paramètres!$A$1:$I$89,3,0)*VLOOKUP('Données projet'!$B$9,Paramètres!$A$1:$I$89,5,0)</f>
        <v>242.48872000000014</v>
      </c>
      <c r="P95" s="13">
        <f t="shared" si="87"/>
        <v>58.974668795913999</v>
      </c>
      <c r="Q95" s="20">
        <f t="shared" si="54"/>
        <v>525.0487354862172</v>
      </c>
      <c r="R95" s="59">
        <f t="shared" si="55"/>
        <v>818.38206881955057</v>
      </c>
      <c r="S95" s="59">
        <f ca="1">AVERAGE(OFFSET($R$3,0,0,'Données projet'!$E$9+1,1))-AVERAGE(OFFSET($H$3,0,0,'Données projet'!$E$9+1,1))</f>
        <v>221.7429870520005</v>
      </c>
      <c r="T95" s="59">
        <f t="shared" si="88"/>
        <v>182.2029938397186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-5.1159076974727213E-13</v>
      </c>
      <c r="AJ95" s="13">
        <f>AI95*VLOOKUP('Données projet'!$B$10,Paramètres!$A$1:$I$89,3,0)*VLOOKUP('Données projet'!$B$10,Paramètres!$A$1:$I$89,5,0)</f>
        <v>-4.0702161641092972E-13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260.20517190557814</v>
      </c>
      <c r="AO95" s="59">
        <f t="shared" si="90"/>
        <v>307.22009971147133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0.95579038932045146</v>
      </c>
      <c r="AV95" s="21">
        <f>EXP(-LN(2)/25)*AV94+(1-EXP(-LN(2)/25))/(LN(2)/25)*Calculateur!AQ95*Calculateur!AS95*VLOOKUP('Données projet'!$B$10,Paramètres!$A$1:$I$89,3,0)*0.475*44/12</f>
        <v>3.6780240018028159</v>
      </c>
      <c r="AW95" s="21">
        <f>EXP(-LN(2)/2)*AW94+(1-EXP(-LN(2)/2))/(LN(2)/2)*AQ95*AT95*VLOOKUP('Données projet'!$B$10,Paramètres!$A$1:$I$89,3,0)*0.475*44/12</f>
        <v>1.1194047635773796E-8</v>
      </c>
      <c r="AX95" s="21">
        <f t="shared" si="60"/>
        <v>4.6338144023173147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553.99999999999955</v>
      </c>
      <c r="BE95" s="13">
        <f>BD95*VLOOKUP('Données projet'!$B$11,Paramètres!$A$1:$I$89,3,0)*VLOOKUP('Données projet'!$B$11,Paramètres!$A$1:$I$89,5,0)</f>
        <v>331.29199999999975</v>
      </c>
      <c r="BF95" s="13">
        <f t="shared" si="91"/>
        <v>77.698110787752</v>
      </c>
      <c r="BG95" s="20">
        <f t="shared" si="61"/>
        <v>712.32444295533423</v>
      </c>
      <c r="BH95" s="59">
        <f t="shared" si="62"/>
        <v>1005.6577762886675</v>
      </c>
      <c r="BI95" s="59">
        <f ca="1">AVERAGE(OFFSET($BH$3,0,0,'Données projet'!$E$11+1,1))-AVERAGE(OFFSET($H$3,0,0,'Données projet'!$E$11+1,1))</f>
        <v>316.58509520829671</v>
      </c>
      <c r="BJ95" s="59">
        <f t="shared" si="92"/>
        <v>240.71332110643596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0.74241590570491367</v>
      </c>
      <c r="BQ95" s="21">
        <f>EXP(-LN(2)/25)*BQ94+(1-EXP(-LN(2)/25))/(LN(2)/25)*Calculateur!BL95*Calculateur!BN95*VLOOKUP('Données projet'!$B$11,Paramètres!$A$1:$I$89,3,0)*0.475*44/12</f>
        <v>2.736690455914883</v>
      </c>
      <c r="BR95" s="21">
        <f>EXP(-LN(2)/2)*BR94+(1-EXP(-LN(2)/2))/(LN(2)/2)*BL95*BO95*VLOOKUP('Données projet'!$B$11,Paramètres!$A$1:$I$89,3,0)*0.475*44/12</f>
        <v>1.0216302736727937E-8</v>
      </c>
      <c r="BS95" s="22">
        <f t="shared" si="63"/>
        <v>3.4791063718360995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497</v>
      </c>
      <c r="BZ95" s="13">
        <f>BY95*VLOOKUP('Données projet'!$B$12,Paramètres!$A$1:$I$89,3,0)*VLOOKUP('Données projet'!$B$12,Paramètres!$A$1:$I$89,5,0)</f>
        <v>297.20600000000002</v>
      </c>
      <c r="CA95" s="13">
        <f t="shared" si="93"/>
        <v>70.590415164571112</v>
      </c>
      <c r="CB95" s="20">
        <f t="shared" si="64"/>
        <v>640.57875641162809</v>
      </c>
      <c r="CC95" s="59">
        <f t="shared" si="65"/>
        <v>933.91208974496135</v>
      </c>
      <c r="CD95" s="59">
        <f ca="1">AVERAGE(OFFSET($CC$3,0,0,'Données projet'!$E$12+1,1))-AVERAGE(OFFSET($H$3,0,0,'Données projet'!$E$12+1,1))</f>
        <v>270.30888762640245</v>
      </c>
      <c r="CE95" s="59">
        <f t="shared" si="94"/>
        <v>202.23783851977691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0.62739372313091279</v>
      </c>
      <c r="CL95" s="21">
        <f>EXP(-LN(2)/25)*CL94+(1-EXP(-LN(2)/25))/(LN(2)/25)*Calculateur!CG95*Calculateur!CI95*VLOOKUP('Données projet'!$B$12,Paramètres!$A$1:$I$89,3,0)*0.475*44/12</f>
        <v>2.2038472855039637</v>
      </c>
      <c r="CM95" s="21">
        <f>EXP(-LN(2)/2)*CM94+(1-EXP(-LN(2)/2))/(LN(2)/2)*CG95*CJ95*VLOOKUP('Données projet'!$B$12,Paramètres!$A$1:$I$89,3,0)*0.475*44/12</f>
        <v>8.6112919200503193E-9</v>
      </c>
      <c r="CN95" s="22">
        <f t="shared" si="66"/>
        <v>2.8312410172461684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-5.1159076974727213E-13</v>
      </c>
      <c r="CU95" s="17">
        <f>CT95*VLOOKUP('Données projet'!$B$13,Paramètres!$A$1:$I$89,3,0)*VLOOKUP('Données projet'!$B$13,Paramètres!$A$1:$I$89,5,0)</f>
        <v>-3.4317508834647017E-13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207.93042467236967</v>
      </c>
      <c r="CZ95" s="59">
        <f t="shared" si="96"/>
        <v>250.70954318710835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0.80586248511332093</v>
      </c>
      <c r="DG95" s="21">
        <f>EXP(-LN(2)/25)*DG94+(1-EXP(-LN(2)/25))/(LN(2)/25)*Calculateur!DB95*Calculateur!DD95*VLOOKUP('Données projet'!$B$13,Paramètres!$A$1:$I$89,3,0)*0.475*44/12</f>
        <v>3.1010790603435554</v>
      </c>
      <c r="DH95" s="21">
        <f>EXP(-LN(2)/2)*DH94+(1-EXP(-LN(2)/2))/(LN(2)/2)*DB95*DE95*VLOOKUP('Données projet'!$B$13,Paramètres!$A$1:$I$89,3,0)*0.475*44/12</f>
        <v>9.4381185948681016E-9</v>
      </c>
      <c r="DI95" s="22">
        <f t="shared" si="69"/>
        <v>3.9069415548949951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5.6843418860808015E-14</v>
      </c>
      <c r="DP95" s="17">
        <f>DO95*VLOOKUP('Données projet'!$B$14,Paramètres!$A$1:$I$89,3,0)*VLOOKUP('Données projet'!$B$14,Paramètres!$A$1:$I$89,5,0)</f>
        <v>3.813056537183002E-14</v>
      </c>
      <c r="DQ95" s="13">
        <f t="shared" si="97"/>
        <v>6.4086286045526829E-13</v>
      </c>
      <c r="DR95" s="20">
        <f t="shared" si="70"/>
        <v>1.1825802166488628E-12</v>
      </c>
      <c r="DS95" s="59">
        <f t="shared" si="71"/>
        <v>293.33333333333451</v>
      </c>
      <c r="DT95" s="59">
        <f ca="1">AVERAGE(OFFSET($DS$3,0,0,'Données projet'!$E$14+1,1))-AVERAGE(OFFSET($H$3,0,0,'Données projet'!$E$14+1,1))</f>
        <v>156.63226020379989</v>
      </c>
      <c r="DU95" s="59">
        <f t="shared" si="98"/>
        <v>196.0481096619543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1.5540419293187826</v>
      </c>
      <c r="EC95" s="21">
        <f>EXP(-LN(2)/2)*EC94+(1-EXP(-LN(2)/2))/(LN(2)/2)*DW95*DZ95*VLOOKUP('Données projet'!$B$14,Paramètres!$A$1:$I$89,3,0)*0.475*44/12</f>
        <v>4.2251640940675715E-9</v>
      </c>
      <c r="ED95" s="22">
        <f t="shared" si="72"/>
        <v>1.5540419335439466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5.2606837606837598</v>
      </c>
      <c r="EJ95" s="12">
        <f>IF('Données projet'!$A$192&gt;35,EJ94+EI95-ER94,IF(A95&lt;'Données projet'!$A$192,$EG$205^A95,IF(A95='Données projet'!$A$192,'Données projet'!$B$192,EJ94+EI95-ER94)))</f>
        <v>207.0085470085468</v>
      </c>
      <c r="EK95" s="17">
        <f>EJ95*VLOOKUP('Données projet'!$B$15,Paramètres!$A$1:$I$89,3,0)*VLOOKUP('Données projet'!$B$15,Paramètres!$A$1:$I$89,5,0)</f>
        <v>209.90666666666647</v>
      </c>
      <c r="EL95" s="13">
        <f t="shared" si="99"/>
        <v>51.915189489079573</v>
      </c>
      <c r="EM95" s="20">
        <f t="shared" si="73"/>
        <v>456.00639947125768</v>
      </c>
      <c r="EN95" s="59">
        <f t="shared" si="74"/>
        <v>749.33973280459099</v>
      </c>
      <c r="EO95" s="59">
        <f ca="1">AVERAGE(OFFSET($EN$3,0,0,'Données projet'!$E$15+1,1))-AVERAGE(OFFSET($H$3,0,0,'Données projet'!$E$15+1,1))</f>
        <v>190.21499310415584</v>
      </c>
      <c r="EP95" s="59">
        <f t="shared" si="100"/>
        <v>136.15730566500173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1.1541666666666686</v>
      </c>
      <c r="FE95" s="12">
        <f>IF('Données projet'!$A$218&gt;35,FE94+FD95-FM94,IF(A95&lt;'Données projet'!$A$218,$FB$205^A95,IF(A95='Données projet'!$A$218,'Données projet'!$B$218,FE94+FD95-FM94)))</f>
        <v>76.974999999999994</v>
      </c>
      <c r="FF95" s="17">
        <f>FE95*VLOOKUP('Données projet'!$B$16,Paramètres!$A$1:$I$89,3,0)*VLOOKUP('Données projet'!$B$16,Paramètres!$A$1:$I$89,5,0)</f>
        <v>88.675199999999975</v>
      </c>
      <c r="FG95" s="13">
        <f t="shared" si="101"/>
        <v>24.245439898451529</v>
      </c>
      <c r="FH95" s="20">
        <f t="shared" si="76"/>
        <v>196.67011448980301</v>
      </c>
      <c r="FI95" s="59">
        <f t="shared" si="77"/>
        <v>490.0034478231363</v>
      </c>
      <c r="FJ95" s="59">
        <f ca="1">AVERAGE(OFFSET($FI$3,0,0,'Données projet'!$E$16+1,1))-AVERAGE(OFFSET($H$3,0,0,'Données projet'!$E$16+1,1))</f>
        <v>14.847345852478327</v>
      </c>
      <c r="FK95" s="59">
        <f t="shared" si="102"/>
        <v>46.764428272166299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0.31811823446378856</v>
      </c>
      <c r="FS95" s="21">
        <f>EXP(-LN(2)/2)*FS94+(1-EXP(-LN(2)/2))/(LN(2)/2)*FM95*FP95*VLOOKUP('Données projet'!$B$16,Paramètres!$A$1:$I$89,3,0)*0.475*44/12</f>
        <v>9.1874762169034162E-10</v>
      </c>
      <c r="FT95" s="22">
        <f t="shared" si="78"/>
        <v>0.3181182353825362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7.1782051282051267</v>
      </c>
      <c r="N96" s="13">
        <f>IF('Données projet'!$A$36&gt;35,N95+M96-V95,IF(A96&lt;'Données projet'!$A$36,$K$205^A96,IF(A96='Données projet'!$A$36,'Données projet'!$B$36,N95+M96-V95)))</f>
        <v>275.18076923076944</v>
      </c>
      <c r="O96" s="13">
        <f>N96*VLOOKUP('Données projet'!$B$9,Paramètres!$A$1:$I$89,3,0)*VLOOKUP('Données projet'!$B$9,Paramètres!$A$1:$I$89,5,0)</f>
        <v>248.98356000000018</v>
      </c>
      <c r="P96" s="13">
        <f t="shared" si="87"/>
        <v>60.368233943158558</v>
      </c>
      <c r="Q96" s="20">
        <f t="shared" si="54"/>
        <v>538.78770778433466</v>
      </c>
      <c r="R96" s="59">
        <f t="shared" si="55"/>
        <v>832.12104111766803</v>
      </c>
      <c r="S96" s="59">
        <f ca="1">AVERAGE(OFFSET($R$3,0,0,'Données projet'!$E$9+1,1))-AVERAGE(OFFSET($H$3,0,0,'Données projet'!$E$9+1,1))</f>
        <v>221.7429870520005</v>
      </c>
      <c r="T96" s="59">
        <f t="shared" si="88"/>
        <v>182.2029938397186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-5.1159076974727213E-13</v>
      </c>
      <c r="AJ96" s="13">
        <f>AI96*VLOOKUP('Données projet'!$B$10,Paramètres!$A$1:$I$89,3,0)*VLOOKUP('Données projet'!$B$10,Paramètres!$A$1:$I$89,5,0)</f>
        <v>-4.0702161641092972E-13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260.20517190557814</v>
      </c>
      <c r="AO96" s="59">
        <f t="shared" si="90"/>
        <v>307.22009971147133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0.9370479227604509</v>
      </c>
      <c r="AV96" s="21">
        <f>EXP(-LN(2)/25)*AV95+(1-EXP(-LN(2)/25))/(LN(2)/25)*Calculateur!AQ96*Calculateur!AS96*VLOOKUP('Données projet'!$B$10,Paramètres!$A$1:$I$89,3,0)*0.475*44/12</f>
        <v>3.5774482420546416</v>
      </c>
      <c r="AW96" s="21">
        <f>EXP(-LN(2)/2)*AW95+(1-EXP(-LN(2)/2))/(LN(2)/2)*AQ96*AT96*VLOOKUP('Données projet'!$B$10,Paramètres!$A$1:$I$89,3,0)*0.475*44/12</f>
        <v>7.915386992180891E-9</v>
      </c>
      <c r="AX96" s="21">
        <f t="shared" si="60"/>
        <v>4.5144961727304791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553.99999999999955</v>
      </c>
      <c r="BE96" s="13">
        <f>BD96*VLOOKUP('Données projet'!$B$11,Paramètres!$A$1:$I$89,3,0)*VLOOKUP('Données projet'!$B$11,Paramètres!$A$1:$I$89,5,0)</f>
        <v>331.29199999999975</v>
      </c>
      <c r="BF96" s="13">
        <f t="shared" si="91"/>
        <v>77.698110787752</v>
      </c>
      <c r="BG96" s="20">
        <f t="shared" si="61"/>
        <v>712.32444295533423</v>
      </c>
      <c r="BH96" s="59">
        <f t="shared" si="62"/>
        <v>1005.6577762886675</v>
      </c>
      <c r="BI96" s="59">
        <f ca="1">AVERAGE(OFFSET($BH$3,0,0,'Données projet'!$E$11+1,1))-AVERAGE(OFFSET($H$3,0,0,'Données projet'!$E$11+1,1))</f>
        <v>316.58509520829671</v>
      </c>
      <c r="BJ96" s="59">
        <f t="shared" si="92"/>
        <v>240.71332110643596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0.72785758262302969</v>
      </c>
      <c r="BQ96" s="21">
        <f>EXP(-LN(2)/25)*BQ95+(1-EXP(-LN(2)/25))/(LN(2)/25)*Calculateur!BL96*Calculateur!BN96*VLOOKUP('Données projet'!$B$11,Paramètres!$A$1:$I$89,3,0)*0.475*44/12</f>
        <v>2.661855511481594</v>
      </c>
      <c r="BR96" s="21">
        <f>EXP(-LN(2)/2)*BR95+(1-EXP(-LN(2)/2))/(LN(2)/2)*BL96*BO96*VLOOKUP('Données projet'!$B$11,Paramètres!$A$1:$I$89,3,0)*0.475*44/12</f>
        <v>7.2240169437950083E-9</v>
      </c>
      <c r="BS96" s="22">
        <f t="shared" si="63"/>
        <v>3.3897131013286406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497</v>
      </c>
      <c r="BZ96" s="13">
        <f>BY96*VLOOKUP('Données projet'!$B$12,Paramètres!$A$1:$I$89,3,0)*VLOOKUP('Données projet'!$B$12,Paramètres!$A$1:$I$89,5,0)</f>
        <v>297.20600000000002</v>
      </c>
      <c r="CA96" s="13">
        <f t="shared" si="93"/>
        <v>70.590415164571112</v>
      </c>
      <c r="CB96" s="20">
        <f t="shared" si="64"/>
        <v>640.57875641162809</v>
      </c>
      <c r="CC96" s="59">
        <f t="shared" si="65"/>
        <v>933.91208974496135</v>
      </c>
      <c r="CD96" s="59">
        <f ca="1">AVERAGE(OFFSET($CC$3,0,0,'Données projet'!$E$12+1,1))-AVERAGE(OFFSET($H$3,0,0,'Données projet'!$E$12+1,1))</f>
        <v>270.30888762640245</v>
      </c>
      <c r="CE96" s="59">
        <f t="shared" si="94"/>
        <v>202.23783851977691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0.61509091489270096</v>
      </c>
      <c r="CL96" s="21">
        <f>EXP(-LN(2)/25)*CL95+(1-EXP(-LN(2)/25))/(LN(2)/25)*Calculateur!CG96*Calculateur!CI96*VLOOKUP('Données projet'!$B$12,Paramètres!$A$1:$I$89,3,0)*0.475*44/12</f>
        <v>2.1435829655865661</v>
      </c>
      <c r="CM96" s="21">
        <f>EXP(-LN(2)/2)*CM95+(1-EXP(-LN(2)/2))/(LN(2)/2)*CG96*CJ96*VLOOKUP('Données projet'!$B$12,Paramètres!$A$1:$I$89,3,0)*0.475*44/12</f>
        <v>6.0891029114445058E-9</v>
      </c>
      <c r="CN96" s="22">
        <f t="shared" si="66"/>
        <v>2.7586738865683702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-5.1159076974727213E-13</v>
      </c>
      <c r="CU96" s="17">
        <f>CT96*VLOOKUP('Données projet'!$B$13,Paramètres!$A$1:$I$89,3,0)*VLOOKUP('Données projet'!$B$13,Paramètres!$A$1:$I$89,5,0)</f>
        <v>-3.4317508834647017E-13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207.93042467236967</v>
      </c>
      <c r="CZ96" s="59">
        <f t="shared" si="96"/>
        <v>250.70954318710835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0.79006001330783027</v>
      </c>
      <c r="DG96" s="21">
        <f>EXP(-LN(2)/25)*DG95+(1-EXP(-LN(2)/25))/(LN(2)/25)*Calculateur!DB96*Calculateur!DD96*VLOOKUP('Données projet'!$B$13,Paramètres!$A$1:$I$89,3,0)*0.475*44/12</f>
        <v>3.0162798903598009</v>
      </c>
      <c r="DH96" s="21">
        <f>EXP(-LN(2)/2)*DH95+(1-EXP(-LN(2)/2))/(LN(2)/2)*DB96*DE96*VLOOKUP('Données projet'!$B$13,Paramètres!$A$1:$I$89,3,0)*0.475*44/12</f>
        <v>6.6737576600740842E-9</v>
      </c>
      <c r="DI96" s="22">
        <f t="shared" si="69"/>
        <v>3.8063399103413889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5.6843418860808015E-14</v>
      </c>
      <c r="DP96" s="17">
        <f>DO96*VLOOKUP('Données projet'!$B$14,Paramètres!$A$1:$I$89,3,0)*VLOOKUP('Données projet'!$B$14,Paramètres!$A$1:$I$89,5,0)</f>
        <v>3.813056537183002E-14</v>
      </c>
      <c r="DQ96" s="13">
        <f t="shared" si="97"/>
        <v>6.4086286045526829E-13</v>
      </c>
      <c r="DR96" s="20">
        <f t="shared" si="70"/>
        <v>1.1825802166488628E-12</v>
      </c>
      <c r="DS96" s="59">
        <f t="shared" si="71"/>
        <v>293.33333333333451</v>
      </c>
      <c r="DT96" s="59">
        <f ca="1">AVERAGE(OFFSET($DS$3,0,0,'Données projet'!$E$14+1,1))-AVERAGE(OFFSET($H$3,0,0,'Données projet'!$E$14+1,1))</f>
        <v>156.63226020379989</v>
      </c>
      <c r="DU96" s="59">
        <f t="shared" si="98"/>
        <v>196.0481096619543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1.5115465710380473</v>
      </c>
      <c r="EC96" s="21">
        <f>EXP(-LN(2)/2)*EC95+(1-EXP(-LN(2)/2))/(LN(2)/2)*DW96*DZ96*VLOOKUP('Données projet'!$B$14,Paramètres!$A$1:$I$89,3,0)*0.475*44/12</f>
        <v>2.9876421825410956E-9</v>
      </c>
      <c r="ED96" s="22">
        <f t="shared" si="72"/>
        <v>1.5115465740256895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>
        <f>VLOOKUP(A96,'Données projet'!$A$191:$I$211,2,0)</f>
        <v>212.26923076923075</v>
      </c>
      <c r="EH96" s="12">
        <f>VLOOKUP(A96,'Données projet'!$A$191:$I$211,9,0)</f>
        <v>5.2606837606837598</v>
      </c>
      <c r="EI96" s="12">
        <f t="array" ref="EI96">INDEX(EH:EH,MIN(IF(ISNUMBER(EH96:EH292),ROW(EH96:EH292),"")))</f>
        <v>5.2606837606837598</v>
      </c>
      <c r="EJ96" s="12">
        <f>IF('Données projet'!$A$192&gt;35,EJ95+EI96-ER95,IF(A96&lt;'Données projet'!$A$192,$EG$205^A96,IF(A96='Données projet'!$A$192,'Données projet'!$B$192,EJ95+EI96-ER95)))</f>
        <v>212.26923076923055</v>
      </c>
      <c r="EK96" s="17">
        <f>EJ96*VLOOKUP('Données projet'!$B$15,Paramètres!$A$1:$I$89,3,0)*VLOOKUP('Données projet'!$B$15,Paramètres!$A$1:$I$89,5,0)</f>
        <v>215.24099999999979</v>
      </c>
      <c r="EL96" s="13">
        <f t="shared" si="99"/>
        <v>53.079227768194642</v>
      </c>
      <c r="EM96" s="20">
        <f t="shared" si="73"/>
        <v>467.32439669627183</v>
      </c>
      <c r="EN96" s="59">
        <f t="shared" si="74"/>
        <v>760.65773002960509</v>
      </c>
      <c r="EO96" s="59">
        <f ca="1">AVERAGE(OFFSET($EN$3,0,0,'Données projet'!$E$15+1,1))-AVERAGE(OFFSET($H$3,0,0,'Données projet'!$E$15+1,1))</f>
        <v>190.21499310415584</v>
      </c>
      <c r="EP96" s="59">
        <f t="shared" si="100"/>
        <v>136.15730566500173</v>
      </c>
      <c r="EQ96" s="15">
        <f>IF(ISNA(VLOOKUP(A96,'Données projet'!$A$191:$I$211,3,0)),0,VLOOKUP(A96,'Données projet'!$A$191:$I$211,3,0))</f>
        <v>7</v>
      </c>
      <c r="ER96" s="15">
        <f>IF(ISNA(VLOOKUP(A96,'Données projet'!$A$191:$I$211,4,0)),0,VLOOKUP(A96,'Données projet'!$A$191:$I$211,4,0))</f>
        <v>30.083333333333332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1.1541666666666686</v>
      </c>
      <c r="FE96" s="12">
        <f>IF('Données projet'!$A$218&gt;35,FE95+FD96-FM95,IF(A96&lt;'Données projet'!$A$218,$FB$205^A96,IF(A96='Données projet'!$A$218,'Données projet'!$B$218,FE95+FD96-FM95)))</f>
        <v>78.129166666666663</v>
      </c>
      <c r="FF96" s="17">
        <f>FE96*VLOOKUP('Données projet'!$B$16,Paramètres!$A$1:$I$89,3,0)*VLOOKUP('Données projet'!$B$16,Paramètres!$A$1:$I$89,5,0)</f>
        <v>90.004799999999989</v>
      </c>
      <c r="FG96" s="13">
        <f t="shared" si="101"/>
        <v>24.566382634732431</v>
      </c>
      <c r="FH96" s="20">
        <f t="shared" si="76"/>
        <v>199.54480975549231</v>
      </c>
      <c r="FI96" s="59">
        <f t="shared" si="77"/>
        <v>492.8781430888256</v>
      </c>
      <c r="FJ96" s="59">
        <f ca="1">AVERAGE(OFFSET($FI$3,0,0,'Données projet'!$E$16+1,1))-AVERAGE(OFFSET($H$3,0,0,'Données projet'!$E$16+1,1))</f>
        <v>14.847345852478327</v>
      </c>
      <c r="FK96" s="59">
        <f t="shared" si="102"/>
        <v>46.764428272166299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0.3094192746132654</v>
      </c>
      <c r="FS96" s="21">
        <f>EXP(-LN(2)/2)*FS95+(1-EXP(-LN(2)/2))/(LN(2)/2)*FM96*FP96*VLOOKUP('Données projet'!$B$16,Paramètres!$A$1:$I$89,3,0)*0.475*44/12</f>
        <v>6.4965267349625342E-10</v>
      </c>
      <c r="FT96" s="22">
        <f t="shared" si="78"/>
        <v>0.30941927526291807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7.1782051282051267</v>
      </c>
      <c r="N97" s="13">
        <f>IF('Données projet'!$A$36&gt;35,N96+M97-V96,IF(A97&lt;'Données projet'!$A$36,$K$205^A97,IF(A97='Données projet'!$A$36,'Données projet'!$B$36,N96+M97-V96)))</f>
        <v>282.35897435897459</v>
      </c>
      <c r="O97" s="13">
        <f>N97*VLOOKUP('Données projet'!$B$9,Paramètres!$A$1:$I$89,3,0)*VLOOKUP('Données projet'!$B$9,Paramètres!$A$1:$I$89,5,0)</f>
        <v>255.47840000000019</v>
      </c>
      <c r="P97" s="13">
        <f t="shared" si="87"/>
        <v>61.757573660260746</v>
      </c>
      <c r="Q97" s="20">
        <f t="shared" si="54"/>
        <v>552.51932079162111</v>
      </c>
      <c r="R97" s="59">
        <f t="shared" si="55"/>
        <v>845.85265412495437</v>
      </c>
      <c r="S97" s="59">
        <f ca="1">AVERAGE(OFFSET($R$3,0,0,'Données projet'!$E$9+1,1))-AVERAGE(OFFSET($H$3,0,0,'Données projet'!$E$9+1,1))</f>
        <v>221.7429870520005</v>
      </c>
      <c r="T97" s="59">
        <f t="shared" si="88"/>
        <v>182.2029938397186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-5.1159076974727213E-13</v>
      </c>
      <c r="AJ97" s="13">
        <f>AI97*VLOOKUP('Données projet'!$B$10,Paramètres!$A$1:$I$89,3,0)*VLOOKUP('Données projet'!$B$10,Paramètres!$A$1:$I$89,5,0)</f>
        <v>-4.0702161641092972E-13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260.20517190557814</v>
      </c>
      <c r="AO97" s="59">
        <f t="shared" si="90"/>
        <v>307.22009971147133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0.91867298453791613</v>
      </c>
      <c r="AV97" s="21">
        <f>EXP(-LN(2)/25)*AV96+(1-EXP(-LN(2)/25))/(LN(2)/25)*Calculateur!AQ97*Calculateur!AS97*VLOOKUP('Données projet'!$B$10,Paramètres!$A$1:$I$89,3,0)*0.475*44/12</f>
        <v>3.4796227317458306</v>
      </c>
      <c r="AW97" s="21">
        <f>EXP(-LN(2)/2)*AW96+(1-EXP(-LN(2)/2))/(LN(2)/2)*AQ97*AT97*VLOOKUP('Données projet'!$B$10,Paramètres!$A$1:$I$89,3,0)*0.475*44/12</f>
        <v>5.5970238178868979E-9</v>
      </c>
      <c r="AX97" s="21">
        <f t="shared" si="60"/>
        <v>4.3982957218807712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553.99999999999955</v>
      </c>
      <c r="BE97" s="13">
        <f>BD97*VLOOKUP('Données projet'!$B$11,Paramètres!$A$1:$I$89,3,0)*VLOOKUP('Données projet'!$B$11,Paramètres!$A$1:$I$89,5,0)</f>
        <v>331.29199999999975</v>
      </c>
      <c r="BF97" s="13">
        <f t="shared" si="91"/>
        <v>77.698110787752</v>
      </c>
      <c r="BG97" s="20">
        <f t="shared" si="61"/>
        <v>712.32444295533423</v>
      </c>
      <c r="BH97" s="59">
        <f t="shared" si="62"/>
        <v>1005.6577762886675</v>
      </c>
      <c r="BI97" s="59">
        <f ca="1">AVERAGE(OFFSET($BH$3,0,0,'Données projet'!$E$11+1,1))-AVERAGE(OFFSET($H$3,0,0,'Données projet'!$E$11+1,1))</f>
        <v>316.58509520829671</v>
      </c>
      <c r="BJ97" s="59">
        <f t="shared" si="92"/>
        <v>240.71332110643596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0.71358473937708111</v>
      </c>
      <c r="BQ97" s="21">
        <f>EXP(-LN(2)/25)*BQ96+(1-EXP(-LN(2)/25))/(LN(2)/25)*Calculateur!BL97*Calculateur!BN97*VLOOKUP('Données projet'!$B$11,Paramètres!$A$1:$I$89,3,0)*0.475*44/12</f>
        <v>2.5890669325392324</v>
      </c>
      <c r="BR97" s="21">
        <f>EXP(-LN(2)/2)*BR96+(1-EXP(-LN(2)/2))/(LN(2)/2)*BL97*BO97*VLOOKUP('Données projet'!$B$11,Paramètres!$A$1:$I$89,3,0)*0.475*44/12</f>
        <v>5.1081513683639692E-9</v>
      </c>
      <c r="BS97" s="22">
        <f t="shared" si="63"/>
        <v>3.3026516770244649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497</v>
      </c>
      <c r="BZ97" s="13">
        <f>BY97*VLOOKUP('Données projet'!$B$12,Paramètres!$A$1:$I$89,3,0)*VLOOKUP('Données projet'!$B$12,Paramètres!$A$1:$I$89,5,0)</f>
        <v>297.20600000000002</v>
      </c>
      <c r="CA97" s="13">
        <f t="shared" si="93"/>
        <v>70.590415164571112</v>
      </c>
      <c r="CB97" s="20">
        <f t="shared" si="64"/>
        <v>640.57875641162809</v>
      </c>
      <c r="CC97" s="59">
        <f t="shared" si="65"/>
        <v>933.91208974496135</v>
      </c>
      <c r="CD97" s="59">
        <f ca="1">AVERAGE(OFFSET($CC$3,0,0,'Données projet'!$E$12+1,1))-AVERAGE(OFFSET($H$3,0,0,'Données projet'!$E$12+1,1))</f>
        <v>270.30888762640245</v>
      </c>
      <c r="CE97" s="59">
        <f t="shared" si="94"/>
        <v>202.23783851977691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0.60302935722006834</v>
      </c>
      <c r="CL97" s="21">
        <f>EXP(-LN(2)/25)*CL96+(1-EXP(-LN(2)/25))/(LN(2)/25)*Calculateur!CG97*Calculateur!CI97*VLOOKUP('Données projet'!$B$12,Paramètres!$A$1:$I$89,3,0)*0.475*44/12</f>
        <v>2.0849665766664724</v>
      </c>
      <c r="CM97" s="21">
        <f>EXP(-LN(2)/2)*CM96+(1-EXP(-LN(2)/2))/(LN(2)/2)*CG97*CJ97*VLOOKUP('Données projet'!$B$12,Paramètres!$A$1:$I$89,3,0)*0.475*44/12</f>
        <v>4.3056459600251596E-9</v>
      </c>
      <c r="CN97" s="22">
        <f t="shared" si="66"/>
        <v>2.687995938192187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-5.1159076974727213E-13</v>
      </c>
      <c r="CU97" s="17">
        <f>CT97*VLOOKUP('Données projet'!$B$13,Paramètres!$A$1:$I$89,3,0)*VLOOKUP('Données projet'!$B$13,Paramètres!$A$1:$I$89,5,0)</f>
        <v>-3.4317508834647017E-13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207.93042467236967</v>
      </c>
      <c r="CZ97" s="59">
        <f t="shared" si="96"/>
        <v>250.70954318710835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0.77456741833588927</v>
      </c>
      <c r="DG97" s="21">
        <f>EXP(-LN(2)/25)*DG96+(1-EXP(-LN(2)/25))/(LN(2)/25)*Calculateur!DB97*Calculateur!DD97*VLOOKUP('Données projet'!$B$13,Paramètres!$A$1:$I$89,3,0)*0.475*44/12</f>
        <v>2.9337995581386465</v>
      </c>
      <c r="DH97" s="21">
        <f>EXP(-LN(2)/2)*DH96+(1-EXP(-LN(2)/2))/(LN(2)/2)*DB97*DE97*VLOOKUP('Données projet'!$B$13,Paramètres!$A$1:$I$89,3,0)*0.475*44/12</f>
        <v>4.7190592974340508E-9</v>
      </c>
      <c r="DI97" s="22">
        <f t="shared" si="69"/>
        <v>3.7083669811935951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5.6843418860808015E-14</v>
      </c>
      <c r="DP97" s="17">
        <f>DO97*VLOOKUP('Données projet'!$B$14,Paramètres!$A$1:$I$89,3,0)*VLOOKUP('Données projet'!$B$14,Paramètres!$A$1:$I$89,5,0)</f>
        <v>3.813056537183002E-14</v>
      </c>
      <c r="DQ97" s="13">
        <f t="shared" si="97"/>
        <v>6.4086286045526829E-13</v>
      </c>
      <c r="DR97" s="20">
        <f t="shared" si="70"/>
        <v>1.1825802166488628E-12</v>
      </c>
      <c r="DS97" s="59">
        <f t="shared" si="71"/>
        <v>293.33333333333451</v>
      </c>
      <c r="DT97" s="59">
        <f ca="1">AVERAGE(OFFSET($DS$3,0,0,'Données projet'!$E$14+1,1))-AVERAGE(OFFSET($H$3,0,0,'Données projet'!$E$14+1,1))</f>
        <v>156.63226020379989</v>
      </c>
      <c r="DU97" s="59">
        <f t="shared" si="98"/>
        <v>196.0481096619543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1.4702132505642325</v>
      </c>
      <c r="EC97" s="21">
        <f>EXP(-LN(2)/2)*EC96+(1-EXP(-LN(2)/2))/(LN(2)/2)*DW97*DZ97*VLOOKUP('Données projet'!$B$14,Paramètres!$A$1:$I$89,3,0)*0.475*44/12</f>
        <v>2.1125820470337857E-9</v>
      </c>
      <c r="ED97" s="22">
        <f t="shared" si="72"/>
        <v>1.4702132526768146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5.2583333333333373</v>
      </c>
      <c r="EJ97" s="12">
        <f>IF('Données projet'!$A$192&gt;35,EJ96+EI97-ER96,IF(A97&lt;'Données projet'!$A$192,$EG$205^A97,IF(A97='Données projet'!$A$192,'Données projet'!$B$192,EJ96+EI97-ER96)))</f>
        <v>187.44423076923053</v>
      </c>
      <c r="EK97" s="17">
        <f>EJ97*VLOOKUP('Données projet'!$B$15,Paramètres!$A$1:$I$89,3,0)*VLOOKUP('Données projet'!$B$15,Paramètres!$A$1:$I$89,5,0)</f>
        <v>190.06844999999976</v>
      </c>
      <c r="EL97" s="13">
        <f t="shared" si="99"/>
        <v>47.555085857097623</v>
      </c>
      <c r="EM97" s="20">
        <f t="shared" si="73"/>
        <v>413.86099161777793</v>
      </c>
      <c r="EN97" s="59">
        <f t="shared" si="74"/>
        <v>707.19432495111118</v>
      </c>
      <c r="EO97" s="59">
        <f ca="1">AVERAGE(OFFSET($EN$3,0,0,'Données projet'!$E$15+1,1))-AVERAGE(OFFSET($H$3,0,0,'Données projet'!$E$15+1,1))</f>
        <v>190.21499310415584</v>
      </c>
      <c r="EP97" s="59">
        <f t="shared" si="100"/>
        <v>136.15730566500173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1.1541666666666686</v>
      </c>
      <c r="FE97" s="12">
        <f>IF('Données projet'!$A$218&gt;35,FE96+FD97-FM96,IF(A97&lt;'Données projet'!$A$218,$FB$205^A97,IF(A97='Données projet'!$A$218,'Données projet'!$B$218,FE96+FD97-FM96)))</f>
        <v>79.283333333333331</v>
      </c>
      <c r="FF97" s="17">
        <f>FE97*VLOOKUP('Données projet'!$B$16,Paramètres!$A$1:$I$89,3,0)*VLOOKUP('Données projet'!$B$16,Paramètres!$A$1:$I$89,5,0)</f>
        <v>91.334399999999988</v>
      </c>
      <c r="FG97" s="13">
        <f t="shared" si="101"/>
        <v>24.886773955180164</v>
      </c>
      <c r="FH97" s="20">
        <f t="shared" si="76"/>
        <v>202.41854463860543</v>
      </c>
      <c r="FI97" s="59">
        <f t="shared" si="77"/>
        <v>495.75187797193871</v>
      </c>
      <c r="FJ97" s="59">
        <f ca="1">AVERAGE(OFFSET($FI$3,0,0,'Données projet'!$E$16+1,1))-AVERAGE(OFFSET($H$3,0,0,'Données projet'!$E$16+1,1))</f>
        <v>14.847345852478327</v>
      </c>
      <c r="FK97" s="59">
        <f t="shared" si="102"/>
        <v>46.764428272166299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0.30095818827731319</v>
      </c>
      <c r="FS97" s="21">
        <f>EXP(-LN(2)/2)*FS96+(1-EXP(-LN(2)/2))/(LN(2)/2)*FM97*FP97*VLOOKUP('Données projet'!$B$16,Paramètres!$A$1:$I$89,3,0)*0.475*44/12</f>
        <v>4.5937381084517091E-10</v>
      </c>
      <c r="FT97" s="22">
        <f t="shared" si="78"/>
        <v>0.300958188736687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7.1782051282051267</v>
      </c>
      <c r="N98" s="13">
        <f>IF('Données projet'!$A$36&gt;35,N97+M98-V97,IF(A98&lt;'Données projet'!$A$36,$K$205^A98,IF(A98='Données projet'!$A$36,'Données projet'!$B$36,N97+M98-V97)))</f>
        <v>289.53717948717974</v>
      </c>
      <c r="O98" s="13">
        <f>N98*VLOOKUP('Données projet'!$B$9,Paramètres!$A$1:$I$89,3,0)*VLOOKUP('Données projet'!$B$9,Paramètres!$A$1:$I$89,5,0)</f>
        <v>261.9732400000002</v>
      </c>
      <c r="P98" s="13">
        <f t="shared" si="87"/>
        <v>63.142807719765102</v>
      </c>
      <c r="Q98" s="20">
        <f t="shared" si="54"/>
        <v>566.2437831119247</v>
      </c>
      <c r="R98" s="59">
        <f t="shared" si="55"/>
        <v>859.57711644525807</v>
      </c>
      <c r="S98" s="59">
        <f ca="1">AVERAGE(OFFSET($R$3,0,0,'Données projet'!$E$9+1,1))-AVERAGE(OFFSET($H$3,0,0,'Données projet'!$E$9+1,1))</f>
        <v>221.7429870520005</v>
      </c>
      <c r="T98" s="59">
        <f t="shared" si="88"/>
        <v>182.2029938397186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-5.1159076974727213E-13</v>
      </c>
      <c r="AJ98" s="13">
        <f>AI98*VLOOKUP('Données projet'!$B$10,Paramètres!$A$1:$I$89,3,0)*VLOOKUP('Données projet'!$B$10,Paramètres!$A$1:$I$89,5,0)</f>
        <v>-4.0702161641092972E-13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260.20517190557814</v>
      </c>
      <c r="AO98" s="59">
        <f t="shared" si="90"/>
        <v>307.22009971147133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0.90065836764631968</v>
      </c>
      <c r="AV98" s="21">
        <f>EXP(-LN(2)/25)*AV97+(1-EXP(-LN(2)/25))/(LN(2)/25)*Calculateur!AQ98*Calculateur!AS98*VLOOKUP('Données projet'!$B$10,Paramètres!$A$1:$I$89,3,0)*0.475*44/12</f>
        <v>3.3844722651608343</v>
      </c>
      <c r="AW98" s="21">
        <f>EXP(-LN(2)/2)*AW97+(1-EXP(-LN(2)/2))/(LN(2)/2)*AQ98*AT98*VLOOKUP('Données projet'!$B$10,Paramètres!$A$1:$I$89,3,0)*0.475*44/12</f>
        <v>3.9576934960904455E-9</v>
      </c>
      <c r="AX98" s="21">
        <f t="shared" si="60"/>
        <v>4.2851306367648476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553.99999999999955</v>
      </c>
      <c r="BE98" s="13">
        <f>BD98*VLOOKUP('Données projet'!$B$11,Paramètres!$A$1:$I$89,3,0)*VLOOKUP('Données projet'!$B$11,Paramètres!$A$1:$I$89,5,0)</f>
        <v>331.29199999999975</v>
      </c>
      <c r="BF98" s="13">
        <f t="shared" si="91"/>
        <v>77.698110787752</v>
      </c>
      <c r="BG98" s="20">
        <f t="shared" si="61"/>
        <v>712.32444295533423</v>
      </c>
      <c r="BH98" s="59">
        <f t="shared" si="62"/>
        <v>1005.6577762886675</v>
      </c>
      <c r="BI98" s="59">
        <f ca="1">AVERAGE(OFFSET($BH$3,0,0,'Données projet'!$E$11+1,1))-AVERAGE(OFFSET($H$3,0,0,'Données projet'!$E$11+1,1))</f>
        <v>316.58509520829671</v>
      </c>
      <c r="BJ98" s="59">
        <f t="shared" si="92"/>
        <v>240.71332110643596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0.69959177788161087</v>
      </c>
      <c r="BQ98" s="21">
        <f>EXP(-LN(2)/25)*BQ97+(1-EXP(-LN(2)/25))/(LN(2)/25)*Calculateur!BL98*Calculateur!BN98*VLOOKUP('Données projet'!$B$11,Paramètres!$A$1:$I$89,3,0)*0.475*44/12</f>
        <v>2.5182687611158343</v>
      </c>
      <c r="BR98" s="21">
        <f>EXP(-LN(2)/2)*BR97+(1-EXP(-LN(2)/2))/(LN(2)/2)*BL98*BO98*VLOOKUP('Données projet'!$B$11,Paramètres!$A$1:$I$89,3,0)*0.475*44/12</f>
        <v>3.6120084718975046E-9</v>
      </c>
      <c r="BS98" s="22">
        <f t="shared" si="63"/>
        <v>3.2178605426094538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497</v>
      </c>
      <c r="BZ98" s="13">
        <f>BY98*VLOOKUP('Données projet'!$B$12,Paramètres!$A$1:$I$89,3,0)*VLOOKUP('Données projet'!$B$12,Paramètres!$A$1:$I$89,5,0)</f>
        <v>297.20600000000002</v>
      </c>
      <c r="CA98" s="13">
        <f t="shared" si="93"/>
        <v>70.590415164571112</v>
      </c>
      <c r="CB98" s="20">
        <f t="shared" si="64"/>
        <v>640.57875641162809</v>
      </c>
      <c r="CC98" s="59">
        <f t="shared" si="65"/>
        <v>933.91208974496135</v>
      </c>
      <c r="CD98" s="59">
        <f ca="1">AVERAGE(OFFSET($CC$3,0,0,'Données projet'!$E$12+1,1))-AVERAGE(OFFSET($H$3,0,0,'Données projet'!$E$12+1,1))</f>
        <v>270.30888762640245</v>
      </c>
      <c r="CE98" s="59">
        <f t="shared" si="94"/>
        <v>202.23783851977691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0.59120431933657236</v>
      </c>
      <c r="CL98" s="21">
        <f>EXP(-LN(2)/25)*CL97+(1-EXP(-LN(2)/25))/(LN(2)/25)*Calculateur!CG98*Calculateur!CI98*VLOOKUP('Données projet'!$B$12,Paramètres!$A$1:$I$89,3,0)*0.475*44/12</f>
        <v>2.0279530559839007</v>
      </c>
      <c r="CM98" s="21">
        <f>EXP(-LN(2)/2)*CM97+(1-EXP(-LN(2)/2))/(LN(2)/2)*CG98*CJ98*VLOOKUP('Données projet'!$B$12,Paramètres!$A$1:$I$89,3,0)*0.475*44/12</f>
        <v>3.0445514557222529E-9</v>
      </c>
      <c r="CN98" s="22">
        <f t="shared" si="66"/>
        <v>2.6191573783650242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-5.1159076974727213E-13</v>
      </c>
      <c r="CU98" s="17">
        <f>CT98*VLOOKUP('Données projet'!$B$13,Paramètres!$A$1:$I$89,3,0)*VLOOKUP('Données projet'!$B$13,Paramètres!$A$1:$I$89,5,0)</f>
        <v>-3.4317508834647017E-13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207.93042467236967</v>
      </c>
      <c r="CZ98" s="59">
        <f t="shared" si="96"/>
        <v>250.70954318710835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0.75937862370179809</v>
      </c>
      <c r="DG98" s="21">
        <f>EXP(-LN(2)/25)*DG97+(1-EXP(-LN(2)/25))/(LN(2)/25)*Calculateur!DB98*Calculateur!DD98*VLOOKUP('Données projet'!$B$13,Paramètres!$A$1:$I$89,3,0)*0.475*44/12</f>
        <v>2.8535746549395316</v>
      </c>
      <c r="DH98" s="21">
        <f>EXP(-LN(2)/2)*DH97+(1-EXP(-LN(2)/2))/(LN(2)/2)*DB98*DE98*VLOOKUP('Données projet'!$B$13,Paramètres!$A$1:$I$89,3,0)*0.475*44/12</f>
        <v>3.3368788300370421E-9</v>
      </c>
      <c r="DI98" s="22">
        <f t="shared" si="69"/>
        <v>3.6129532819782084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5.6843418860808015E-14</v>
      </c>
      <c r="DP98" s="17">
        <f>DO98*VLOOKUP('Données projet'!$B$14,Paramètres!$A$1:$I$89,3,0)*VLOOKUP('Données projet'!$B$14,Paramètres!$A$1:$I$89,5,0)</f>
        <v>3.813056537183002E-14</v>
      </c>
      <c r="DQ98" s="13">
        <f t="shared" si="97"/>
        <v>6.4086286045526829E-13</v>
      </c>
      <c r="DR98" s="20">
        <f t="shared" si="70"/>
        <v>1.1825802166488628E-12</v>
      </c>
      <c r="DS98" s="59">
        <f t="shared" si="71"/>
        <v>293.33333333333451</v>
      </c>
      <c r="DT98" s="59">
        <f ca="1">AVERAGE(OFFSET($DS$3,0,0,'Données projet'!$E$14+1,1))-AVERAGE(OFFSET($H$3,0,0,'Données projet'!$E$14+1,1))</f>
        <v>156.63226020379989</v>
      </c>
      <c r="DU98" s="59">
        <f t="shared" si="98"/>
        <v>196.0481096619543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1.4300101919123989</v>
      </c>
      <c r="EC98" s="21">
        <f>EXP(-LN(2)/2)*EC97+(1-EXP(-LN(2)/2))/(LN(2)/2)*DW98*DZ98*VLOOKUP('Données projet'!$B$14,Paramètres!$A$1:$I$89,3,0)*0.475*44/12</f>
        <v>1.4938210912705478E-9</v>
      </c>
      <c r="ED98" s="22">
        <f t="shared" si="72"/>
        <v>1.4300101934062199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5.2583333333333373</v>
      </c>
      <c r="EJ98" s="12">
        <f>IF('Données projet'!$A$192&gt;35,EJ97+EI98-ER97,IF(A98&lt;'Données projet'!$A$192,$EG$205^A98,IF(A98='Données projet'!$A$192,'Données projet'!$B$192,EJ97+EI98-ER97)))</f>
        <v>192.70256410256385</v>
      </c>
      <c r="EK98" s="17">
        <f>EJ98*VLOOKUP('Données projet'!$B$15,Paramètres!$A$1:$I$89,3,0)*VLOOKUP('Données projet'!$B$15,Paramètres!$A$1:$I$89,5,0)</f>
        <v>195.40039999999976</v>
      </c>
      <c r="EL98" s="13">
        <f t="shared" si="99"/>
        <v>48.73195012899663</v>
      </c>
      <c r="EM98" s="20">
        <f t="shared" si="73"/>
        <v>425.19717647466877</v>
      </c>
      <c r="EN98" s="59">
        <f t="shared" si="74"/>
        <v>718.53050980800208</v>
      </c>
      <c r="EO98" s="59">
        <f ca="1">AVERAGE(OFFSET($EN$3,0,0,'Données projet'!$E$15+1,1))-AVERAGE(OFFSET($H$3,0,0,'Données projet'!$E$15+1,1))</f>
        <v>190.21499310415584</v>
      </c>
      <c r="EP98" s="59">
        <f t="shared" si="100"/>
        <v>136.15730566500173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1.1541666666666686</v>
      </c>
      <c r="FE98" s="12">
        <f>IF('Données projet'!$A$218&gt;35,FE97+FD98-FM97,IF(A98&lt;'Données projet'!$A$218,$FB$205^A98,IF(A98='Données projet'!$A$218,'Données projet'!$B$218,FE97+FD98-FM97)))</f>
        <v>80.4375</v>
      </c>
      <c r="FF98" s="17">
        <f>FE98*VLOOKUP('Données projet'!$B$16,Paramètres!$A$1:$I$89,3,0)*VLOOKUP('Données projet'!$B$16,Paramètres!$A$1:$I$89,5,0)</f>
        <v>92.664000000000001</v>
      </c>
      <c r="FG98" s="13">
        <f t="shared" si="101"/>
        <v>25.206622814445748</v>
      </c>
      <c r="FH98" s="20">
        <f t="shared" si="76"/>
        <v>205.29133473515969</v>
      </c>
      <c r="FI98" s="59">
        <f t="shared" si="77"/>
        <v>498.62466806849301</v>
      </c>
      <c r="FJ98" s="59">
        <f ca="1">AVERAGE(OFFSET($FI$3,0,0,'Données projet'!$E$16+1,1))-AVERAGE(OFFSET($H$3,0,0,'Données projet'!$E$16+1,1))</f>
        <v>14.847345852478327</v>
      </c>
      <c r="FK98" s="59">
        <f t="shared" si="102"/>
        <v>46.764428272166299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0.2927284707921668</v>
      </c>
      <c r="FS98" s="21">
        <f>EXP(-LN(2)/2)*FS97+(1-EXP(-LN(2)/2))/(LN(2)/2)*FM98*FP98*VLOOKUP('Données projet'!$B$16,Paramètres!$A$1:$I$89,3,0)*0.475*44/12</f>
        <v>3.2482633674812676E-10</v>
      </c>
      <c r="FT98" s="22">
        <f t="shared" si="78"/>
        <v>0.29272847111699313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7.1782051282051267</v>
      </c>
      <c r="N99" s="13">
        <f>IF('Données projet'!$A$36&gt;35,N98+M99-V98,IF(A99&lt;'Données projet'!$A$36,$K$205^A99,IF(A99='Données projet'!$A$36,'Données projet'!$B$36,N98+M99-V98)))</f>
        <v>296.71538461538489</v>
      </c>
      <c r="O99" s="13">
        <f>N99*VLOOKUP('Données projet'!$B$9,Paramètres!$A$1:$I$89,3,0)*VLOOKUP('Données projet'!$B$9,Paramètres!$A$1:$I$89,5,0)</f>
        <v>268.46808000000027</v>
      </c>
      <c r="P99" s="13">
        <f t="shared" si="87"/>
        <v>64.524049616897358</v>
      </c>
      <c r="Q99" s="20">
        <f t="shared" ref="Q99:Q130" si="107">(O99+P99)*0.475*44/12</f>
        <v>579.96129241609663</v>
      </c>
      <c r="R99" s="59">
        <f t="shared" si="55"/>
        <v>873.29462574943</v>
      </c>
      <c r="S99" s="59">
        <f ca="1">AVERAGE(OFFSET($R$3,0,0,'Données projet'!$E$9+1,1))-AVERAGE(OFFSET($H$3,0,0,'Données projet'!$E$9+1,1))</f>
        <v>221.7429870520005</v>
      </c>
      <c r="T99" s="59">
        <f t="shared" si="88"/>
        <v>182.2029938397186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-5.1159076974727213E-13</v>
      </c>
      <c r="AJ99" s="13">
        <f>AI99*VLOOKUP('Données projet'!$B$10,Paramètres!$A$1:$I$89,3,0)*VLOOKUP('Données projet'!$B$10,Paramètres!$A$1:$I$89,5,0)</f>
        <v>-4.0702161641092972E-13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260.20517190557814</v>
      </c>
      <c r="AO99" s="59">
        <f t="shared" si="90"/>
        <v>307.22009971147133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0.88299700640413603</v>
      </c>
      <c r="AV99" s="21">
        <f>EXP(-LN(2)/25)*AV98+(1-EXP(-LN(2)/25))/(LN(2)/25)*Calculateur!AQ99*Calculateur!AS99*VLOOKUP('Données projet'!$B$10,Paramètres!$A$1:$I$89,3,0)*0.475*44/12</f>
        <v>3.2919236930883504</v>
      </c>
      <c r="AW99" s="21">
        <f>EXP(-LN(2)/2)*AW98+(1-EXP(-LN(2)/2))/(LN(2)/2)*AQ99*AT99*VLOOKUP('Données projet'!$B$10,Paramètres!$A$1:$I$89,3,0)*0.475*44/12</f>
        <v>2.7985119089434489E-9</v>
      </c>
      <c r="AX99" s="21">
        <f t="shared" si="60"/>
        <v>4.174920702290998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553.99999999999955</v>
      </c>
      <c r="BE99" s="13">
        <f>BD99*VLOOKUP('Données projet'!$B$11,Paramètres!$A$1:$I$89,3,0)*VLOOKUP('Données projet'!$B$11,Paramètres!$A$1:$I$89,5,0)</f>
        <v>331.29199999999975</v>
      </c>
      <c r="BF99" s="13">
        <f t="shared" si="91"/>
        <v>77.698110787752</v>
      </c>
      <c r="BG99" s="20">
        <f t="shared" si="61"/>
        <v>712.32444295533423</v>
      </c>
      <c r="BH99" s="59">
        <f t="shared" si="62"/>
        <v>1005.6577762886675</v>
      </c>
      <c r="BI99" s="59">
        <f ca="1">AVERAGE(OFFSET($BH$3,0,0,'Données projet'!$E$11+1,1))-AVERAGE(OFFSET($H$3,0,0,'Données projet'!$E$11+1,1))</f>
        <v>316.58509520829671</v>
      </c>
      <c r="BJ99" s="59">
        <f t="shared" si="92"/>
        <v>240.71332110643596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0.68587320982620303</v>
      </c>
      <c r="BQ99" s="21">
        <f>EXP(-LN(2)/25)*BQ98+(1-EXP(-LN(2)/25))/(LN(2)/25)*Calculateur!BL99*Calculateur!BN99*VLOOKUP('Données projet'!$B$11,Paramètres!$A$1:$I$89,3,0)*0.475*44/12</f>
        <v>2.4494065694131231</v>
      </c>
      <c r="BR99" s="21">
        <f>EXP(-LN(2)/2)*BR98+(1-EXP(-LN(2)/2))/(LN(2)/2)*BL99*BO99*VLOOKUP('Données projet'!$B$11,Paramètres!$A$1:$I$89,3,0)*0.475*44/12</f>
        <v>2.554075684181985E-9</v>
      </c>
      <c r="BS99" s="22">
        <f t="shared" si="63"/>
        <v>3.1352797817934017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497</v>
      </c>
      <c r="BZ99" s="13">
        <f>BY99*VLOOKUP('Données projet'!$B$12,Paramètres!$A$1:$I$89,3,0)*VLOOKUP('Données projet'!$B$12,Paramètres!$A$1:$I$89,5,0)</f>
        <v>297.20600000000002</v>
      </c>
      <c r="CA99" s="13">
        <f t="shared" si="93"/>
        <v>70.590415164571112</v>
      </c>
      <c r="CB99" s="20">
        <f t="shared" si="64"/>
        <v>640.57875641162809</v>
      </c>
      <c r="CC99" s="59">
        <f t="shared" si="65"/>
        <v>933.91208974496135</v>
      </c>
      <c r="CD99" s="59">
        <f ca="1">AVERAGE(OFFSET($CC$3,0,0,'Données projet'!$E$12+1,1))-AVERAGE(OFFSET($H$3,0,0,'Données projet'!$E$12+1,1))</f>
        <v>270.30888762640245</v>
      </c>
      <c r="CE99" s="59">
        <f t="shared" si="94"/>
        <v>202.23783851977691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0.57961116323341078</v>
      </c>
      <c r="CL99" s="21">
        <f>EXP(-LN(2)/25)*CL98+(1-EXP(-LN(2)/25))/(LN(2)/25)*Calculateur!CG99*Calculateur!CI99*VLOOKUP('Données projet'!$B$12,Paramètres!$A$1:$I$89,3,0)*0.475*44/12</f>
        <v>1.9724985730226048</v>
      </c>
      <c r="CM99" s="21">
        <f>EXP(-LN(2)/2)*CM98+(1-EXP(-LN(2)/2))/(LN(2)/2)*CG99*CJ99*VLOOKUP('Données projet'!$B$12,Paramètres!$A$1:$I$89,3,0)*0.475*44/12</f>
        <v>2.1528229800125798E-9</v>
      </c>
      <c r="CN99" s="22">
        <f t="shared" si="66"/>
        <v>2.5521097384088383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-5.1159076974727213E-13</v>
      </c>
      <c r="CU99" s="17">
        <f>CT99*VLOOKUP('Données projet'!$B$13,Paramètres!$A$1:$I$89,3,0)*VLOOKUP('Données projet'!$B$13,Paramètres!$A$1:$I$89,5,0)</f>
        <v>-3.4317508834647017E-13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207.93042467236967</v>
      </c>
      <c r="CZ99" s="59">
        <f t="shared" si="96"/>
        <v>250.70954318710835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0.74448767206623157</v>
      </c>
      <c r="DG99" s="21">
        <f>EXP(-LN(2)/25)*DG98+(1-EXP(-LN(2)/25))/(LN(2)/25)*Calculateur!DB99*Calculateur!DD99*VLOOKUP('Données projet'!$B$13,Paramètres!$A$1:$I$89,3,0)*0.475*44/12</f>
        <v>2.7755435059372409</v>
      </c>
      <c r="DH99" s="21">
        <f>EXP(-LN(2)/2)*DH98+(1-EXP(-LN(2)/2))/(LN(2)/2)*DB99*DE99*VLOOKUP('Données projet'!$B$13,Paramètres!$A$1:$I$89,3,0)*0.475*44/12</f>
        <v>2.3595296487170254E-9</v>
      </c>
      <c r="DI99" s="22">
        <f t="shared" si="69"/>
        <v>3.5200311803630018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5.6843418860808015E-14</v>
      </c>
      <c r="DP99" s="17">
        <f>DO99*VLOOKUP('Données projet'!$B$14,Paramètres!$A$1:$I$89,3,0)*VLOOKUP('Données projet'!$B$14,Paramètres!$A$1:$I$89,5,0)</f>
        <v>3.813056537183002E-14</v>
      </c>
      <c r="DQ99" s="13">
        <f t="shared" si="97"/>
        <v>6.4086286045526829E-13</v>
      </c>
      <c r="DR99" s="20">
        <f t="shared" si="70"/>
        <v>1.1825802166488628E-12</v>
      </c>
      <c r="DS99" s="59">
        <f t="shared" si="71"/>
        <v>293.33333333333451</v>
      </c>
      <c r="DT99" s="59">
        <f ca="1">AVERAGE(OFFSET($DS$3,0,0,'Données projet'!$E$14+1,1))-AVERAGE(OFFSET($H$3,0,0,'Données projet'!$E$14+1,1))</f>
        <v>156.63226020379989</v>
      </c>
      <c r="DU99" s="59">
        <f t="shared" si="98"/>
        <v>196.0481096619543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1.3909064880135866</v>
      </c>
      <c r="EC99" s="21">
        <f>EXP(-LN(2)/2)*EC98+(1-EXP(-LN(2)/2))/(LN(2)/2)*DW99*DZ99*VLOOKUP('Données projet'!$B$14,Paramètres!$A$1:$I$89,3,0)*0.475*44/12</f>
        <v>1.0562910235168929E-9</v>
      </c>
      <c r="ED99" s="22">
        <f t="shared" si="72"/>
        <v>1.3909064890698777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5.2583333333333373</v>
      </c>
      <c r="EJ99" s="12">
        <f>IF('Données projet'!$A$192&gt;35,EJ98+EI99-ER98,IF(A99&lt;'Données projet'!$A$192,$EG$205^A99,IF(A99='Données projet'!$A$192,'Données projet'!$B$192,EJ98+EI99-ER98)))</f>
        <v>197.96089743589718</v>
      </c>
      <c r="EK99" s="17">
        <f>EJ99*VLOOKUP('Données projet'!$B$15,Paramètres!$A$1:$I$89,3,0)*VLOOKUP('Données projet'!$B$15,Paramètres!$A$1:$I$89,5,0)</f>
        <v>200.73234999999977</v>
      </c>
      <c r="EL99" s="13">
        <f t="shared" si="99"/>
        <v>49.905081835677372</v>
      </c>
      <c r="EM99" s="20">
        <f t="shared" si="73"/>
        <v>436.52686044713772</v>
      </c>
      <c r="EN99" s="59">
        <f t="shared" si="74"/>
        <v>729.86019378047104</v>
      </c>
      <c r="EO99" s="59">
        <f ca="1">AVERAGE(OFFSET($EN$3,0,0,'Données projet'!$E$15+1,1))-AVERAGE(OFFSET($H$3,0,0,'Données projet'!$E$15+1,1))</f>
        <v>190.21499310415584</v>
      </c>
      <c r="EP99" s="59">
        <f t="shared" si="100"/>
        <v>136.15730566500173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1.1541666666666686</v>
      </c>
      <c r="FE99" s="12">
        <f>IF('Données projet'!$A$218&gt;35,FE98+FD99-FM98,IF(A99&lt;'Données projet'!$A$218,$FB$205^A99,IF(A99='Données projet'!$A$218,'Données projet'!$B$218,FE98+FD99-FM98)))</f>
        <v>81.591666666666669</v>
      </c>
      <c r="FF99" s="17">
        <f>FE99*VLOOKUP('Données projet'!$B$16,Paramètres!$A$1:$I$89,3,0)*VLOOKUP('Données projet'!$B$16,Paramètres!$A$1:$I$89,5,0)</f>
        <v>93.993600000000001</v>
      </c>
      <c r="FG99" s="13">
        <f t="shared" si="101"/>
        <v>25.525937895449871</v>
      </c>
      <c r="FH99" s="20">
        <f t="shared" si="76"/>
        <v>208.1631951679085</v>
      </c>
      <c r="FI99" s="59">
        <f t="shared" si="77"/>
        <v>501.49652850124181</v>
      </c>
      <c r="FJ99" s="59">
        <f ca="1">AVERAGE(OFFSET($FI$3,0,0,'Données projet'!$E$16+1,1))-AVERAGE(OFFSET($H$3,0,0,'Données projet'!$E$16+1,1))</f>
        <v>14.847345852478327</v>
      </c>
      <c r="FK99" s="59">
        <f t="shared" si="102"/>
        <v>46.764428272166299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0.28472379536443376</v>
      </c>
      <c r="FS99" s="21">
        <f>EXP(-LN(2)/2)*FS98+(1-EXP(-LN(2)/2))/(LN(2)/2)*FM99*FP99*VLOOKUP('Données projet'!$B$16,Paramètres!$A$1:$I$89,3,0)*0.475*44/12</f>
        <v>2.2968690542258548E-10</v>
      </c>
      <c r="FT99" s="22">
        <f t="shared" si="78"/>
        <v>0.28472379559412064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7.1782051282051267</v>
      </c>
      <c r="N100" s="13">
        <f>IF('Données projet'!$A$36&gt;35,N99+M100-V99,IF(A100&lt;'Données projet'!$A$36,$K$205^A100,IF(A100='Données projet'!$A$36,'Données projet'!$B$36,N99+M100-V99)))</f>
        <v>303.89358974359004</v>
      </c>
      <c r="O100" s="13">
        <f>N100*VLOOKUP('Données projet'!$B$9,Paramètres!$A$1:$I$89,3,0)*VLOOKUP('Données projet'!$B$9,Paramètres!$A$1:$I$89,5,0)</f>
        <v>274.96292000000028</v>
      </c>
      <c r="P100" s="13">
        <f t="shared" si="87"/>
        <v>65.901407042348566</v>
      </c>
      <c r="Q100" s="20">
        <f t="shared" si="107"/>
        <v>593.67203626542425</v>
      </c>
      <c r="R100" s="59">
        <f t="shared" si="55"/>
        <v>887.00536959875762</v>
      </c>
      <c r="S100" s="59">
        <f ca="1">AVERAGE(OFFSET($R$3,0,0,'Données projet'!$E$9+1,1))-AVERAGE(OFFSET($H$3,0,0,'Données projet'!$E$9+1,1))</f>
        <v>221.7429870520005</v>
      </c>
      <c r="T100" s="59">
        <f t="shared" si="88"/>
        <v>182.2029938397186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-5.1159076974727213E-13</v>
      </c>
      <c r="AJ100" s="13">
        <f>AI100*VLOOKUP('Données projet'!$B$10,Paramètres!$A$1:$I$89,3,0)*VLOOKUP('Données projet'!$B$10,Paramètres!$A$1:$I$89,5,0)</f>
        <v>-4.0702161641092972E-13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260.20517190557814</v>
      </c>
      <c r="AO100" s="59">
        <f t="shared" si="90"/>
        <v>307.22009971147133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0.86568197368354494</v>
      </c>
      <c r="AV100" s="21">
        <f>EXP(-LN(2)/25)*AV99+(1-EXP(-LN(2)/25))/(LN(2)/25)*Calculateur!AQ100*Calculateur!AS100*VLOOKUP('Données projet'!$B$10,Paramètres!$A$1:$I$89,3,0)*0.475*44/12</f>
        <v>3.2019058665861064</v>
      </c>
      <c r="AW100" s="21">
        <f>EXP(-LN(2)/2)*AW99+(1-EXP(-LN(2)/2))/(LN(2)/2)*AQ100*AT100*VLOOKUP('Données projet'!$B$10,Paramètres!$A$1:$I$89,3,0)*0.475*44/12</f>
        <v>1.9788467480452227E-9</v>
      </c>
      <c r="AX100" s="21">
        <f t="shared" si="60"/>
        <v>4.0675878422484981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553.99999999999955</v>
      </c>
      <c r="BE100" s="13">
        <f>BD100*VLOOKUP('Données projet'!$B$11,Paramètres!$A$1:$I$89,3,0)*VLOOKUP('Données projet'!$B$11,Paramètres!$A$1:$I$89,5,0)</f>
        <v>331.29199999999975</v>
      </c>
      <c r="BF100" s="13">
        <f t="shared" si="91"/>
        <v>77.698110787752</v>
      </c>
      <c r="BG100" s="20">
        <f t="shared" si="61"/>
        <v>712.32444295533423</v>
      </c>
      <c r="BH100" s="59">
        <f t="shared" si="62"/>
        <v>1005.6577762886675</v>
      </c>
      <c r="BI100" s="59">
        <f ca="1">AVERAGE(OFFSET($BH$3,0,0,'Données projet'!$E$11+1,1))-AVERAGE(OFFSET($H$3,0,0,'Données projet'!$E$11+1,1))</f>
        <v>316.58509520829671</v>
      </c>
      <c r="BJ100" s="59">
        <f t="shared" si="92"/>
        <v>240.71332110643596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0.67242365452286146</v>
      </c>
      <c r="BQ100" s="21">
        <f>EXP(-LN(2)/25)*BQ99+(1-EXP(-LN(2)/25))/(LN(2)/25)*Calculateur!BL100*Calculateur!BN100*VLOOKUP('Données projet'!$B$11,Paramètres!$A$1:$I$89,3,0)*0.475*44/12</f>
        <v>2.3824274179638278</v>
      </c>
      <c r="BR100" s="21">
        <f>EXP(-LN(2)/2)*BR99+(1-EXP(-LN(2)/2))/(LN(2)/2)*BL100*BO100*VLOOKUP('Données projet'!$B$11,Paramètres!$A$1:$I$89,3,0)*0.475*44/12</f>
        <v>1.8060042359487527E-9</v>
      </c>
      <c r="BS100" s="22">
        <f t="shared" si="63"/>
        <v>3.0548510742926935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497</v>
      </c>
      <c r="BZ100" s="13">
        <f>BY100*VLOOKUP('Données projet'!$B$12,Paramètres!$A$1:$I$89,3,0)*VLOOKUP('Données projet'!$B$12,Paramètres!$A$1:$I$89,5,0)</f>
        <v>297.20600000000002</v>
      </c>
      <c r="CA100" s="13">
        <f t="shared" si="93"/>
        <v>70.590415164571112</v>
      </c>
      <c r="CB100" s="20">
        <f t="shared" si="64"/>
        <v>640.57875641162809</v>
      </c>
      <c r="CC100" s="59">
        <f t="shared" si="65"/>
        <v>933.91208974496135</v>
      </c>
      <c r="CD100" s="59">
        <f ca="1">AVERAGE(OFFSET($CC$3,0,0,'Données projet'!$E$12+1,1))-AVERAGE(OFFSET($H$3,0,0,'Données projet'!$E$12+1,1))</f>
        <v>270.30888762640245</v>
      </c>
      <c r="CE100" s="59">
        <f t="shared" si="94"/>
        <v>202.23783851977691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0.56824534185030517</v>
      </c>
      <c r="CL100" s="21">
        <f>EXP(-LN(2)/25)*CL99+(1-EXP(-LN(2)/25))/(LN(2)/25)*Calculateur!CG100*Calculateur!CI100*VLOOKUP('Données projet'!$B$12,Paramètres!$A$1:$I$89,3,0)*0.475*44/12</f>
        <v>1.9185604958141098</v>
      </c>
      <c r="CM100" s="21">
        <f>EXP(-LN(2)/2)*CM99+(1-EXP(-LN(2)/2))/(LN(2)/2)*CG100*CJ100*VLOOKUP('Données projet'!$B$12,Paramètres!$A$1:$I$89,3,0)*0.475*44/12</f>
        <v>1.5222757278611265E-9</v>
      </c>
      <c r="CN100" s="22">
        <f t="shared" si="66"/>
        <v>2.4868058391866907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-5.1159076974727213E-13</v>
      </c>
      <c r="CU100" s="17">
        <f>CT100*VLOOKUP('Données projet'!$B$13,Paramètres!$A$1:$I$89,3,0)*VLOOKUP('Données projet'!$B$13,Paramètres!$A$1:$I$89,5,0)</f>
        <v>-3.4317508834647017E-13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207.93042467236967</v>
      </c>
      <c r="CZ100" s="59">
        <f t="shared" si="96"/>
        <v>250.70954318710835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0.72988872290965479</v>
      </c>
      <c r="DG100" s="21">
        <f>EXP(-LN(2)/25)*DG99+(1-EXP(-LN(2)/25))/(LN(2)/25)*Calculateur!DB100*Calculateur!DD100*VLOOKUP('Données projet'!$B$13,Paramètres!$A$1:$I$89,3,0)*0.475*44/12</f>
        <v>2.6996461228078976</v>
      </c>
      <c r="DH100" s="21">
        <f>EXP(-LN(2)/2)*DH99+(1-EXP(-LN(2)/2))/(LN(2)/2)*DB100*DE100*VLOOKUP('Données projet'!$B$13,Paramètres!$A$1:$I$89,3,0)*0.475*44/12</f>
        <v>1.668439415018521E-9</v>
      </c>
      <c r="DI100" s="22">
        <f t="shared" si="69"/>
        <v>3.4295348473859919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5.6843418860808015E-14</v>
      </c>
      <c r="DP100" s="17">
        <f>DO100*VLOOKUP('Données projet'!$B$14,Paramètres!$A$1:$I$89,3,0)*VLOOKUP('Données projet'!$B$14,Paramètres!$A$1:$I$89,5,0)</f>
        <v>3.813056537183002E-14</v>
      </c>
      <c r="DQ100" s="13">
        <f t="shared" si="97"/>
        <v>6.4086286045526829E-13</v>
      </c>
      <c r="DR100" s="20">
        <f t="shared" si="70"/>
        <v>1.1825802166488628E-12</v>
      </c>
      <c r="DS100" s="59">
        <f t="shared" si="71"/>
        <v>293.33333333333451</v>
      </c>
      <c r="DT100" s="59">
        <f ca="1">AVERAGE(OFFSET($DS$3,0,0,'Données projet'!$E$14+1,1))-AVERAGE(OFFSET($H$3,0,0,'Données projet'!$E$14+1,1))</f>
        <v>156.63226020379989</v>
      </c>
      <c r="DU100" s="59">
        <f t="shared" si="98"/>
        <v>196.0481096619543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1.3528720769542619</v>
      </c>
      <c r="EC100" s="21">
        <f>EXP(-LN(2)/2)*EC99+(1-EXP(-LN(2)/2))/(LN(2)/2)*DW100*DZ100*VLOOKUP('Données projet'!$B$14,Paramètres!$A$1:$I$89,3,0)*0.475*44/12</f>
        <v>7.4691054563527389E-10</v>
      </c>
      <c r="ED100" s="22">
        <f t="shared" si="72"/>
        <v>1.3528720777011725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5.2583333333333373</v>
      </c>
      <c r="EJ100" s="12">
        <f>IF('Données projet'!$A$192&gt;35,EJ99+EI100-ER99,IF(A100&lt;'Données projet'!$A$192,$EG$205^A100,IF(A100='Données projet'!$A$192,'Données projet'!$B$192,EJ99+EI100-ER99)))</f>
        <v>203.21923076923051</v>
      </c>
      <c r="EK100" s="17">
        <f>EJ100*VLOOKUP('Données projet'!$B$15,Paramètres!$A$1:$I$89,3,0)*VLOOKUP('Données projet'!$B$15,Paramètres!$A$1:$I$89,5,0)</f>
        <v>206.06429999999975</v>
      </c>
      <c r="EL100" s="13">
        <f t="shared" si="99"/>
        <v>51.074591519343635</v>
      </c>
      <c r="EM100" s="20">
        <f t="shared" si="73"/>
        <v>447.85023606285631</v>
      </c>
      <c r="EN100" s="59">
        <f t="shared" si="74"/>
        <v>741.18356939618957</v>
      </c>
      <c r="EO100" s="59">
        <f ca="1">AVERAGE(OFFSET($EN$3,0,0,'Données projet'!$E$15+1,1))-AVERAGE(OFFSET($H$3,0,0,'Données projet'!$E$15+1,1))</f>
        <v>190.21499310415584</v>
      </c>
      <c r="EP100" s="59">
        <f t="shared" si="100"/>
        <v>136.15730566500173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1.1541666666666686</v>
      </c>
      <c r="FE100" s="12">
        <f>IF('Données projet'!$A$218&gt;35,FE99+FD100-FM99,IF(A100&lt;'Données projet'!$A$218,$FB$205^A100,IF(A100='Données projet'!$A$218,'Données projet'!$B$218,FE99+FD100-FM99)))</f>
        <v>82.745833333333337</v>
      </c>
      <c r="FF100" s="17">
        <f>FE100*VLOOKUP('Données projet'!$B$16,Paramètres!$A$1:$I$89,3,0)*VLOOKUP('Données projet'!$B$16,Paramètres!$A$1:$I$89,5,0)</f>
        <v>95.3232</v>
      </c>
      <c r="FG100" s="13">
        <f t="shared" si="101"/>
        <v>25.84472762135325</v>
      </c>
      <c r="FH100" s="20">
        <f t="shared" si="76"/>
        <v>211.03414060719024</v>
      </c>
      <c r="FI100" s="59">
        <f t="shared" si="77"/>
        <v>504.36747394052355</v>
      </c>
      <c r="FJ100" s="59">
        <f ca="1">AVERAGE(OFFSET($FI$3,0,0,'Données projet'!$E$16+1,1))-AVERAGE(OFFSET($H$3,0,0,'Données projet'!$E$16+1,1))</f>
        <v>14.847345852478327</v>
      </c>
      <c r="FK100" s="59">
        <f t="shared" si="102"/>
        <v>46.764428272166299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0.27693800820721964</v>
      </c>
      <c r="FS100" s="21">
        <f>EXP(-LN(2)/2)*FS99+(1-EXP(-LN(2)/2))/(LN(2)/2)*FM100*FP100*VLOOKUP('Données projet'!$B$16,Paramètres!$A$1:$I$89,3,0)*0.475*44/12</f>
        <v>1.6241316837406341E-10</v>
      </c>
      <c r="FT100" s="22">
        <f t="shared" si="78"/>
        <v>0.27693800836963284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7.1782051282051267</v>
      </c>
      <c r="N101" s="13">
        <f>IF('Données projet'!$A$36&gt;35,N100+M101-V100,IF(A101&lt;'Données projet'!$A$36,$K$205^A101,IF(A101='Données projet'!$A$36,'Données projet'!$B$36,N100+M101-V100)))</f>
        <v>311.07179487179519</v>
      </c>
      <c r="O101" s="13">
        <f>N101*VLOOKUP('Données projet'!$B$9,Paramètres!$A$1:$I$89,3,0)*VLOOKUP('Données projet'!$B$9,Paramètres!$A$1:$I$89,5,0)</f>
        <v>281.45776000000029</v>
      </c>
      <c r="P101" s="13">
        <f t="shared" si="87"/>
        <v>67.274982309129754</v>
      </c>
      <c r="Q101" s="20">
        <f t="shared" si="107"/>
        <v>607.37619285506821</v>
      </c>
      <c r="R101" s="59">
        <f t="shared" si="55"/>
        <v>900.70952618840147</v>
      </c>
      <c r="S101" s="59">
        <f ca="1">AVERAGE(OFFSET($R$3,0,0,'Données projet'!$E$9+1,1))-AVERAGE(OFFSET($H$3,0,0,'Données projet'!$E$9+1,1))</f>
        <v>221.7429870520005</v>
      </c>
      <c r="T101" s="59">
        <f t="shared" si="88"/>
        <v>182.2029938397186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-5.1159076974727213E-13</v>
      </c>
      <c r="AJ101" s="13">
        <f>AI101*VLOOKUP('Données projet'!$B$10,Paramètres!$A$1:$I$89,3,0)*VLOOKUP('Données projet'!$B$10,Paramètres!$A$1:$I$89,5,0)</f>
        <v>-4.0702161641092972E-13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260.20517190557814</v>
      </c>
      <c r="AO101" s="59">
        <f t="shared" si="90"/>
        <v>307.22009971147133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0.84870647819347755</v>
      </c>
      <c r="AV101" s="21">
        <f>EXP(-LN(2)/25)*AV100+(1-EXP(-LN(2)/25))/(LN(2)/25)*Calculateur!AQ101*Calculateur!AS101*VLOOKUP('Données projet'!$B$10,Paramètres!$A$1:$I$89,3,0)*0.475*44/12</f>
        <v>3.1143495822833978</v>
      </c>
      <c r="AW101" s="21">
        <f>EXP(-LN(2)/2)*AW100+(1-EXP(-LN(2)/2))/(LN(2)/2)*AQ101*AT101*VLOOKUP('Données projet'!$B$10,Paramètres!$A$1:$I$89,3,0)*0.475*44/12</f>
        <v>1.3992559544717245E-9</v>
      </c>
      <c r="AX101" s="21">
        <f t="shared" si="60"/>
        <v>3.9630560618761312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553.99999999999955</v>
      </c>
      <c r="BE101" s="13">
        <f>BD101*VLOOKUP('Données projet'!$B$11,Paramètres!$A$1:$I$89,3,0)*VLOOKUP('Données projet'!$B$11,Paramètres!$A$1:$I$89,5,0)</f>
        <v>331.29199999999975</v>
      </c>
      <c r="BF101" s="13">
        <f t="shared" si="91"/>
        <v>77.698110787752</v>
      </c>
      <c r="BG101" s="20">
        <f t="shared" si="61"/>
        <v>712.32444295533423</v>
      </c>
      <c r="BH101" s="59">
        <f t="shared" si="62"/>
        <v>1005.6577762886675</v>
      </c>
      <c r="BI101" s="59">
        <f ca="1">AVERAGE(OFFSET($BH$3,0,0,'Données projet'!$E$11+1,1))-AVERAGE(OFFSET($H$3,0,0,'Données projet'!$E$11+1,1))</f>
        <v>316.58509520829671</v>
      </c>
      <c r="BJ101" s="59">
        <f t="shared" si="92"/>
        <v>240.71332110643596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0.65923783679559966</v>
      </c>
      <c r="BQ101" s="21">
        <f>EXP(-LN(2)/25)*BQ100+(1-EXP(-LN(2)/25))/(LN(2)/25)*Calculateur!BL101*Calculateur!BN101*VLOOKUP('Données projet'!$B$11,Paramètres!$A$1:$I$89,3,0)*0.475*44/12</f>
        <v>2.3172798149331943</v>
      </c>
      <c r="BR101" s="21">
        <f>EXP(-LN(2)/2)*BR100+(1-EXP(-LN(2)/2))/(LN(2)/2)*BL101*BO101*VLOOKUP('Données projet'!$B$11,Paramètres!$A$1:$I$89,3,0)*0.475*44/12</f>
        <v>1.2770378420909927E-9</v>
      </c>
      <c r="BS101" s="22">
        <f t="shared" si="63"/>
        <v>2.9765176530058319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497</v>
      </c>
      <c r="BZ101" s="13">
        <f>BY101*VLOOKUP('Données projet'!$B$12,Paramètres!$A$1:$I$89,3,0)*VLOOKUP('Données projet'!$B$12,Paramètres!$A$1:$I$89,5,0)</f>
        <v>297.20600000000002</v>
      </c>
      <c r="CA101" s="13">
        <f t="shared" si="93"/>
        <v>70.590415164571112</v>
      </c>
      <c r="CB101" s="20">
        <f t="shared" si="64"/>
        <v>640.57875641162809</v>
      </c>
      <c r="CC101" s="59">
        <f t="shared" si="65"/>
        <v>933.91208974496135</v>
      </c>
      <c r="CD101" s="59">
        <f ca="1">AVERAGE(OFFSET($CC$3,0,0,'Données projet'!$E$12+1,1))-AVERAGE(OFFSET($H$3,0,0,'Données projet'!$E$12+1,1))</f>
        <v>270.30888762640245</v>
      </c>
      <c r="CE101" s="59">
        <f t="shared" si="94"/>
        <v>202.23783851977691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0.5571023972920558</v>
      </c>
      <c r="CL101" s="21">
        <f>EXP(-LN(2)/25)*CL100+(1-EXP(-LN(2)/25))/(LN(2)/25)*Calculateur!CG101*Calculateur!CI101*VLOOKUP('Données projet'!$B$12,Paramètres!$A$1:$I$89,3,0)*0.475*44/12</f>
        <v>1.8660973581633615</v>
      </c>
      <c r="CM101" s="21">
        <f>EXP(-LN(2)/2)*CM100+(1-EXP(-LN(2)/2))/(LN(2)/2)*CG101*CJ101*VLOOKUP('Données projet'!$B$12,Paramètres!$A$1:$I$89,3,0)*0.475*44/12</f>
        <v>1.0764114900062899E-9</v>
      </c>
      <c r="CN101" s="22">
        <f t="shared" si="66"/>
        <v>2.4231997565318286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-5.1159076974727213E-13</v>
      </c>
      <c r="CU101" s="17">
        <f>CT101*VLOOKUP('Données projet'!$B$13,Paramètres!$A$1:$I$89,3,0)*VLOOKUP('Données projet'!$B$13,Paramètres!$A$1:$I$89,5,0)</f>
        <v>-3.4317508834647017E-13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207.93042467236967</v>
      </c>
      <c r="CZ101" s="59">
        <f t="shared" si="96"/>
        <v>250.70954318710835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0.71557605024155879</v>
      </c>
      <c r="DG101" s="21">
        <f>EXP(-LN(2)/25)*DG100+(1-EXP(-LN(2)/25))/(LN(2)/25)*Calculateur!DB101*Calculateur!DD101*VLOOKUP('Données projet'!$B$13,Paramètres!$A$1:$I$89,3,0)*0.475*44/12</f>
        <v>2.625824157611496</v>
      </c>
      <c r="DH101" s="21">
        <f>EXP(-LN(2)/2)*DH100+(1-EXP(-LN(2)/2))/(LN(2)/2)*DB101*DE101*VLOOKUP('Données projet'!$B$13,Paramètres!$A$1:$I$89,3,0)*0.475*44/12</f>
        <v>1.1797648243585127E-9</v>
      </c>
      <c r="DI101" s="22">
        <f t="shared" si="69"/>
        <v>3.3414002090328196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5.6843418860808015E-14</v>
      </c>
      <c r="DP101" s="17">
        <f>DO101*VLOOKUP('Données projet'!$B$14,Paramètres!$A$1:$I$89,3,0)*VLOOKUP('Données projet'!$B$14,Paramètres!$A$1:$I$89,5,0)</f>
        <v>3.813056537183002E-14</v>
      </c>
      <c r="DQ101" s="13">
        <f t="shared" si="97"/>
        <v>6.4086286045526829E-13</v>
      </c>
      <c r="DR101" s="20">
        <f t="shared" si="70"/>
        <v>1.1825802166488628E-12</v>
      </c>
      <c r="DS101" s="59">
        <f t="shared" si="71"/>
        <v>293.33333333333451</v>
      </c>
      <c r="DT101" s="59">
        <f ca="1">AVERAGE(OFFSET($DS$3,0,0,'Données projet'!$E$14+1,1))-AVERAGE(OFFSET($H$3,0,0,'Données projet'!$E$14+1,1))</f>
        <v>156.63226020379989</v>
      </c>
      <c r="DU101" s="59">
        <f t="shared" si="98"/>
        <v>196.0481096619543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1.3158777188654971</v>
      </c>
      <c r="EC101" s="21">
        <f>EXP(-LN(2)/2)*EC100+(1-EXP(-LN(2)/2))/(LN(2)/2)*DW101*DZ101*VLOOKUP('Données projet'!$B$14,Paramètres!$A$1:$I$89,3,0)*0.475*44/12</f>
        <v>5.2814551175844643E-10</v>
      </c>
      <c r="ED101" s="22">
        <f t="shared" si="72"/>
        <v>1.3158777193936426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5.2583333333333373</v>
      </c>
      <c r="EJ101" s="12">
        <f>IF('Données projet'!$A$192&gt;35,EJ100+EI101-ER100,IF(A101&lt;'Données projet'!$A$192,$EG$205^A101,IF(A101='Données projet'!$A$192,'Données projet'!$B$192,EJ100+EI101-ER100)))</f>
        <v>208.47756410256383</v>
      </c>
      <c r="EK101" s="17">
        <f>EJ101*VLOOKUP('Données projet'!$B$15,Paramètres!$A$1:$I$89,3,0)*VLOOKUP('Données projet'!$B$15,Paramètres!$A$1:$I$89,5,0)</f>
        <v>211.39624999999972</v>
      </c>
      <c r="EL101" s="13">
        <f t="shared" si="99"/>
        <v>52.240583675733987</v>
      </c>
      <c r="EM101" s="20">
        <f t="shared" si="73"/>
        <v>459.16748531856956</v>
      </c>
      <c r="EN101" s="59">
        <f t="shared" si="74"/>
        <v>752.50081865190282</v>
      </c>
      <c r="EO101" s="59">
        <f ca="1">AVERAGE(OFFSET($EN$3,0,0,'Données projet'!$E$15+1,1))-AVERAGE(OFFSET($H$3,0,0,'Données projet'!$E$15+1,1))</f>
        <v>190.21499310415584</v>
      </c>
      <c r="EP101" s="59">
        <f t="shared" si="100"/>
        <v>136.15730566500173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1.1541666666666686</v>
      </c>
      <c r="FE101" s="12">
        <f>IF('Données projet'!$A$218&gt;35,FE100+FD101-FM100,IF(A101&lt;'Données projet'!$A$218,$FB$205^A101,IF(A101='Données projet'!$A$218,'Données projet'!$B$218,FE100+FD101-FM100)))</f>
        <v>83.9</v>
      </c>
      <c r="FF101" s="17">
        <f>FE101*VLOOKUP('Données projet'!$B$16,Paramètres!$A$1:$I$89,3,0)*VLOOKUP('Données projet'!$B$16,Paramètres!$A$1:$I$89,5,0)</f>
        <v>96.652799999999999</v>
      </c>
      <c r="FG101" s="13">
        <f t="shared" si="101"/>
        <v>26.16300016684059</v>
      </c>
      <c r="FH101" s="20">
        <f t="shared" si="76"/>
        <v>213.90418529058067</v>
      </c>
      <c r="FI101" s="59">
        <f t="shared" si="77"/>
        <v>507.23751862391396</v>
      </c>
      <c r="FJ101" s="59">
        <f ca="1">AVERAGE(OFFSET($FI$3,0,0,'Données projet'!$E$16+1,1))-AVERAGE(OFFSET($H$3,0,0,'Données projet'!$E$16+1,1))</f>
        <v>14.847345852478327</v>
      </c>
      <c r="FK101" s="59">
        <f t="shared" si="102"/>
        <v>46.764428272166299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0.26936512380925631</v>
      </c>
      <c r="FS101" s="21">
        <f>EXP(-LN(2)/2)*FS100+(1-EXP(-LN(2)/2))/(LN(2)/2)*FM101*FP101*VLOOKUP('Données projet'!$B$16,Paramètres!$A$1:$I$89,3,0)*0.475*44/12</f>
        <v>1.1484345271129277E-10</v>
      </c>
      <c r="FT101" s="22">
        <f t="shared" si="78"/>
        <v>0.26936512392409978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318.25</v>
      </c>
      <c r="L102" s="12">
        <f>VLOOKUP(A102,'Données projet'!$A$35:$I$55,9,0)</f>
        <v>7.1782051282051267</v>
      </c>
      <c r="M102" s="12">
        <f t="array" ref="M102">INDEX(L:L,MIN(IF(ISNUMBER(L102:L298),ROW(L102:L298),"")))</f>
        <v>7.1782051282051267</v>
      </c>
      <c r="N102" s="13">
        <f>IF('Données projet'!$A$36&gt;35,N101+M102-V101,IF(A102&lt;'Données projet'!$A$36,$K$205^A102,IF(A102='Données projet'!$A$36,'Données projet'!$B$36,N101+M102-V101)))</f>
        <v>318.25000000000034</v>
      </c>
      <c r="O102" s="13">
        <f>N102*VLOOKUP('Données projet'!$B$9,Paramètres!$A$1:$I$89,3,0)*VLOOKUP('Données projet'!$B$9,Paramètres!$A$1:$I$89,5,0)</f>
        <v>287.9526000000003</v>
      </c>
      <c r="P102" s="13">
        <f t="shared" si="87"/>
        <v>68.644872738917243</v>
      </c>
      <c r="Q102" s="20">
        <f t="shared" si="107"/>
        <v>621.07393168694807</v>
      </c>
      <c r="R102" s="59">
        <f t="shared" si="55"/>
        <v>914.40726502028133</v>
      </c>
      <c r="S102" s="59">
        <f ca="1">AVERAGE(OFFSET($R$3,0,0,'Données projet'!$E$9+1,1))-AVERAGE(OFFSET($H$3,0,0,'Données projet'!$E$9+1,1))</f>
        <v>221.7429870520005</v>
      </c>
      <c r="T102" s="59">
        <f t="shared" si="88"/>
        <v>182.2029938397186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48.019230769230766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-5.1159076974727213E-13</v>
      </c>
      <c r="AJ102" s="13">
        <f>AI102*VLOOKUP('Données projet'!$B$10,Paramètres!$A$1:$I$89,3,0)*VLOOKUP('Données projet'!$B$10,Paramètres!$A$1:$I$89,5,0)</f>
        <v>-4.0702161641092972E-13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260.20517190557814</v>
      </c>
      <c r="AO102" s="59">
        <f t="shared" si="90"/>
        <v>307.22009971147133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0.8320638618159405</v>
      </c>
      <c r="AV102" s="21">
        <f>EXP(-LN(2)/25)*AV101+(1-EXP(-LN(2)/25))/(LN(2)/25)*Calculateur!AQ102*Calculateur!AS102*VLOOKUP('Données projet'!$B$10,Paramètres!$A$1:$I$89,3,0)*0.475*44/12</f>
        <v>3.0291875291793318</v>
      </c>
      <c r="AW102" s="21">
        <f>EXP(-LN(2)/2)*AW101+(1-EXP(-LN(2)/2))/(LN(2)/2)*AQ102*AT102*VLOOKUP('Données projet'!$B$10,Paramètres!$A$1:$I$89,3,0)*0.475*44/12</f>
        <v>9.8942337402261137E-10</v>
      </c>
      <c r="AX102" s="21">
        <f t="shared" si="60"/>
        <v>3.8612513919846956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553.99999999999955</v>
      </c>
      <c r="BE102" s="13">
        <f>BD102*VLOOKUP('Données projet'!$B$11,Paramètres!$A$1:$I$89,3,0)*VLOOKUP('Données projet'!$B$11,Paramètres!$A$1:$I$89,5,0)</f>
        <v>331.29199999999975</v>
      </c>
      <c r="BF102" s="13">
        <f t="shared" si="91"/>
        <v>77.698110787752</v>
      </c>
      <c r="BG102" s="20">
        <f t="shared" si="61"/>
        <v>712.32444295533423</v>
      </c>
      <c r="BH102" s="59">
        <f t="shared" si="62"/>
        <v>1005.6577762886675</v>
      </c>
      <c r="BI102" s="59">
        <f ca="1">AVERAGE(OFFSET($BH$3,0,0,'Données projet'!$E$11+1,1))-AVERAGE(OFFSET($H$3,0,0,'Données projet'!$E$11+1,1))</f>
        <v>316.58509520829671</v>
      </c>
      <c r="BJ102" s="59">
        <f t="shared" si="92"/>
        <v>240.71332110643596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0.6463105849114148</v>
      </c>
      <c r="BQ102" s="21">
        <f>EXP(-LN(2)/25)*BQ101+(1-EXP(-LN(2)/25))/(LN(2)/25)*Calculateur!BL102*Calculateur!BN102*VLOOKUP('Données projet'!$B$11,Paramètres!$A$1:$I$89,3,0)*0.475*44/12</f>
        <v>2.2539136765333967</v>
      </c>
      <c r="BR102" s="21">
        <f>EXP(-LN(2)/2)*BR101+(1-EXP(-LN(2)/2))/(LN(2)/2)*BL102*BO102*VLOOKUP('Données projet'!$B$11,Paramètres!$A$1:$I$89,3,0)*0.475*44/12</f>
        <v>9.0300211797437646E-10</v>
      </c>
      <c r="BS102" s="22">
        <f t="shared" si="63"/>
        <v>2.9002242623478134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497</v>
      </c>
      <c r="BZ102" s="13">
        <f>BY102*VLOOKUP('Données projet'!$B$12,Paramètres!$A$1:$I$89,3,0)*VLOOKUP('Données projet'!$B$12,Paramètres!$A$1:$I$89,5,0)</f>
        <v>297.20600000000002</v>
      </c>
      <c r="CA102" s="13">
        <f t="shared" si="93"/>
        <v>70.590415164571112</v>
      </c>
      <c r="CB102" s="20">
        <f t="shared" si="64"/>
        <v>640.57875641162809</v>
      </c>
      <c r="CC102" s="59">
        <f t="shared" si="65"/>
        <v>933.91208974496135</v>
      </c>
      <c r="CD102" s="59">
        <f ca="1">AVERAGE(OFFSET($CC$3,0,0,'Données projet'!$E$12+1,1))-AVERAGE(OFFSET($H$3,0,0,'Données projet'!$E$12+1,1))</f>
        <v>270.30888762640245</v>
      </c>
      <c r="CE102" s="59">
        <f t="shared" si="94"/>
        <v>202.23783851977691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0.54617795908006861</v>
      </c>
      <c r="CL102" s="21">
        <f>EXP(-LN(2)/25)*CL101+(1-EXP(-LN(2)/25))/(LN(2)/25)*Calculateur!CG102*Calculateur!CI102*VLOOKUP('Données projet'!$B$12,Paramètres!$A$1:$I$89,3,0)*0.475*44/12</f>
        <v>1.8150688277705893</v>
      </c>
      <c r="CM102" s="21">
        <f>EXP(-LN(2)/2)*CM101+(1-EXP(-LN(2)/2))/(LN(2)/2)*CG102*CJ102*VLOOKUP('Données projet'!$B$12,Paramètres!$A$1:$I$89,3,0)*0.475*44/12</f>
        <v>7.6113786393056323E-10</v>
      </c>
      <c r="CN102" s="22">
        <f t="shared" si="66"/>
        <v>2.3612467876117957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-5.1159076974727213E-13</v>
      </c>
      <c r="CU102" s="17">
        <f>CT102*VLOOKUP('Données projet'!$B$13,Paramètres!$A$1:$I$89,3,0)*VLOOKUP('Données projet'!$B$13,Paramètres!$A$1:$I$89,5,0)</f>
        <v>-3.4317508834647017E-13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207.93042467236967</v>
      </c>
      <c r="CZ102" s="59">
        <f t="shared" si="96"/>
        <v>250.70954318710835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0.70154404035461582</v>
      </c>
      <c r="DG102" s="21">
        <f>EXP(-LN(2)/25)*DG101+(1-EXP(-LN(2)/25))/(LN(2)/25)*Calculateur!DB102*Calculateur!DD102*VLOOKUP('Données projet'!$B$13,Paramètres!$A$1:$I$89,3,0)*0.475*44/12</f>
        <v>2.5540208579355186</v>
      </c>
      <c r="DH102" s="21">
        <f>EXP(-LN(2)/2)*DH101+(1-EXP(-LN(2)/2))/(LN(2)/2)*DB102*DE102*VLOOKUP('Données projet'!$B$13,Paramètres!$A$1:$I$89,3,0)*0.475*44/12</f>
        <v>8.3421970750926052E-10</v>
      </c>
      <c r="DI102" s="22">
        <f t="shared" si="69"/>
        <v>3.2555648991243542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5.6843418860808015E-14</v>
      </c>
      <c r="DP102" s="17">
        <f>DO102*VLOOKUP('Données projet'!$B$14,Paramètres!$A$1:$I$89,3,0)*VLOOKUP('Données projet'!$B$14,Paramètres!$A$1:$I$89,5,0)</f>
        <v>3.813056537183002E-14</v>
      </c>
      <c r="DQ102" s="13">
        <f t="shared" si="97"/>
        <v>6.4086286045526829E-13</v>
      </c>
      <c r="DR102" s="20">
        <f t="shared" si="70"/>
        <v>1.1825802166488628E-12</v>
      </c>
      <c r="DS102" s="59">
        <f t="shared" si="71"/>
        <v>293.33333333333451</v>
      </c>
      <c r="DT102" s="59">
        <f ca="1">AVERAGE(OFFSET($DS$3,0,0,'Données projet'!$E$14+1,1))-AVERAGE(OFFSET($H$3,0,0,'Données projet'!$E$14+1,1))</f>
        <v>156.63226020379989</v>
      </c>
      <c r="DU102" s="59">
        <f t="shared" si="98"/>
        <v>196.0481096619543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1.2798949734441183</v>
      </c>
      <c r="EC102" s="21">
        <f>EXP(-LN(2)/2)*EC101+(1-EXP(-LN(2)/2))/(LN(2)/2)*DW102*DZ102*VLOOKUP('Données projet'!$B$14,Paramètres!$A$1:$I$89,3,0)*0.475*44/12</f>
        <v>3.7345527281763694E-10</v>
      </c>
      <c r="ED102" s="22">
        <f t="shared" si="72"/>
        <v>1.2798949738175736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5.2583333333333373</v>
      </c>
      <c r="EJ102" s="12">
        <f>IF('Données projet'!$A$192&gt;35,EJ101+EI102-ER101,IF(A102&lt;'Données projet'!$A$192,$EG$205^A102,IF(A102='Données projet'!$A$192,'Données projet'!$B$192,EJ101+EI102-ER101)))</f>
        <v>213.73589743589716</v>
      </c>
      <c r="EK102" s="17">
        <f>EJ102*VLOOKUP('Données projet'!$B$15,Paramètres!$A$1:$I$89,3,0)*VLOOKUP('Données projet'!$B$15,Paramètres!$A$1:$I$89,5,0)</f>
        <v>216.72819999999976</v>
      </c>
      <c r="EL102" s="13">
        <f t="shared" si="99"/>
        <v>53.403157228900795</v>
      </c>
      <c r="EM102" s="20">
        <f t="shared" si="73"/>
        <v>470.47878050700183</v>
      </c>
      <c r="EN102" s="59">
        <f t="shared" si="74"/>
        <v>763.81211384033509</v>
      </c>
      <c r="EO102" s="59">
        <f ca="1">AVERAGE(OFFSET($EN$3,0,0,'Données projet'!$E$15+1,1))-AVERAGE(OFFSET($H$3,0,0,'Données projet'!$E$15+1,1))</f>
        <v>190.21499310415584</v>
      </c>
      <c r="EP102" s="59">
        <f t="shared" si="100"/>
        <v>136.15730566500173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1.1541666666666686</v>
      </c>
      <c r="FE102" s="12">
        <f>IF('Données projet'!$A$218&gt;35,FE101+FD102-FM101,IF(A102&lt;'Données projet'!$A$218,$FB$205^A102,IF(A102='Données projet'!$A$218,'Données projet'!$B$218,FE101+FD102-FM101)))</f>
        <v>85.054166666666674</v>
      </c>
      <c r="FF102" s="17">
        <f>FE102*VLOOKUP('Données projet'!$B$16,Paramètres!$A$1:$I$89,3,0)*VLOOKUP('Données projet'!$B$16,Paramètres!$A$1:$I$89,5,0)</f>
        <v>97.982399999999998</v>
      </c>
      <c r="FG102" s="13">
        <f t="shared" si="101"/>
        <v>26.480763468765502</v>
      </c>
      <c r="FH102" s="20">
        <f t="shared" si="76"/>
        <v>216.77334304143324</v>
      </c>
      <c r="FI102" s="59">
        <f t="shared" si="77"/>
        <v>510.10667637476655</v>
      </c>
      <c r="FJ102" s="59">
        <f ca="1">AVERAGE(OFFSET($FI$3,0,0,'Données projet'!$E$16+1,1))-AVERAGE(OFFSET($H$3,0,0,'Données projet'!$E$16+1,1))</f>
        <v>14.847345852478327</v>
      </c>
      <c r="FK102" s="59">
        <f t="shared" si="102"/>
        <v>46.764428272166299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0.26199932033339596</v>
      </c>
      <c r="FS102" s="21">
        <f>EXP(-LN(2)/2)*FS101+(1-EXP(-LN(2)/2))/(LN(2)/2)*FM102*FP102*VLOOKUP('Données projet'!$B$16,Paramètres!$A$1:$I$89,3,0)*0.475*44/12</f>
        <v>8.1206584187031717E-11</v>
      </c>
      <c r="FT102" s="22">
        <f t="shared" si="78"/>
        <v>0.26199932041460255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6.9935897435897401</v>
      </c>
      <c r="N103" s="13">
        <f>IF('Données projet'!$A$36&gt;35,N102+M103-V102,IF(A103&lt;'Données projet'!$A$36,$K$205^A103,IF(A103='Données projet'!$A$36,'Données projet'!$B$36,N102+M103-V102)))</f>
        <v>277.22435897435929</v>
      </c>
      <c r="O103" s="13">
        <f>N103*VLOOKUP('Données projet'!$B$9,Paramètres!$A$1:$I$89,3,0)*VLOOKUP('Données projet'!$B$9,Paramètres!$A$1:$I$89,5,0)</f>
        <v>250.8326000000003</v>
      </c>
      <c r="P103" s="13">
        <f t="shared" si="87"/>
        <v>60.764195096344402</v>
      </c>
      <c r="Q103" s="20">
        <f t="shared" si="107"/>
        <v>542.69775145946699</v>
      </c>
      <c r="R103" s="59">
        <f t="shared" si="55"/>
        <v>836.03108479280036</v>
      </c>
      <c r="S103" s="59">
        <f ca="1">AVERAGE(OFFSET($R$3,0,0,'Données projet'!$E$9+1,1))-AVERAGE(OFFSET($H$3,0,0,'Données projet'!$E$9+1,1))</f>
        <v>221.7429870520005</v>
      </c>
      <c r="T103" s="59">
        <f t="shared" si="88"/>
        <v>182.2029938397186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-5.1159076974727213E-13</v>
      </c>
      <c r="AJ103" s="13">
        <f>AI103*VLOOKUP('Données projet'!$B$10,Paramètres!$A$1:$I$89,3,0)*VLOOKUP('Données projet'!$B$10,Paramètres!$A$1:$I$89,5,0)</f>
        <v>-4.0702161641092972E-13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260.20517190557814</v>
      </c>
      <c r="AO103" s="59">
        <f t="shared" si="90"/>
        <v>307.22009971147133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0.81574759699457322</v>
      </c>
      <c r="AV103" s="21">
        <f>EXP(-LN(2)/25)*AV102+(1-EXP(-LN(2)/25))/(LN(2)/25)*Calculateur!AQ103*Calculateur!AS103*VLOOKUP('Données projet'!$B$10,Paramètres!$A$1:$I$89,3,0)*0.475*44/12</f>
        <v>2.9463542368958739</v>
      </c>
      <c r="AW103" s="21">
        <f>EXP(-LN(2)/2)*AW102+(1-EXP(-LN(2)/2))/(LN(2)/2)*AQ103*AT103*VLOOKUP('Données projet'!$B$10,Paramètres!$A$1:$I$89,3,0)*0.475*44/12</f>
        <v>6.9962797723586224E-10</v>
      </c>
      <c r="AX103" s="21">
        <f t="shared" si="60"/>
        <v>3.7621018345900752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553.99999999999955</v>
      </c>
      <c r="BE103" s="13">
        <f>BD103*VLOOKUP('Données projet'!$B$11,Paramètres!$A$1:$I$89,3,0)*VLOOKUP('Données projet'!$B$11,Paramètres!$A$1:$I$89,5,0)</f>
        <v>331.29199999999975</v>
      </c>
      <c r="BF103" s="13">
        <f t="shared" si="91"/>
        <v>77.698110787752</v>
      </c>
      <c r="BG103" s="20">
        <f t="shared" si="61"/>
        <v>712.32444295533423</v>
      </c>
      <c r="BH103" s="59">
        <f t="shared" si="62"/>
        <v>1005.6577762886675</v>
      </c>
      <c r="BI103" s="59">
        <f ca="1">AVERAGE(OFFSET($BH$3,0,0,'Données projet'!$E$11+1,1))-AVERAGE(OFFSET($H$3,0,0,'Données projet'!$E$11+1,1))</f>
        <v>316.58509520829671</v>
      </c>
      <c r="BJ103" s="59">
        <f t="shared" si="92"/>
        <v>240.71332110643596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0.63363682855183368</v>
      </c>
      <c r="BQ103" s="21">
        <f>EXP(-LN(2)/25)*BQ102+(1-EXP(-LN(2)/25))/(LN(2)/25)*Calculateur!BL103*Calculateur!BN103*VLOOKUP('Données projet'!$B$11,Paramètres!$A$1:$I$89,3,0)*0.475*44/12</f>
        <v>2.192280288520422</v>
      </c>
      <c r="BR103" s="21">
        <f>EXP(-LN(2)/2)*BR102+(1-EXP(-LN(2)/2))/(LN(2)/2)*BL103*BO103*VLOOKUP('Données projet'!$B$11,Paramètres!$A$1:$I$89,3,0)*0.475*44/12</f>
        <v>6.3851892104549646E-10</v>
      </c>
      <c r="BS103" s="22">
        <f t="shared" si="63"/>
        <v>2.8259171177107745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497</v>
      </c>
      <c r="BZ103" s="13">
        <f>BY103*VLOOKUP('Données projet'!$B$12,Paramètres!$A$1:$I$89,3,0)*VLOOKUP('Données projet'!$B$12,Paramètres!$A$1:$I$89,5,0)</f>
        <v>297.20600000000002</v>
      </c>
      <c r="CA103" s="13">
        <f t="shared" si="93"/>
        <v>70.590415164571112</v>
      </c>
      <c r="CB103" s="20">
        <f t="shared" si="64"/>
        <v>640.57875641162809</v>
      </c>
      <c r="CC103" s="59">
        <f t="shared" si="65"/>
        <v>933.91208974496135</v>
      </c>
      <c r="CD103" s="59">
        <f ca="1">AVERAGE(OFFSET($CC$3,0,0,'Données projet'!$E$12+1,1))-AVERAGE(OFFSET($H$3,0,0,'Données projet'!$E$12+1,1))</f>
        <v>270.30888762640245</v>
      </c>
      <c r="CE103" s="59">
        <f t="shared" si="94"/>
        <v>202.23783851977691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0.53546774243816908</v>
      </c>
      <c r="CL103" s="21">
        <f>EXP(-LN(2)/25)*CL102+(1-EXP(-LN(2)/25))/(LN(2)/25)*Calculateur!CG103*Calculateur!CI103*VLOOKUP('Données projet'!$B$12,Paramètres!$A$1:$I$89,3,0)*0.475*44/12</f>
        <v>1.7654356752248812</v>
      </c>
      <c r="CM103" s="21">
        <f>EXP(-LN(2)/2)*CM102+(1-EXP(-LN(2)/2))/(LN(2)/2)*CG103*CJ103*VLOOKUP('Données projet'!$B$12,Paramètres!$A$1:$I$89,3,0)*0.475*44/12</f>
        <v>5.3820574500314495E-10</v>
      </c>
      <c r="CN103" s="22">
        <f t="shared" si="66"/>
        <v>2.3009034182012562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-5.1159076974727213E-13</v>
      </c>
      <c r="CU103" s="17">
        <f>CT103*VLOOKUP('Données projet'!$B$13,Paramètres!$A$1:$I$89,3,0)*VLOOKUP('Données projet'!$B$13,Paramètres!$A$1:$I$89,5,0)</f>
        <v>-3.4317508834647017E-13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207.93042467236967</v>
      </c>
      <c r="CZ103" s="59">
        <f t="shared" si="96"/>
        <v>250.70954318710835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0.68778718962287488</v>
      </c>
      <c r="DG103" s="21">
        <f>EXP(-LN(2)/25)*DG102+(1-EXP(-LN(2)/25))/(LN(2)/25)*Calculateur!DB103*Calculateur!DD103*VLOOKUP('Données projet'!$B$13,Paramètres!$A$1:$I$89,3,0)*0.475*44/12</f>
        <v>2.484181023265152</v>
      </c>
      <c r="DH103" s="21">
        <f>EXP(-LN(2)/2)*DH102+(1-EXP(-LN(2)/2))/(LN(2)/2)*DB103*DE103*VLOOKUP('Données projet'!$B$13,Paramètres!$A$1:$I$89,3,0)*0.475*44/12</f>
        <v>5.8988241217925635E-10</v>
      </c>
      <c r="DI103" s="22">
        <f t="shared" si="69"/>
        <v>3.1719682134779092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5.6843418860808015E-14</v>
      </c>
      <c r="DP103" s="17">
        <f>DO103*VLOOKUP('Données projet'!$B$14,Paramètres!$A$1:$I$89,3,0)*VLOOKUP('Données projet'!$B$14,Paramètres!$A$1:$I$89,5,0)</f>
        <v>3.813056537183002E-14</v>
      </c>
      <c r="DQ103" s="13">
        <f t="shared" si="97"/>
        <v>6.4086286045526829E-13</v>
      </c>
      <c r="DR103" s="20">
        <f t="shared" si="70"/>
        <v>1.1825802166488628E-12</v>
      </c>
      <c r="DS103" s="59">
        <f t="shared" si="71"/>
        <v>293.33333333333451</v>
      </c>
      <c r="DT103" s="59">
        <f ca="1">AVERAGE(OFFSET($DS$3,0,0,'Données projet'!$E$14+1,1))-AVERAGE(OFFSET($H$3,0,0,'Données projet'!$E$14+1,1))</f>
        <v>156.63226020379989</v>
      </c>
      <c r="DU103" s="59">
        <f t="shared" si="98"/>
        <v>196.0481096619543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1.2448961780885375</v>
      </c>
      <c r="EC103" s="21">
        <f>EXP(-LN(2)/2)*EC102+(1-EXP(-LN(2)/2))/(LN(2)/2)*DW103*DZ103*VLOOKUP('Données projet'!$B$14,Paramètres!$A$1:$I$89,3,0)*0.475*44/12</f>
        <v>2.6407275587922322E-10</v>
      </c>
      <c r="ED103" s="22">
        <f t="shared" si="72"/>
        <v>1.2448961783526102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5.2583333333333373</v>
      </c>
      <c r="EJ103" s="12">
        <f>IF('Données projet'!$A$192&gt;35,EJ102+EI103-ER102,IF(A103&lt;'Données projet'!$A$192,$EG$205^A103,IF(A103='Données projet'!$A$192,'Données projet'!$B$192,EJ102+EI103-ER102)))</f>
        <v>218.99423076923048</v>
      </c>
      <c r="EK103" s="17">
        <f>EJ103*VLOOKUP('Données projet'!$B$15,Paramètres!$A$1:$I$89,3,0)*VLOOKUP('Données projet'!$B$15,Paramètres!$A$1:$I$89,5,0)</f>
        <v>222.06014999999974</v>
      </c>
      <c r="EL103" s="13">
        <f t="shared" si="99"/>
        <v>54.562405957952684</v>
      </c>
      <c r="EM103" s="20">
        <f t="shared" si="73"/>
        <v>481.78428496010048</v>
      </c>
      <c r="EN103" s="59">
        <f t="shared" si="74"/>
        <v>775.11761829343379</v>
      </c>
      <c r="EO103" s="59">
        <f ca="1">AVERAGE(OFFSET($EN$3,0,0,'Données projet'!$E$15+1,1))-AVERAGE(OFFSET($H$3,0,0,'Données projet'!$E$15+1,1))</f>
        <v>190.21499310415584</v>
      </c>
      <c r="EP103" s="59">
        <f t="shared" si="100"/>
        <v>136.15730566500173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86.208333333333343</v>
      </c>
      <c r="FC103" s="12">
        <f>VLOOKUP(A103,'Données projet'!$A$217:$I$237,9,0)</f>
        <v>1.1541666666666686</v>
      </c>
      <c r="FD103" s="12">
        <f t="array" ref="FD103">INDEX(FC:FC,MIN(IF(ISNUMBER(FC103:FC299),ROW(FC103:FC299),"")))</f>
        <v>1.1541666666666686</v>
      </c>
      <c r="FE103" s="12">
        <f>IF('Données projet'!$A$218&gt;35,FE102+FD103-FM102,IF(A103&lt;'Données projet'!$A$218,$FB$205^A103,IF(A103='Données projet'!$A$218,'Données projet'!$B$218,FE102+FD103-FM102)))</f>
        <v>86.208333333333343</v>
      </c>
      <c r="FF103" s="17">
        <f>FE103*VLOOKUP('Données projet'!$B$16,Paramètres!$A$1:$I$89,3,0)*VLOOKUP('Données projet'!$B$16,Paramètres!$A$1:$I$89,5,0)</f>
        <v>99.311999999999998</v>
      </c>
      <c r="FG103" s="13">
        <f t="shared" si="101"/>
        <v>26.798025236201436</v>
      </c>
      <c r="FH103" s="20">
        <f t="shared" si="76"/>
        <v>219.64162728638416</v>
      </c>
      <c r="FI103" s="59">
        <f t="shared" si="77"/>
        <v>512.97496061971742</v>
      </c>
      <c r="FJ103" s="59">
        <f ca="1">AVERAGE(OFFSET($FI$3,0,0,'Données projet'!$E$16+1,1))-AVERAGE(OFFSET($H$3,0,0,'Données projet'!$E$16+1,1))</f>
        <v>14.847345852478327</v>
      </c>
      <c r="FK103" s="59">
        <f t="shared" si="102"/>
        <v>46.764428272166299</v>
      </c>
      <c r="FL103" s="15">
        <f>IF(ISNA(VLOOKUP(A103,'Données projet'!$A$217:$I$237,3,0)),0,VLOOKUP(A103,'Données projet'!$A$217:$I$237,3,0))</f>
        <v>10</v>
      </c>
      <c r="FM103" s="15">
        <f>IF(ISNA(VLOOKUP(A103,'Données projet'!$A$217:$I$237,4,0)),0,VLOOKUP(A103,'Données projet'!$A$217:$I$237,4,0))</f>
        <v>8.5833333333333339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0.2548349351409338</v>
      </c>
      <c r="FS103" s="21">
        <f>EXP(-LN(2)/2)*FS102+(1-EXP(-LN(2)/2))/(LN(2)/2)*FM103*FP103*VLOOKUP('Données projet'!$B$16,Paramètres!$A$1:$I$89,3,0)*0.475*44/12</f>
        <v>5.742172635564639E-11</v>
      </c>
      <c r="FT103" s="22">
        <f t="shared" si="78"/>
        <v>0.25483493519835554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6.9935897435897401</v>
      </c>
      <c r="N104" s="13">
        <f>IF('Données projet'!$A$36&gt;35,N103+M104-V103,IF(A104&lt;'Données projet'!$A$36,$K$205^A104,IF(A104='Données projet'!$A$36,'Données projet'!$B$36,N103+M104-V103)))</f>
        <v>284.21794871794901</v>
      </c>
      <c r="O104" s="13">
        <f>N104*VLOOKUP('Données projet'!$B$9,Paramètres!$A$1:$I$89,3,0)*VLOOKUP('Données projet'!$B$9,Paramètres!$A$1:$I$89,5,0)</f>
        <v>257.16040000000027</v>
      </c>
      <c r="P104" s="13">
        <f t="shared" si="87"/>
        <v>62.116703672873726</v>
      </c>
      <c r="Q104" s="20">
        <f t="shared" si="107"/>
        <v>556.07428889692221</v>
      </c>
      <c r="R104" s="59">
        <f t="shared" si="55"/>
        <v>849.40762223025558</v>
      </c>
      <c r="S104" s="59">
        <f ca="1">AVERAGE(OFFSET($R$3,0,0,'Données projet'!$E$9+1,1))-AVERAGE(OFFSET($H$3,0,0,'Données projet'!$E$9+1,1))</f>
        <v>221.7429870520005</v>
      </c>
      <c r="T104" s="59">
        <f t="shared" si="88"/>
        <v>182.2029938397186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-5.1159076974727213E-13</v>
      </c>
      <c r="AJ104" s="13">
        <f>AI104*VLOOKUP('Données projet'!$B$10,Paramètres!$A$1:$I$89,3,0)*VLOOKUP('Données projet'!$B$10,Paramètres!$A$1:$I$89,5,0)</f>
        <v>-4.0702161641092972E-13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260.20517190557814</v>
      </c>
      <c r="AO104" s="59">
        <f t="shared" si="90"/>
        <v>307.22009971147133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0.7997512841744141</v>
      </c>
      <c r="AV104" s="21">
        <f>EXP(-LN(2)/25)*AV103+(1-EXP(-LN(2)/25))/(LN(2)/25)*Calculateur!AQ104*Calculateur!AS104*VLOOKUP('Données projet'!$B$10,Paramètres!$A$1:$I$89,3,0)*0.475*44/12</f>
        <v>2.8657860253459209</v>
      </c>
      <c r="AW104" s="21">
        <f>EXP(-LN(2)/2)*AW103+(1-EXP(-LN(2)/2))/(LN(2)/2)*AQ104*AT104*VLOOKUP('Données projet'!$B$10,Paramètres!$A$1:$I$89,3,0)*0.475*44/12</f>
        <v>4.9471168701130569E-10</v>
      </c>
      <c r="AX104" s="21">
        <f t="shared" si="60"/>
        <v>3.665537310015047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553.99999999999955</v>
      </c>
      <c r="BE104" s="13">
        <f>BD104*VLOOKUP('Données projet'!$B$11,Paramètres!$A$1:$I$89,3,0)*VLOOKUP('Données projet'!$B$11,Paramètres!$A$1:$I$89,5,0)</f>
        <v>331.29199999999975</v>
      </c>
      <c r="BF104" s="13">
        <f t="shared" si="91"/>
        <v>77.698110787752</v>
      </c>
      <c r="BG104" s="20">
        <f t="shared" si="61"/>
        <v>712.32444295533423</v>
      </c>
      <c r="BH104" s="59">
        <f t="shared" si="62"/>
        <v>1005.6577762886675</v>
      </c>
      <c r="BI104" s="59">
        <f ca="1">AVERAGE(OFFSET($BH$3,0,0,'Données projet'!$E$11+1,1))-AVERAGE(OFFSET($H$3,0,0,'Données projet'!$E$11+1,1))</f>
        <v>316.58509520829671</v>
      </c>
      <c r="BJ104" s="59">
        <f t="shared" si="92"/>
        <v>240.71332110643596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0.62121159682423588</v>
      </c>
      <c r="BQ104" s="21">
        <f>EXP(-LN(2)/25)*BQ103+(1-EXP(-LN(2)/25))/(LN(2)/25)*Calculateur!BL104*Calculateur!BN104*VLOOKUP('Données projet'!$B$11,Paramètres!$A$1:$I$89,3,0)*0.475*44/12</f>
        <v>2.1323322687438213</v>
      </c>
      <c r="BR104" s="21">
        <f>EXP(-LN(2)/2)*BR103+(1-EXP(-LN(2)/2))/(LN(2)/2)*BL104*BO104*VLOOKUP('Données projet'!$B$11,Paramètres!$A$1:$I$89,3,0)*0.475*44/12</f>
        <v>4.5150105898718833E-10</v>
      </c>
      <c r="BS104" s="22">
        <f t="shared" si="63"/>
        <v>2.7535438660195584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497</v>
      </c>
      <c r="BZ104" s="13">
        <f>BY104*VLOOKUP('Données projet'!$B$12,Paramètres!$A$1:$I$89,3,0)*VLOOKUP('Données projet'!$B$12,Paramètres!$A$1:$I$89,5,0)</f>
        <v>297.20600000000002</v>
      </c>
      <c r="CA104" s="13">
        <f t="shared" si="93"/>
        <v>70.590415164571112</v>
      </c>
      <c r="CB104" s="20">
        <f t="shared" si="64"/>
        <v>640.57875641162809</v>
      </c>
      <c r="CC104" s="59">
        <f t="shared" si="65"/>
        <v>933.91208974496135</v>
      </c>
      <c r="CD104" s="59">
        <f ca="1">AVERAGE(OFFSET($CC$3,0,0,'Données projet'!$E$12+1,1))-AVERAGE(OFFSET($H$3,0,0,'Données projet'!$E$12+1,1))</f>
        <v>270.30888762640245</v>
      </c>
      <c r="CE104" s="59">
        <f t="shared" si="94"/>
        <v>202.23783851977691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0.52496754661203004</v>
      </c>
      <c r="CL104" s="21">
        <f>EXP(-LN(2)/25)*CL103+(1-EXP(-LN(2)/25))/(LN(2)/25)*Calculateur!CG104*Calculateur!CI104*VLOOKUP('Données projet'!$B$12,Paramètres!$A$1:$I$89,3,0)*0.475*44/12</f>
        <v>1.7171597438456296</v>
      </c>
      <c r="CM104" s="21">
        <f>EXP(-LN(2)/2)*CM103+(1-EXP(-LN(2)/2))/(LN(2)/2)*CG104*CJ104*VLOOKUP('Données projet'!$B$12,Paramètres!$A$1:$I$89,3,0)*0.475*44/12</f>
        <v>3.8056893196528162E-10</v>
      </c>
      <c r="CN104" s="22">
        <f t="shared" si="66"/>
        <v>2.2421272908382286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-5.1159076974727213E-13</v>
      </c>
      <c r="CU104" s="17">
        <f>CT104*VLOOKUP('Données projet'!$B$13,Paramètres!$A$1:$I$89,3,0)*VLOOKUP('Données projet'!$B$13,Paramètres!$A$1:$I$89,5,0)</f>
        <v>-3.4317508834647017E-13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207.93042467236967</v>
      </c>
      <c r="CZ104" s="59">
        <f t="shared" si="96"/>
        <v>250.70954318710835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0.67430010234313298</v>
      </c>
      <c r="DG104" s="21">
        <f>EXP(-LN(2)/25)*DG103+(1-EXP(-LN(2)/25))/(LN(2)/25)*Calculateur!DB104*Calculateur!DD104*VLOOKUP('Données projet'!$B$13,Paramètres!$A$1:$I$89,3,0)*0.475*44/12</f>
        <v>2.416250962546564</v>
      </c>
      <c r="DH104" s="21">
        <f>EXP(-LN(2)/2)*DH103+(1-EXP(-LN(2)/2))/(LN(2)/2)*DB104*DE104*VLOOKUP('Données projet'!$B$13,Paramètres!$A$1:$I$89,3,0)*0.475*44/12</f>
        <v>4.1710985375463026E-10</v>
      </c>
      <c r="DI104" s="22">
        <f t="shared" si="69"/>
        <v>3.0905510653068067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5.6843418860808015E-14</v>
      </c>
      <c r="DP104" s="17">
        <f>DO104*VLOOKUP('Données projet'!$B$14,Paramètres!$A$1:$I$89,3,0)*VLOOKUP('Données projet'!$B$14,Paramètres!$A$1:$I$89,5,0)</f>
        <v>3.813056537183002E-14</v>
      </c>
      <c r="DQ104" s="13">
        <f t="shared" si="97"/>
        <v>6.4086286045526829E-13</v>
      </c>
      <c r="DR104" s="20">
        <f t="shared" si="70"/>
        <v>1.1825802166488628E-12</v>
      </c>
      <c r="DS104" s="59">
        <f t="shared" si="71"/>
        <v>293.33333333333451</v>
      </c>
      <c r="DT104" s="59">
        <f ca="1">AVERAGE(OFFSET($DS$3,0,0,'Données projet'!$E$14+1,1))-AVERAGE(OFFSET($H$3,0,0,'Données projet'!$E$14+1,1))</f>
        <v>156.63226020379989</v>
      </c>
      <c r="DU104" s="59">
        <f t="shared" si="98"/>
        <v>196.0481096619543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1.2108544266324617</v>
      </c>
      <c r="EC104" s="21">
        <f>EXP(-LN(2)/2)*EC103+(1-EXP(-LN(2)/2))/(LN(2)/2)*DW104*DZ104*VLOOKUP('Données projet'!$B$14,Paramètres!$A$1:$I$89,3,0)*0.475*44/12</f>
        <v>1.8672763640881847E-10</v>
      </c>
      <c r="ED104" s="22">
        <f t="shared" si="72"/>
        <v>1.2108544268191894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5.2583333333333373</v>
      </c>
      <c r="EJ104" s="12">
        <f>IF('Données projet'!$A$192&gt;35,EJ103+EI104-ER103,IF(A104&lt;'Données projet'!$A$192,$EG$205^A104,IF(A104='Données projet'!$A$192,'Données projet'!$B$192,EJ103+EI104-ER103)))</f>
        <v>224.25256410256381</v>
      </c>
      <c r="EK104" s="17">
        <f>EJ104*VLOOKUP('Données projet'!$B$15,Paramètres!$A$1:$I$89,3,0)*VLOOKUP('Données projet'!$B$15,Paramètres!$A$1:$I$89,5,0)</f>
        <v>227.39209999999972</v>
      </c>
      <c r="EL104" s="13">
        <f t="shared" si="99"/>
        <v>55.718418881655332</v>
      </c>
      <c r="EM104" s="20">
        <f t="shared" si="73"/>
        <v>493.08415371888253</v>
      </c>
      <c r="EN104" s="59">
        <f t="shared" si="74"/>
        <v>786.41748705221585</v>
      </c>
      <c r="EO104" s="59">
        <f ca="1">AVERAGE(OFFSET($EN$3,0,0,'Données projet'!$E$15+1,1))-AVERAGE(OFFSET($H$3,0,0,'Données projet'!$E$15+1,1))</f>
        <v>190.21499310415584</v>
      </c>
      <c r="EP104" s="59">
        <f t="shared" si="100"/>
        <v>136.15730566500173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1.1291666666666658</v>
      </c>
      <c r="FE104" s="12">
        <f>IF('Données projet'!$A$218&gt;35,FE103+FD104-FM103,IF(A104&lt;'Données projet'!$A$218,$FB$205^A104,IF(A104='Données projet'!$A$218,'Données projet'!$B$218,FE103+FD104-FM103)))</f>
        <v>78.754166666666677</v>
      </c>
      <c r="FF104" s="17">
        <f>FE104*VLOOKUP('Données projet'!$B$16,Paramètres!$A$1:$I$89,3,0)*VLOOKUP('Données projet'!$B$16,Paramètres!$A$1:$I$89,5,0)</f>
        <v>90.724800000000016</v>
      </c>
      <c r="FG104" s="13">
        <f t="shared" si="101"/>
        <v>24.739947613785333</v>
      </c>
      <c r="FH104" s="20">
        <f t="shared" si="76"/>
        <v>201.10110209400946</v>
      </c>
      <c r="FI104" s="59">
        <f t="shared" si="77"/>
        <v>494.43443542734281</v>
      </c>
      <c r="FJ104" s="59">
        <f ca="1">AVERAGE(OFFSET($FI$3,0,0,'Données projet'!$E$16+1,1))-AVERAGE(OFFSET($H$3,0,0,'Données projet'!$E$16+1,1))</f>
        <v>14.847345852478327</v>
      </c>
      <c r="FK104" s="59">
        <f t="shared" si="102"/>
        <v>46.764428272166299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0.24786646043831817</v>
      </c>
      <c r="FS104" s="21">
        <f>EXP(-LN(2)/2)*FS103+(1-EXP(-LN(2)/2))/(LN(2)/2)*FM104*FP104*VLOOKUP('Données projet'!$B$16,Paramètres!$A$1:$I$89,3,0)*0.475*44/12</f>
        <v>4.0603292093515865E-11</v>
      </c>
      <c r="FT104" s="22">
        <f t="shared" si="78"/>
        <v>0.24786646047892147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6.9935897435897401</v>
      </c>
      <c r="N105" s="13">
        <f>IF('Données projet'!$A$36&gt;35,N104+M105-V104,IF(A105&lt;'Données projet'!$A$36,$K$205^A105,IF(A105='Données projet'!$A$36,'Données projet'!$B$36,N104+M105-V104)))</f>
        <v>291.21153846153874</v>
      </c>
      <c r="O105" s="13">
        <f>N105*VLOOKUP('Données projet'!$B$9,Paramètres!$A$1:$I$89,3,0)*VLOOKUP('Données projet'!$B$9,Paramètres!$A$1:$I$89,5,0)</f>
        <v>263.48820000000023</v>
      </c>
      <c r="P105" s="13">
        <f t="shared" si="87"/>
        <v>63.465343539396862</v>
      </c>
      <c r="Q105" s="20">
        <f t="shared" si="107"/>
        <v>569.44408833111663</v>
      </c>
      <c r="R105" s="59">
        <f t="shared" si="55"/>
        <v>862.77742166445</v>
      </c>
      <c r="S105" s="59">
        <f ca="1">AVERAGE(OFFSET($R$3,0,0,'Données projet'!$E$9+1,1))-AVERAGE(OFFSET($H$3,0,0,'Données projet'!$E$9+1,1))</f>
        <v>221.7429870520005</v>
      </c>
      <c r="T105" s="59">
        <f t="shared" si="88"/>
        <v>182.2029938397186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-5.1159076974727213E-13</v>
      </c>
      <c r="AJ105" s="13">
        <f>AI105*VLOOKUP('Données projet'!$B$10,Paramètres!$A$1:$I$89,3,0)*VLOOKUP('Données projet'!$B$10,Paramètres!$A$1:$I$89,5,0)</f>
        <v>-4.0702161641092972E-13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260.20517190557814</v>
      </c>
      <c r="AO105" s="59">
        <f t="shared" si="90"/>
        <v>307.22009971147133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0.78406864929187092</v>
      </c>
      <c r="AV105" s="21">
        <f>EXP(-LN(2)/25)*AV104+(1-EXP(-LN(2)/25))/(LN(2)/25)*Calculateur!AQ105*Calculateur!AS105*VLOOKUP('Données projet'!$B$10,Paramètres!$A$1:$I$89,3,0)*0.475*44/12</f>
        <v>2.7874209557776992</v>
      </c>
      <c r="AW105" s="21">
        <f>EXP(-LN(2)/2)*AW104+(1-EXP(-LN(2)/2))/(LN(2)/2)*AQ105*AT105*VLOOKUP('Données projet'!$B$10,Paramètres!$A$1:$I$89,3,0)*0.475*44/12</f>
        <v>3.4981398861793112E-10</v>
      </c>
      <c r="AX105" s="21">
        <f t="shared" si="60"/>
        <v>3.5714896054193841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553.99999999999955</v>
      </c>
      <c r="BE105" s="13">
        <f>BD105*VLOOKUP('Données projet'!$B$11,Paramètres!$A$1:$I$89,3,0)*VLOOKUP('Données projet'!$B$11,Paramètres!$A$1:$I$89,5,0)</f>
        <v>331.29199999999975</v>
      </c>
      <c r="BF105" s="13">
        <f t="shared" si="91"/>
        <v>77.698110787752</v>
      </c>
      <c r="BG105" s="20">
        <f t="shared" si="61"/>
        <v>712.32444295533423</v>
      </c>
      <c r="BH105" s="59">
        <f t="shared" si="62"/>
        <v>1005.6577762886675</v>
      </c>
      <c r="BI105" s="59">
        <f ca="1">AVERAGE(OFFSET($BH$3,0,0,'Données projet'!$E$11+1,1))-AVERAGE(OFFSET($H$3,0,0,'Données projet'!$E$11+1,1))</f>
        <v>316.58509520829671</v>
      </c>
      <c r="BJ105" s="59">
        <f t="shared" si="92"/>
        <v>240.71332110643596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0.60903001631217324</v>
      </c>
      <c r="BQ105" s="21">
        <f>EXP(-LN(2)/25)*BQ104+(1-EXP(-LN(2)/25))/(LN(2)/25)*Calculateur!BL105*Calculateur!BN105*VLOOKUP('Données projet'!$B$11,Paramètres!$A$1:$I$89,3,0)*0.475*44/12</f>
        <v>2.0740235307205408</v>
      </c>
      <c r="BR105" s="21">
        <f>EXP(-LN(2)/2)*BR104+(1-EXP(-LN(2)/2))/(LN(2)/2)*BL105*BO105*VLOOKUP('Données projet'!$B$11,Paramètres!$A$1:$I$89,3,0)*0.475*44/12</f>
        <v>3.1925946052274828E-10</v>
      </c>
      <c r="BS105" s="22">
        <f t="shared" si="63"/>
        <v>2.6830535473519732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497</v>
      </c>
      <c r="BZ105" s="13">
        <f>BY105*VLOOKUP('Données projet'!$B$12,Paramètres!$A$1:$I$89,3,0)*VLOOKUP('Données projet'!$B$12,Paramètres!$A$1:$I$89,5,0)</f>
        <v>297.20600000000002</v>
      </c>
      <c r="CA105" s="13">
        <f t="shared" si="93"/>
        <v>70.590415164571112</v>
      </c>
      <c r="CB105" s="20">
        <f t="shared" si="64"/>
        <v>640.57875641162809</v>
      </c>
      <c r="CC105" s="59">
        <f t="shared" si="65"/>
        <v>933.91208974496135</v>
      </c>
      <c r="CD105" s="59">
        <f ca="1">AVERAGE(OFFSET($CC$3,0,0,'Données projet'!$E$12+1,1))-AVERAGE(OFFSET($H$3,0,0,'Données projet'!$E$12+1,1))</f>
        <v>270.30888762640245</v>
      </c>
      <c r="CE105" s="59">
        <f t="shared" si="94"/>
        <v>202.23783851977691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0.51467325322155455</v>
      </c>
      <c r="CL105" s="21">
        <f>EXP(-LN(2)/25)*CL104+(1-EXP(-LN(2)/25))/(LN(2)/25)*Calculateur!CG105*Calculateur!CI105*VLOOKUP('Données projet'!$B$12,Paramètres!$A$1:$I$89,3,0)*0.475*44/12</f>
        <v>1.6702039203486645</v>
      </c>
      <c r="CM105" s="21">
        <f>EXP(-LN(2)/2)*CM104+(1-EXP(-LN(2)/2))/(LN(2)/2)*CG105*CJ105*VLOOKUP('Données projet'!$B$12,Paramètres!$A$1:$I$89,3,0)*0.475*44/12</f>
        <v>2.6910287250157248E-10</v>
      </c>
      <c r="CN105" s="22">
        <f t="shared" si="66"/>
        <v>2.1848771738393218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-5.1159076974727213E-13</v>
      </c>
      <c r="CU105" s="17">
        <f>CT105*VLOOKUP('Données projet'!$B$13,Paramètres!$A$1:$I$89,3,0)*VLOOKUP('Données projet'!$B$13,Paramètres!$A$1:$I$89,5,0)</f>
        <v>-3.4317508834647017E-13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207.93042467236967</v>
      </c>
      <c r="CZ105" s="59">
        <f t="shared" si="96"/>
        <v>250.70954318710835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0.6610774886186358</v>
      </c>
      <c r="DG105" s="21">
        <f>EXP(-LN(2)/25)*DG104+(1-EXP(-LN(2)/25))/(LN(2)/25)*Calculateur!DB105*Calculateur!DD105*VLOOKUP('Données projet'!$B$13,Paramètres!$A$1:$I$89,3,0)*0.475*44/12</f>
        <v>2.3501784529106127</v>
      </c>
      <c r="DH105" s="21">
        <f>EXP(-LN(2)/2)*DH104+(1-EXP(-LN(2)/2))/(LN(2)/2)*DB105*DE105*VLOOKUP('Données projet'!$B$13,Paramètres!$A$1:$I$89,3,0)*0.475*44/12</f>
        <v>2.9494120608962818E-10</v>
      </c>
      <c r="DI105" s="22">
        <f t="shared" si="69"/>
        <v>3.01125594182419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5.6843418860808015E-14</v>
      </c>
      <c r="DP105" s="17">
        <f>DO105*VLOOKUP('Données projet'!$B$14,Paramètres!$A$1:$I$89,3,0)*VLOOKUP('Données projet'!$B$14,Paramètres!$A$1:$I$89,5,0)</f>
        <v>3.813056537183002E-14</v>
      </c>
      <c r="DQ105" s="13">
        <f t="shared" si="97"/>
        <v>6.4086286045526829E-13</v>
      </c>
      <c r="DR105" s="20">
        <f t="shared" si="70"/>
        <v>1.1825802166488628E-12</v>
      </c>
      <c r="DS105" s="59">
        <f t="shared" si="71"/>
        <v>293.33333333333451</v>
      </c>
      <c r="DT105" s="59">
        <f ca="1">AVERAGE(OFFSET($DS$3,0,0,'Données projet'!$E$14+1,1))-AVERAGE(OFFSET($H$3,0,0,'Données projet'!$E$14+1,1))</f>
        <v>156.63226020379989</v>
      </c>
      <c r="DU105" s="59">
        <f t="shared" si="98"/>
        <v>196.0481096619543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1.1777435486601302</v>
      </c>
      <c r="EC105" s="21">
        <f>EXP(-LN(2)/2)*EC104+(1-EXP(-LN(2)/2))/(LN(2)/2)*DW105*DZ105*VLOOKUP('Données projet'!$B$14,Paramètres!$A$1:$I$89,3,0)*0.475*44/12</f>
        <v>1.3203637793961161E-10</v>
      </c>
      <c r="ED105" s="22">
        <f t="shared" si="72"/>
        <v>1.1777435487921666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5.2583333333333373</v>
      </c>
      <c r="EJ105" s="12">
        <f>IF('Données projet'!$A$192&gt;35,EJ104+EI105-ER104,IF(A105&lt;'Données projet'!$A$192,$EG$205^A105,IF(A105='Données projet'!$A$192,'Données projet'!$B$192,EJ104+EI105-ER104)))</f>
        <v>229.51089743589714</v>
      </c>
      <c r="EK105" s="17">
        <f>EJ105*VLOOKUP('Données projet'!$B$15,Paramètres!$A$1:$I$89,3,0)*VLOOKUP('Données projet'!$B$15,Paramètres!$A$1:$I$89,5,0)</f>
        <v>232.72404999999969</v>
      </c>
      <c r="EL105" s="13">
        <f t="shared" si="99"/>
        <v>56.871280605943788</v>
      </c>
      <c r="EM105" s="20">
        <f t="shared" si="73"/>
        <v>504.37853413868493</v>
      </c>
      <c r="EN105" s="59">
        <f t="shared" si="74"/>
        <v>797.71186747201818</v>
      </c>
      <c r="EO105" s="59">
        <f ca="1">AVERAGE(OFFSET($EN$3,0,0,'Données projet'!$E$15+1,1))-AVERAGE(OFFSET($H$3,0,0,'Données projet'!$E$15+1,1))</f>
        <v>190.21499310415584</v>
      </c>
      <c r="EP105" s="59">
        <f t="shared" si="100"/>
        <v>136.15730566500173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1.1291666666666658</v>
      </c>
      <c r="FE105" s="12">
        <f>IF('Données projet'!$A$218&gt;35,FE104+FD105-FM104,IF(A105&lt;'Données projet'!$A$218,$FB$205^A105,IF(A105='Données projet'!$A$218,'Données projet'!$B$218,FE104+FD105-FM104)))</f>
        <v>79.88333333333334</v>
      </c>
      <c r="FF105" s="17">
        <f>FE105*VLOOKUP('Données projet'!$B$16,Paramètres!$A$1:$I$89,3,0)*VLOOKUP('Données projet'!$B$16,Paramètres!$A$1:$I$89,5,0)</f>
        <v>92.025599999999997</v>
      </c>
      <c r="FG105" s="13">
        <f t="shared" si="101"/>
        <v>25.053116319942081</v>
      </c>
      <c r="FH105" s="20">
        <f t="shared" si="76"/>
        <v>203.91209759056576</v>
      </c>
      <c r="FI105" s="59">
        <f t="shared" si="77"/>
        <v>497.24543092389911</v>
      </c>
      <c r="FJ105" s="59">
        <f ca="1">AVERAGE(OFFSET($FI$3,0,0,'Données projet'!$E$16+1,1))-AVERAGE(OFFSET($H$3,0,0,'Données projet'!$E$16+1,1))</f>
        <v>14.847345852478327</v>
      </c>
      <c r="FK105" s="59">
        <f t="shared" si="102"/>
        <v>46.764428272166299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0.2410885390429017</v>
      </c>
      <c r="FS105" s="21">
        <f>EXP(-LN(2)/2)*FS104+(1-EXP(-LN(2)/2))/(LN(2)/2)*FM105*FP105*VLOOKUP('Données projet'!$B$16,Paramètres!$A$1:$I$89,3,0)*0.475*44/12</f>
        <v>2.8710863177823198E-11</v>
      </c>
      <c r="FT105" s="22">
        <f t="shared" si="78"/>
        <v>0.24108853907161257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6.9935897435897401</v>
      </c>
      <c r="N106" s="13">
        <f>IF('Données projet'!$A$36&gt;35,N105+M106-V105,IF(A106&lt;'Données projet'!$A$36,$K$205^A106,IF(A106='Données projet'!$A$36,'Données projet'!$B$36,N105+M106-V105)))</f>
        <v>298.20512820512846</v>
      </c>
      <c r="O106" s="13">
        <f>N106*VLOOKUP('Données projet'!$B$9,Paramètres!$A$1:$I$89,3,0)*VLOOKUP('Données projet'!$B$9,Paramètres!$A$1:$I$89,5,0)</f>
        <v>269.81600000000026</v>
      </c>
      <c r="P106" s="13">
        <f t="shared" si="87"/>
        <v>64.810218294809729</v>
      </c>
      <c r="Q106" s="20">
        <f t="shared" si="107"/>
        <v>582.80733019679406</v>
      </c>
      <c r="R106" s="59">
        <f t="shared" si="55"/>
        <v>876.14066353012731</v>
      </c>
      <c r="S106" s="59">
        <f ca="1">AVERAGE(OFFSET($R$3,0,0,'Données projet'!$E$9+1,1))-AVERAGE(OFFSET($H$3,0,0,'Données projet'!$E$9+1,1))</f>
        <v>221.7429870520005</v>
      </c>
      <c r="T106" s="59">
        <f t="shared" si="88"/>
        <v>182.2029938397186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-5.1159076974727213E-13</v>
      </c>
      <c r="AJ106" s="13">
        <f>AI106*VLOOKUP('Données projet'!$B$10,Paramètres!$A$1:$I$89,3,0)*VLOOKUP('Données projet'!$B$10,Paramètres!$A$1:$I$89,5,0)</f>
        <v>-4.0702161641092972E-13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260.20517190557814</v>
      </c>
      <c r="AO106" s="59">
        <f t="shared" si="90"/>
        <v>307.22009971147133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0.76869354131391165</v>
      </c>
      <c r="AV106" s="21">
        <f>EXP(-LN(2)/25)*AV105+(1-EXP(-LN(2)/25))/(LN(2)/25)*Calculateur!AQ106*Calculateur!AS106*VLOOKUP('Données projet'!$B$10,Paramètres!$A$1:$I$89,3,0)*0.475*44/12</f>
        <v>2.7111987831578608</v>
      </c>
      <c r="AW106" s="21">
        <f>EXP(-LN(2)/2)*AW105+(1-EXP(-LN(2)/2))/(LN(2)/2)*AQ106*AT106*VLOOKUP('Données projet'!$B$10,Paramètres!$A$1:$I$89,3,0)*0.475*44/12</f>
        <v>2.4735584350565284E-10</v>
      </c>
      <c r="AX106" s="21">
        <f t="shared" si="60"/>
        <v>3.4798923247191285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553.99999999999955</v>
      </c>
      <c r="BE106" s="13">
        <f>BD106*VLOOKUP('Données projet'!$B$11,Paramètres!$A$1:$I$89,3,0)*VLOOKUP('Données projet'!$B$11,Paramètres!$A$1:$I$89,5,0)</f>
        <v>331.29199999999975</v>
      </c>
      <c r="BF106" s="13">
        <f t="shared" si="91"/>
        <v>77.698110787752</v>
      </c>
      <c r="BG106" s="20">
        <f t="shared" si="61"/>
        <v>712.32444295533423</v>
      </c>
      <c r="BH106" s="59">
        <f t="shared" si="62"/>
        <v>1005.6577762886675</v>
      </c>
      <c r="BI106" s="59">
        <f ca="1">AVERAGE(OFFSET($BH$3,0,0,'Données projet'!$E$11+1,1))-AVERAGE(OFFSET($H$3,0,0,'Données projet'!$E$11+1,1))</f>
        <v>316.58509520829671</v>
      </c>
      <c r="BJ106" s="59">
        <f t="shared" si="92"/>
        <v>240.71332110643596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0.59708730916392172</v>
      </c>
      <c r="BQ106" s="21">
        <f>EXP(-LN(2)/25)*BQ105+(1-EXP(-LN(2)/25))/(LN(2)/25)*Calculateur!BL106*Calculateur!BN106*VLOOKUP('Données projet'!$B$11,Paramètres!$A$1:$I$89,3,0)*0.475*44/12</f>
        <v>2.0173092482048305</v>
      </c>
      <c r="BR106" s="21">
        <f>EXP(-LN(2)/2)*BR105+(1-EXP(-LN(2)/2))/(LN(2)/2)*BL106*BO106*VLOOKUP('Données projet'!$B$11,Paramètres!$A$1:$I$89,3,0)*0.475*44/12</f>
        <v>2.2575052949359419E-10</v>
      </c>
      <c r="BS106" s="22">
        <f t="shared" si="63"/>
        <v>2.6143965575945027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497</v>
      </c>
      <c r="BZ106" s="13">
        <f>BY106*VLOOKUP('Données projet'!$B$12,Paramètres!$A$1:$I$89,3,0)*VLOOKUP('Données projet'!$B$12,Paramètres!$A$1:$I$89,5,0)</f>
        <v>297.20600000000002</v>
      </c>
      <c r="CA106" s="13">
        <f t="shared" si="93"/>
        <v>70.590415164571112</v>
      </c>
      <c r="CB106" s="20">
        <f t="shared" si="64"/>
        <v>640.57875641162809</v>
      </c>
      <c r="CC106" s="59">
        <f t="shared" si="65"/>
        <v>933.91208974496135</v>
      </c>
      <c r="CD106" s="59">
        <f ca="1">AVERAGE(OFFSET($CC$3,0,0,'Données projet'!$E$12+1,1))-AVERAGE(OFFSET($H$3,0,0,'Données projet'!$E$12+1,1))</f>
        <v>270.30888762640245</v>
      </c>
      <c r="CE106" s="59">
        <f t="shared" si="94"/>
        <v>202.23783851977691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0.50458082464556731</v>
      </c>
      <c r="CL106" s="21">
        <f>EXP(-LN(2)/25)*CL105+(1-EXP(-LN(2)/25))/(LN(2)/25)*Calculateur!CG106*Calculateur!CI106*VLOOKUP('Données projet'!$B$12,Paramètres!$A$1:$I$89,3,0)*0.475*44/12</f>
        <v>1.6245321063145235</v>
      </c>
      <c r="CM106" s="21">
        <f>EXP(-LN(2)/2)*CM105+(1-EXP(-LN(2)/2))/(LN(2)/2)*CG106*CJ106*VLOOKUP('Données projet'!$B$12,Paramètres!$A$1:$I$89,3,0)*0.475*44/12</f>
        <v>1.9028446598264081E-10</v>
      </c>
      <c r="CN106" s="22">
        <f t="shared" si="66"/>
        <v>2.1291129311503756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-5.1159076974727213E-13</v>
      </c>
      <c r="CU106" s="17">
        <f>CT106*VLOOKUP('Données projet'!$B$13,Paramètres!$A$1:$I$89,3,0)*VLOOKUP('Données projet'!$B$13,Paramètres!$A$1:$I$89,5,0)</f>
        <v>-3.4317508834647017E-13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207.93042467236967</v>
      </c>
      <c r="CZ106" s="59">
        <f t="shared" si="96"/>
        <v>250.70954318710835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0.64811416228427798</v>
      </c>
      <c r="DG106" s="21">
        <f>EXP(-LN(2)/25)*DG105+(1-EXP(-LN(2)/25))/(LN(2)/25)*Calculateur!DB106*Calculateur!DD106*VLOOKUP('Données projet'!$B$13,Paramètres!$A$1:$I$89,3,0)*0.475*44/12</f>
        <v>2.2859126995252583</v>
      </c>
      <c r="DH106" s="21">
        <f>EXP(-LN(2)/2)*DH105+(1-EXP(-LN(2)/2))/(LN(2)/2)*DB106*DE106*VLOOKUP('Données projet'!$B$13,Paramètres!$A$1:$I$89,3,0)*0.475*44/12</f>
        <v>2.0855492687731513E-10</v>
      </c>
      <c r="DI106" s="22">
        <f t="shared" si="69"/>
        <v>2.9340268620180914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5.6843418860808015E-14</v>
      </c>
      <c r="DP106" s="17">
        <f>DO106*VLOOKUP('Données projet'!$B$14,Paramètres!$A$1:$I$89,3,0)*VLOOKUP('Données projet'!$B$14,Paramètres!$A$1:$I$89,5,0)</f>
        <v>3.813056537183002E-14</v>
      </c>
      <c r="DQ106" s="13">
        <f t="shared" si="97"/>
        <v>6.4086286045526829E-13</v>
      </c>
      <c r="DR106" s="20">
        <f t="shared" si="70"/>
        <v>1.1825802166488628E-12</v>
      </c>
      <c r="DS106" s="59">
        <f t="shared" si="71"/>
        <v>293.33333333333451</v>
      </c>
      <c r="DT106" s="59">
        <f ca="1">AVERAGE(OFFSET($DS$3,0,0,'Données projet'!$E$14+1,1))-AVERAGE(OFFSET($H$3,0,0,'Données projet'!$E$14+1,1))</f>
        <v>156.63226020379989</v>
      </c>
      <c r="DU106" s="59">
        <f t="shared" si="98"/>
        <v>196.0481096619543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1.1455380893871774</v>
      </c>
      <c r="EC106" s="21">
        <f>EXP(-LN(2)/2)*EC105+(1-EXP(-LN(2)/2))/(LN(2)/2)*DW106*DZ106*VLOOKUP('Données projet'!$B$14,Paramètres!$A$1:$I$89,3,0)*0.475*44/12</f>
        <v>9.3363818204409236E-11</v>
      </c>
      <c r="ED106" s="22">
        <f t="shared" si="72"/>
        <v>1.1455380894805411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>
        <f>VLOOKUP(A106,'Données projet'!$A$191:$I$211,2,0)</f>
        <v>234.76923076923077</v>
      </c>
      <c r="EH106" s="12">
        <f>VLOOKUP(A106,'Données projet'!$A$191:$I$211,9,0)</f>
        <v>5.2583333333333373</v>
      </c>
      <c r="EI106" s="12">
        <f t="array" ref="EI106">INDEX(EH:EH,MIN(IF(ISNUMBER(EH106:EH302),ROW(EH106:EH302),"")))</f>
        <v>5.2583333333333373</v>
      </c>
      <c r="EJ106" s="12">
        <f>IF('Données projet'!$A$192&gt;35,EJ105+EI106-ER105,IF(A106&lt;'Données projet'!$A$192,$EG$205^A106,IF(A106='Données projet'!$A$192,'Données projet'!$B$192,EJ105+EI106-ER105)))</f>
        <v>234.76923076923046</v>
      </c>
      <c r="EK106" s="17">
        <f>EJ106*VLOOKUP('Données projet'!$B$15,Paramètres!$A$1:$I$89,3,0)*VLOOKUP('Données projet'!$B$15,Paramètres!$A$1:$I$89,5,0)</f>
        <v>238.0559999999997</v>
      </c>
      <c r="EL106" s="13">
        <f t="shared" si="99"/>
        <v>58.021071638689058</v>
      </c>
      <c r="EM106" s="20">
        <f t="shared" si="73"/>
        <v>515.6675664373829</v>
      </c>
      <c r="EN106" s="59">
        <f t="shared" si="74"/>
        <v>809.00089977071616</v>
      </c>
      <c r="EO106" s="59">
        <f ca="1">AVERAGE(OFFSET($EN$3,0,0,'Données projet'!$E$15+1,1))-AVERAGE(OFFSET($H$3,0,0,'Données projet'!$E$15+1,1))</f>
        <v>190.21499310415584</v>
      </c>
      <c r="EP106" s="59">
        <f t="shared" si="100"/>
        <v>136.15730566500173</v>
      </c>
      <c r="EQ106" s="15">
        <f>IF(ISNA(VLOOKUP(A106,'Données projet'!$A$191:$I$211,3,0)),0,VLOOKUP(A106,'Données projet'!$A$191:$I$211,3,0))</f>
        <v>8</v>
      </c>
      <c r="ER106" s="15">
        <f>IF(ISNA(VLOOKUP(A106,'Données projet'!$A$191:$I$211,4,0)),0,VLOOKUP(A106,'Données projet'!$A$191:$I$211,4,0))</f>
        <v>39.512820512820511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1.1291666666666658</v>
      </c>
      <c r="FE106" s="12">
        <f>IF('Données projet'!$A$218&gt;35,FE105+FD106-FM105,IF(A106&lt;'Données projet'!$A$218,$FB$205^A106,IF(A106='Données projet'!$A$218,'Données projet'!$B$218,FE105+FD106-FM105)))</f>
        <v>81.012500000000003</v>
      </c>
      <c r="FF106" s="17">
        <f>FE106*VLOOKUP('Données projet'!$B$16,Paramètres!$A$1:$I$89,3,0)*VLOOKUP('Données projet'!$B$16,Paramètres!$A$1:$I$89,5,0)</f>
        <v>93.326400000000007</v>
      </c>
      <c r="FG106" s="13">
        <f t="shared" si="101"/>
        <v>25.365770163588408</v>
      </c>
      <c r="FH106" s="20">
        <f t="shared" si="76"/>
        <v>206.72219636824983</v>
      </c>
      <c r="FI106" s="59">
        <f t="shared" si="77"/>
        <v>500.05552970158317</v>
      </c>
      <c r="FJ106" s="59">
        <f ca="1">AVERAGE(OFFSET($FI$3,0,0,'Données projet'!$E$16+1,1))-AVERAGE(OFFSET($H$3,0,0,'Données projet'!$E$16+1,1))</f>
        <v>14.847345852478327</v>
      </c>
      <c r="FK106" s="59">
        <f t="shared" si="102"/>
        <v>46.764428272166299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0.2344959602644783</v>
      </c>
      <c r="FS106" s="21">
        <f>EXP(-LN(2)/2)*FS105+(1-EXP(-LN(2)/2))/(LN(2)/2)*FM106*FP106*VLOOKUP('Données projet'!$B$16,Paramètres!$A$1:$I$89,3,0)*0.475*44/12</f>
        <v>2.0301646046757936E-11</v>
      </c>
      <c r="FT106" s="22">
        <f t="shared" si="78"/>
        <v>0.23449596028477995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6.9935897435897401</v>
      </c>
      <c r="N107" s="13">
        <f>IF('Données projet'!$A$36&gt;35,N106+M107-V106,IF(A107&lt;'Données projet'!$A$36,$K$205^A107,IF(A107='Données projet'!$A$36,'Données projet'!$B$36,N106+M107-V106)))</f>
        <v>305.19871794871818</v>
      </c>
      <c r="O107" s="13">
        <f>N107*VLOOKUP('Données projet'!$B$9,Paramètres!$A$1:$I$89,3,0)*VLOOKUP('Données projet'!$B$9,Paramètres!$A$1:$I$89,5,0)</f>
        <v>276.14380000000023</v>
      </c>
      <c r="P107" s="13">
        <f t="shared" si="87"/>
        <v>66.151426401533882</v>
      </c>
      <c r="Q107" s="20">
        <f t="shared" si="107"/>
        <v>596.16418598267194</v>
      </c>
      <c r="R107" s="59">
        <f t="shared" si="55"/>
        <v>889.49751931600531</v>
      </c>
      <c r="S107" s="59">
        <f ca="1">AVERAGE(OFFSET($R$3,0,0,'Données projet'!$E$9+1,1))-AVERAGE(OFFSET($H$3,0,0,'Données projet'!$E$9+1,1))</f>
        <v>221.7429870520005</v>
      </c>
      <c r="T107" s="59">
        <f t="shared" si="88"/>
        <v>182.2029938397186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-5.1159076974727213E-13</v>
      </c>
      <c r="AJ107" s="13">
        <f>AI107*VLOOKUP('Données projet'!$B$10,Paramètres!$A$1:$I$89,3,0)*VLOOKUP('Données projet'!$B$10,Paramètres!$A$1:$I$89,5,0)</f>
        <v>-4.0702161641092972E-13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260.20517190557814</v>
      </c>
      <c r="AO107" s="59">
        <f t="shared" si="90"/>
        <v>307.22009971147133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0.75361992982551029</v>
      </c>
      <c r="AV107" s="21">
        <f>EXP(-LN(2)/25)*AV106+(1-EXP(-LN(2)/25))/(LN(2)/25)*Calculateur!AQ107*Calculateur!AS107*VLOOKUP('Données projet'!$B$10,Paramètres!$A$1:$I$89,3,0)*0.475*44/12</f>
        <v>2.6370609098566615</v>
      </c>
      <c r="AW107" s="21">
        <f>EXP(-LN(2)/2)*AW106+(1-EXP(-LN(2)/2))/(LN(2)/2)*AQ107*AT107*VLOOKUP('Données projet'!$B$10,Paramètres!$A$1:$I$89,3,0)*0.475*44/12</f>
        <v>1.7490699430896556E-10</v>
      </c>
      <c r="AX107" s="21">
        <f t="shared" si="60"/>
        <v>3.3906808398570791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553.99999999999955</v>
      </c>
      <c r="BE107" s="13">
        <f>BD107*VLOOKUP('Données projet'!$B$11,Paramètres!$A$1:$I$89,3,0)*VLOOKUP('Données projet'!$B$11,Paramètres!$A$1:$I$89,5,0)</f>
        <v>331.29199999999975</v>
      </c>
      <c r="BF107" s="13">
        <f t="shared" si="91"/>
        <v>77.698110787752</v>
      </c>
      <c r="BG107" s="20">
        <f t="shared" si="61"/>
        <v>712.32444295533423</v>
      </c>
      <c r="BH107" s="59">
        <f t="shared" si="62"/>
        <v>1005.6577762886675</v>
      </c>
      <c r="BI107" s="59">
        <f ca="1">AVERAGE(OFFSET($BH$3,0,0,'Données projet'!$E$11+1,1))-AVERAGE(OFFSET($H$3,0,0,'Données projet'!$E$11+1,1))</f>
        <v>316.58509520829671</v>
      </c>
      <c r="BJ107" s="59">
        <f t="shared" si="92"/>
        <v>240.71332110643596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0.58537879121851533</v>
      </c>
      <c r="BQ107" s="21">
        <f>EXP(-LN(2)/25)*BQ106+(1-EXP(-LN(2)/25))/(LN(2)/25)*Calculateur!BL107*Calculateur!BN107*VLOOKUP('Données projet'!$B$11,Paramètres!$A$1:$I$89,3,0)*0.475*44/12</f>
        <v>1.9621458207269866</v>
      </c>
      <c r="BR107" s="21">
        <f>EXP(-LN(2)/2)*BR106+(1-EXP(-LN(2)/2))/(LN(2)/2)*BL107*BO107*VLOOKUP('Données projet'!$B$11,Paramètres!$A$1:$I$89,3,0)*0.475*44/12</f>
        <v>1.5962973026137417E-10</v>
      </c>
      <c r="BS107" s="22">
        <f t="shared" si="63"/>
        <v>2.5475246121051316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497</v>
      </c>
      <c r="BZ107" s="13">
        <f>BY107*VLOOKUP('Données projet'!$B$12,Paramètres!$A$1:$I$89,3,0)*VLOOKUP('Données projet'!$B$12,Paramètres!$A$1:$I$89,5,0)</f>
        <v>297.20600000000002</v>
      </c>
      <c r="CA107" s="13">
        <f t="shared" si="93"/>
        <v>70.590415164571112</v>
      </c>
      <c r="CB107" s="20">
        <f t="shared" si="64"/>
        <v>640.57875641162809</v>
      </c>
      <c r="CC107" s="59">
        <f t="shared" si="65"/>
        <v>933.91208974496135</v>
      </c>
      <c r="CD107" s="59">
        <f ca="1">AVERAGE(OFFSET($CC$3,0,0,'Données projet'!$E$12+1,1))-AVERAGE(OFFSET($H$3,0,0,'Données projet'!$E$12+1,1))</f>
        <v>270.30888762640245</v>
      </c>
      <c r="CE107" s="59">
        <f t="shared" si="94"/>
        <v>202.23783851977691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0.49468630243818162</v>
      </c>
      <c r="CL107" s="21">
        <f>EXP(-LN(2)/25)*CL106+(1-EXP(-LN(2)/25))/(LN(2)/25)*Calculateur!CG107*Calculateur!CI107*VLOOKUP('Données projet'!$B$12,Paramètres!$A$1:$I$89,3,0)*0.475*44/12</f>
        <v>1.5801091904369222</v>
      </c>
      <c r="CM107" s="21">
        <f>EXP(-LN(2)/2)*CM106+(1-EXP(-LN(2)/2))/(LN(2)/2)*CG107*CJ107*VLOOKUP('Données projet'!$B$12,Paramètres!$A$1:$I$89,3,0)*0.475*44/12</f>
        <v>1.3455143625078624E-10</v>
      </c>
      <c r="CN107" s="22">
        <f t="shared" si="66"/>
        <v>2.0747954930096553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-5.1159076974727213E-13</v>
      </c>
      <c r="CU107" s="17">
        <f>CT107*VLOOKUP('Données projet'!$B$13,Paramètres!$A$1:$I$89,3,0)*VLOOKUP('Données projet'!$B$13,Paramètres!$A$1:$I$89,5,0)</f>
        <v>-3.4317508834647017E-13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207.93042467236967</v>
      </c>
      <c r="CZ107" s="59">
        <f t="shared" si="96"/>
        <v>250.70954318710835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0.63540503887248856</v>
      </c>
      <c r="DG107" s="21">
        <f>EXP(-LN(2)/25)*DG106+(1-EXP(-LN(2)/25))/(LN(2)/25)*Calculateur!DB107*Calculateur!DD107*VLOOKUP('Données projet'!$B$13,Paramètres!$A$1:$I$89,3,0)*0.475*44/12</f>
        <v>2.2234042965458158</v>
      </c>
      <c r="DH107" s="21">
        <f>EXP(-LN(2)/2)*DH106+(1-EXP(-LN(2)/2))/(LN(2)/2)*DB107*DE107*VLOOKUP('Données projet'!$B$13,Paramètres!$A$1:$I$89,3,0)*0.475*44/12</f>
        <v>1.4747060304481409E-10</v>
      </c>
      <c r="DI107" s="22">
        <f t="shared" si="69"/>
        <v>2.8588093355657751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5.6843418860808015E-14</v>
      </c>
      <c r="DP107" s="17">
        <f>DO107*VLOOKUP('Données projet'!$B$14,Paramètres!$A$1:$I$89,3,0)*VLOOKUP('Données projet'!$B$14,Paramètres!$A$1:$I$89,5,0)</f>
        <v>3.813056537183002E-14</v>
      </c>
      <c r="DQ107" s="13">
        <f t="shared" si="97"/>
        <v>6.4086286045526829E-13</v>
      </c>
      <c r="DR107" s="20">
        <f t="shared" si="70"/>
        <v>1.1825802166488628E-12</v>
      </c>
      <c r="DS107" s="59">
        <f t="shared" si="71"/>
        <v>293.33333333333451</v>
      </c>
      <c r="DT107" s="59">
        <f ca="1">AVERAGE(OFFSET($DS$3,0,0,'Données projet'!$E$14+1,1))-AVERAGE(OFFSET($H$3,0,0,'Données projet'!$E$14+1,1))</f>
        <v>156.63226020379989</v>
      </c>
      <c r="DU107" s="59">
        <f t="shared" si="98"/>
        <v>196.0481096619543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1.114213290091655</v>
      </c>
      <c r="EC107" s="21">
        <f>EXP(-LN(2)/2)*EC106+(1-EXP(-LN(2)/2))/(LN(2)/2)*DW107*DZ107*VLOOKUP('Données projet'!$B$14,Paramètres!$A$1:$I$89,3,0)*0.475*44/12</f>
        <v>6.6018188969805804E-11</v>
      </c>
      <c r="ED107" s="22">
        <f t="shared" si="72"/>
        <v>1.1142132901576731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5.0961538461538449</v>
      </c>
      <c r="EJ107" s="12">
        <f>IF('Données projet'!$A$192&gt;35,EJ106+EI107-ER106,IF(A107&lt;'Données projet'!$A$192,$EG$205^A107,IF(A107='Données projet'!$A$192,'Données projet'!$B$192,EJ106+EI107-ER106)))</f>
        <v>200.3525641025638</v>
      </c>
      <c r="EK107" s="17">
        <f>EJ107*VLOOKUP('Données projet'!$B$15,Paramètres!$A$1:$I$89,3,0)*VLOOKUP('Données projet'!$B$15,Paramètres!$A$1:$I$89,5,0)</f>
        <v>203.15749999999971</v>
      </c>
      <c r="EL107" s="13">
        <f t="shared" si="99"/>
        <v>50.437456773365234</v>
      </c>
      <c r="EM107" s="20">
        <f t="shared" si="73"/>
        <v>441.67788304694392</v>
      </c>
      <c r="EN107" s="59">
        <f t="shared" si="74"/>
        <v>735.01121638027723</v>
      </c>
      <c r="EO107" s="59">
        <f ca="1">AVERAGE(OFFSET($EN$3,0,0,'Données projet'!$E$15+1,1))-AVERAGE(OFFSET($H$3,0,0,'Données projet'!$E$15+1,1))</f>
        <v>190.21499310415584</v>
      </c>
      <c r="EP107" s="59">
        <f t="shared" si="100"/>
        <v>136.15730566500173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1.1291666666666658</v>
      </c>
      <c r="FE107" s="12">
        <f>IF('Données projet'!$A$218&gt;35,FE106+FD107-FM106,IF(A107&lt;'Données projet'!$A$218,$FB$205^A107,IF(A107='Données projet'!$A$218,'Données projet'!$B$218,FE106+FD107-FM106)))</f>
        <v>82.141666666666666</v>
      </c>
      <c r="FF107" s="17">
        <f>FE107*VLOOKUP('Données projet'!$B$16,Paramètres!$A$1:$I$89,3,0)*VLOOKUP('Données projet'!$B$16,Paramètres!$A$1:$I$89,5,0)</f>
        <v>94.627199999999988</v>
      </c>
      <c r="FG107" s="13">
        <f t="shared" si="101"/>
        <v>25.677917150310993</v>
      </c>
      <c r="FH107" s="20">
        <f t="shared" si="76"/>
        <v>209.53141237012494</v>
      </c>
      <c r="FI107" s="59">
        <f t="shared" si="77"/>
        <v>502.86474570345825</v>
      </c>
      <c r="FJ107" s="59">
        <f ca="1">AVERAGE(OFFSET($FI$3,0,0,'Données projet'!$E$16+1,1))-AVERAGE(OFFSET($H$3,0,0,'Données projet'!$E$16+1,1))</f>
        <v>14.847345852478327</v>
      </c>
      <c r="FK107" s="59">
        <f t="shared" si="102"/>
        <v>46.764428272166299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0.22808365589943955</v>
      </c>
      <c r="FS107" s="21">
        <f>EXP(-LN(2)/2)*FS106+(1-EXP(-LN(2)/2))/(LN(2)/2)*FM107*FP107*VLOOKUP('Données projet'!$B$16,Paramètres!$A$1:$I$89,3,0)*0.475*44/12</f>
        <v>1.4355431588911602E-11</v>
      </c>
      <c r="FT107" s="22">
        <f t="shared" si="78"/>
        <v>0.22808365591379498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6.9935897435897401</v>
      </c>
      <c r="N108" s="13">
        <f>IF('Données projet'!$A$36&gt;35,N107+M108-V107,IF(A108&lt;'Données projet'!$A$36,$K$205^A108,IF(A108='Données projet'!$A$36,'Données projet'!$B$36,N107+M108-V107)))</f>
        <v>312.19230769230791</v>
      </c>
      <c r="O108" s="13">
        <f>N108*VLOOKUP('Données projet'!$B$9,Paramètres!$A$1:$I$89,3,0)*VLOOKUP('Données projet'!$B$9,Paramètres!$A$1:$I$89,5,0)</f>
        <v>282.47160000000019</v>
      </c>
      <c r="P108" s="13">
        <f t="shared" si="87"/>
        <v>67.489061551962138</v>
      </c>
      <c r="Q108" s="20">
        <f t="shared" si="107"/>
        <v>609.51481886966769</v>
      </c>
      <c r="R108" s="59">
        <f t="shared" si="55"/>
        <v>902.84815220300106</v>
      </c>
      <c r="S108" s="59">
        <f ca="1">AVERAGE(OFFSET($R$3,0,0,'Données projet'!$E$9+1,1))-AVERAGE(OFFSET($H$3,0,0,'Données projet'!$E$9+1,1))</f>
        <v>221.7429870520005</v>
      </c>
      <c r="T108" s="59">
        <f t="shared" si="88"/>
        <v>182.2029938397186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-5.1159076974727213E-13</v>
      </c>
      <c r="AJ108" s="13">
        <f>AI108*VLOOKUP('Données projet'!$B$10,Paramètres!$A$1:$I$89,3,0)*VLOOKUP('Données projet'!$B$10,Paramètres!$A$1:$I$89,5,0)</f>
        <v>-4.0702161641092972E-13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260.20517190557814</v>
      </c>
      <c r="AO108" s="59">
        <f t="shared" si="90"/>
        <v>307.22009971147133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0.73884190266440131</v>
      </c>
      <c r="AV108" s="21">
        <f>EXP(-LN(2)/25)*AV107+(1-EXP(-LN(2)/25))/(LN(2)/25)*Calculateur!AQ108*Calculateur!AS108*VLOOKUP('Données projet'!$B$10,Paramètres!$A$1:$I$89,3,0)*0.475*44/12</f>
        <v>2.564950340599625</v>
      </c>
      <c r="AW108" s="21">
        <f>EXP(-LN(2)/2)*AW107+(1-EXP(-LN(2)/2))/(LN(2)/2)*AQ108*AT108*VLOOKUP('Données projet'!$B$10,Paramètres!$A$1:$I$89,3,0)*0.475*44/12</f>
        <v>1.2367792175282642E-10</v>
      </c>
      <c r="AX108" s="21">
        <f t="shared" si="60"/>
        <v>3.3037922433877043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553.99999999999955</v>
      </c>
      <c r="BE108" s="13">
        <f>BD108*VLOOKUP('Données projet'!$B$11,Paramètres!$A$1:$I$89,3,0)*VLOOKUP('Données projet'!$B$11,Paramètres!$A$1:$I$89,5,0)</f>
        <v>331.29199999999975</v>
      </c>
      <c r="BF108" s="13">
        <f t="shared" si="91"/>
        <v>77.698110787752</v>
      </c>
      <c r="BG108" s="20">
        <f t="shared" si="61"/>
        <v>712.32444295533423</v>
      </c>
      <c r="BH108" s="59">
        <f t="shared" si="62"/>
        <v>1005.6577762886675</v>
      </c>
      <c r="BI108" s="59">
        <f ca="1">AVERAGE(OFFSET($BH$3,0,0,'Données projet'!$E$11+1,1))-AVERAGE(OFFSET($H$3,0,0,'Données projet'!$E$11+1,1))</f>
        <v>316.58509520829671</v>
      </c>
      <c r="BJ108" s="59">
        <f t="shared" si="92"/>
        <v>240.71332110643596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0.5738998701685275</v>
      </c>
      <c r="BQ108" s="21">
        <f>EXP(-LN(2)/25)*BQ107+(1-EXP(-LN(2)/25))/(LN(2)/25)*Calculateur!BL108*Calculateur!BN108*VLOOKUP('Données projet'!$B$11,Paramètres!$A$1:$I$89,3,0)*0.475*44/12</f>
        <v>1.9084908400744429</v>
      </c>
      <c r="BR108" s="21">
        <f>EXP(-LN(2)/2)*BR107+(1-EXP(-LN(2)/2))/(LN(2)/2)*BL108*BO108*VLOOKUP('Données projet'!$B$11,Paramètres!$A$1:$I$89,3,0)*0.475*44/12</f>
        <v>1.1287526474679711E-10</v>
      </c>
      <c r="BS108" s="22">
        <f t="shared" si="63"/>
        <v>2.4823907103558458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497</v>
      </c>
      <c r="BZ108" s="13">
        <f>BY108*VLOOKUP('Données projet'!$B$12,Paramètres!$A$1:$I$89,3,0)*VLOOKUP('Données projet'!$B$12,Paramètres!$A$1:$I$89,5,0)</f>
        <v>297.20600000000002</v>
      </c>
      <c r="CA108" s="13">
        <f t="shared" si="93"/>
        <v>70.590415164571112</v>
      </c>
      <c r="CB108" s="20">
        <f t="shared" si="64"/>
        <v>640.57875641162809</v>
      </c>
      <c r="CC108" s="59">
        <f t="shared" si="65"/>
        <v>933.91208974496135</v>
      </c>
      <c r="CD108" s="59">
        <f ca="1">AVERAGE(OFFSET($CC$3,0,0,'Données projet'!$E$12+1,1))-AVERAGE(OFFSET($H$3,0,0,'Données projet'!$E$12+1,1))</f>
        <v>270.30888762640245</v>
      </c>
      <c r="CE108" s="59">
        <f t="shared" si="94"/>
        <v>202.23783851977691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0.48498580577622014</v>
      </c>
      <c r="CL108" s="21">
        <f>EXP(-LN(2)/25)*CL107+(1-EXP(-LN(2)/25))/(LN(2)/25)*Calculateur!CG108*Calculateur!CI108*VLOOKUP('Données projet'!$B$12,Paramètres!$A$1:$I$89,3,0)*0.475*44/12</f>
        <v>1.5369010215300936</v>
      </c>
      <c r="CM108" s="21">
        <f>EXP(-LN(2)/2)*CM107+(1-EXP(-LN(2)/2))/(LN(2)/2)*CG108*CJ108*VLOOKUP('Données projet'!$B$12,Paramètres!$A$1:$I$89,3,0)*0.475*44/12</f>
        <v>9.5142232991320404E-11</v>
      </c>
      <c r="CN108" s="22">
        <f t="shared" si="66"/>
        <v>2.0218868274014556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-5.1159076974727213E-13</v>
      </c>
      <c r="CU108" s="17">
        <f>CT108*VLOOKUP('Données projet'!$B$13,Paramètres!$A$1:$I$89,3,0)*VLOOKUP('Données projet'!$B$13,Paramètres!$A$1:$I$89,5,0)</f>
        <v>-3.4317508834647017E-13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207.93042467236967</v>
      </c>
      <c r="CZ108" s="59">
        <f t="shared" si="96"/>
        <v>250.70954318710835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0.6229451336190045</v>
      </c>
      <c r="DG108" s="21">
        <f>EXP(-LN(2)/25)*DG107+(1-EXP(-LN(2)/25))/(LN(2)/25)*Calculateur!DB108*Calculateur!DD108*VLOOKUP('Données projet'!$B$13,Paramètres!$A$1:$I$89,3,0)*0.475*44/12</f>
        <v>2.16260518913302</v>
      </c>
      <c r="DH108" s="21">
        <f>EXP(-LN(2)/2)*DH107+(1-EXP(-LN(2)/2))/(LN(2)/2)*DB108*DE108*VLOOKUP('Données projet'!$B$13,Paramètres!$A$1:$I$89,3,0)*0.475*44/12</f>
        <v>1.0427746343865757E-10</v>
      </c>
      <c r="DI108" s="22">
        <f t="shared" si="69"/>
        <v>2.7855503228563019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5.6843418860808015E-14</v>
      </c>
      <c r="DP108" s="17">
        <f>DO108*VLOOKUP('Données projet'!$B$14,Paramètres!$A$1:$I$89,3,0)*VLOOKUP('Données projet'!$B$14,Paramètres!$A$1:$I$89,5,0)</f>
        <v>3.813056537183002E-14</v>
      </c>
      <c r="DQ108" s="13">
        <f t="shared" si="97"/>
        <v>6.4086286045526829E-13</v>
      </c>
      <c r="DR108" s="20">
        <f t="shared" si="70"/>
        <v>1.1825802166488628E-12</v>
      </c>
      <c r="DS108" s="59">
        <f t="shared" si="71"/>
        <v>293.33333333333451</v>
      </c>
      <c r="DT108" s="59">
        <f ca="1">AVERAGE(OFFSET($DS$3,0,0,'Données projet'!$E$14+1,1))-AVERAGE(OFFSET($H$3,0,0,'Données projet'!$E$14+1,1))</f>
        <v>156.63226020379989</v>
      </c>
      <c r="DU108" s="59">
        <f t="shared" si="98"/>
        <v>196.0481096619543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1.0837450690801684</v>
      </c>
      <c r="EC108" s="21">
        <f>EXP(-LN(2)/2)*EC107+(1-EXP(-LN(2)/2))/(LN(2)/2)*DW108*DZ108*VLOOKUP('Données projet'!$B$14,Paramètres!$A$1:$I$89,3,0)*0.475*44/12</f>
        <v>4.6681909102204618E-11</v>
      </c>
      <c r="ED108" s="22">
        <f t="shared" si="72"/>
        <v>1.0837450691268504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5.0961538461538449</v>
      </c>
      <c r="EJ108" s="12">
        <f>IF('Données projet'!$A$192&gt;35,EJ107+EI108-ER107,IF(A108&lt;'Données projet'!$A$192,$EG$205^A108,IF(A108='Données projet'!$A$192,'Données projet'!$B$192,EJ107+EI108-ER107)))</f>
        <v>205.44871794871764</v>
      </c>
      <c r="EK108" s="17">
        <f>EJ108*VLOOKUP('Données projet'!$B$15,Paramètres!$A$1:$I$89,3,0)*VLOOKUP('Données projet'!$B$15,Paramètres!$A$1:$I$89,5,0)</f>
        <v>208.32499999999973</v>
      </c>
      <c r="EL108" s="13">
        <f t="shared" si="99"/>
        <v>51.569385633240543</v>
      </c>
      <c r="EM108" s="20">
        <f t="shared" si="73"/>
        <v>452.64938831122686</v>
      </c>
      <c r="EN108" s="59">
        <f t="shared" si="74"/>
        <v>745.98272164456012</v>
      </c>
      <c r="EO108" s="59">
        <f ca="1">AVERAGE(OFFSET($EN$3,0,0,'Données projet'!$E$15+1,1))-AVERAGE(OFFSET($H$3,0,0,'Données projet'!$E$15+1,1))</f>
        <v>190.21499310415584</v>
      </c>
      <c r="EP108" s="59">
        <f t="shared" si="100"/>
        <v>136.15730566500173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1.1291666666666658</v>
      </c>
      <c r="FE108" s="12">
        <f>IF('Données projet'!$A$218&gt;35,FE107+FD108-FM107,IF(A108&lt;'Données projet'!$A$218,$FB$205^A108,IF(A108='Données projet'!$A$218,'Données projet'!$B$218,FE107+FD108-FM107)))</f>
        <v>83.270833333333329</v>
      </c>
      <c r="FF108" s="17">
        <f>FE108*VLOOKUP('Données projet'!$B$16,Paramètres!$A$1:$I$89,3,0)*VLOOKUP('Données projet'!$B$16,Paramètres!$A$1:$I$89,5,0)</f>
        <v>95.927999999999997</v>
      </c>
      <c r="FG108" s="13">
        <f t="shared" si="101"/>
        <v>25.989565052952237</v>
      </c>
      <c r="FH108" s="20">
        <f t="shared" si="76"/>
        <v>212.33975913389179</v>
      </c>
      <c r="FI108" s="59">
        <f t="shared" si="77"/>
        <v>505.6730924672251</v>
      </c>
      <c r="FJ108" s="59">
        <f ca="1">AVERAGE(OFFSET($FI$3,0,0,'Données projet'!$E$16+1,1))-AVERAGE(OFFSET($H$3,0,0,'Données projet'!$E$16+1,1))</f>
        <v>14.847345852478327</v>
      </c>
      <c r="FK108" s="59">
        <f t="shared" si="102"/>
        <v>46.764428272166299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0.22184669633447121</v>
      </c>
      <c r="FS108" s="21">
        <f>EXP(-LN(2)/2)*FS107+(1-EXP(-LN(2)/2))/(LN(2)/2)*FM108*FP108*VLOOKUP('Données projet'!$B$16,Paramètres!$A$1:$I$89,3,0)*0.475*44/12</f>
        <v>1.0150823023378969E-11</v>
      </c>
      <c r="FT108" s="22">
        <f t="shared" si="78"/>
        <v>0.22184669634462204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6.9935897435897401</v>
      </c>
      <c r="N109" s="13">
        <f>IF('Données projet'!$A$36&gt;35,N108+M109-V108,IF(A109&lt;'Données projet'!$A$36,$K$205^A109,IF(A109='Données projet'!$A$36,'Données projet'!$B$36,N108+M109-V108)))</f>
        <v>319.18589743589763</v>
      </c>
      <c r="O109" s="13">
        <f>N109*VLOOKUP('Données projet'!$B$9,Paramètres!$A$1:$I$89,3,0)*VLOOKUP('Données projet'!$B$9,Paramètres!$A$1:$I$89,5,0)</f>
        <v>288.79940000000016</v>
      </c>
      <c r="P109" s="13">
        <f t="shared" si="87"/>
        <v>68.823213001142449</v>
      </c>
      <c r="Q109" s="20">
        <f t="shared" si="107"/>
        <v>622.85938431032332</v>
      </c>
      <c r="R109" s="59">
        <f t="shared" si="55"/>
        <v>916.19271764365658</v>
      </c>
      <c r="S109" s="59">
        <f ca="1">AVERAGE(OFFSET($R$3,0,0,'Données projet'!$E$9+1,1))-AVERAGE(OFFSET($H$3,0,0,'Données projet'!$E$9+1,1))</f>
        <v>221.7429870520005</v>
      </c>
      <c r="T109" s="59">
        <f t="shared" si="88"/>
        <v>182.2029938397186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-5.1159076974727213E-13</v>
      </c>
      <c r="AJ109" s="13">
        <f>AI109*VLOOKUP('Données projet'!$B$10,Paramètres!$A$1:$I$89,3,0)*VLOOKUP('Données projet'!$B$10,Paramètres!$A$1:$I$89,5,0)</f>
        <v>-4.0702161641092972E-13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260.20517190557814</v>
      </c>
      <c r="AO109" s="59">
        <f t="shared" si="90"/>
        <v>307.22009971147133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0.72435366360221509</v>
      </c>
      <c r="AV109" s="21">
        <f>EXP(-LN(2)/25)*AV108+(1-EXP(-LN(2)/25))/(LN(2)/25)*Calculateur!AQ109*Calculateur!AS109*VLOOKUP('Données projet'!$B$10,Paramètres!$A$1:$I$89,3,0)*0.475*44/12</f>
        <v>2.4948116386510519</v>
      </c>
      <c r="AW109" s="21">
        <f>EXP(-LN(2)/2)*AW108+(1-EXP(-LN(2)/2))/(LN(2)/2)*AQ109*AT109*VLOOKUP('Données projet'!$B$10,Paramètres!$A$1:$I$89,3,0)*0.475*44/12</f>
        <v>8.7453497154482779E-11</v>
      </c>
      <c r="AX109" s="21">
        <f t="shared" si="60"/>
        <v>3.2191653023407207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553.99999999999955</v>
      </c>
      <c r="BE109" s="13">
        <f>BD109*VLOOKUP('Données projet'!$B$11,Paramètres!$A$1:$I$89,3,0)*VLOOKUP('Données projet'!$B$11,Paramètres!$A$1:$I$89,5,0)</f>
        <v>331.29199999999975</v>
      </c>
      <c r="BF109" s="13">
        <f t="shared" si="91"/>
        <v>77.698110787752</v>
      </c>
      <c r="BG109" s="20">
        <f t="shared" si="61"/>
        <v>712.32444295533423</v>
      </c>
      <c r="BH109" s="59">
        <f t="shared" si="62"/>
        <v>1005.6577762886675</v>
      </c>
      <c r="BI109" s="59">
        <f ca="1">AVERAGE(OFFSET($BH$3,0,0,'Données projet'!$E$11+1,1))-AVERAGE(OFFSET($H$3,0,0,'Données projet'!$E$11+1,1))</f>
        <v>316.58509520829671</v>
      </c>
      <c r="BJ109" s="59">
        <f t="shared" si="92"/>
        <v>240.71332110643596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0.5626460437588795</v>
      </c>
      <c r="BQ109" s="21">
        <f>EXP(-LN(2)/25)*BQ108+(1-EXP(-LN(2)/25))/(LN(2)/25)*Calculateur!BL109*Calculateur!BN109*VLOOKUP('Données projet'!$B$11,Paramètres!$A$1:$I$89,3,0)*0.475*44/12</f>
        <v>1.8563030576894359</v>
      </c>
      <c r="BR109" s="21">
        <f>EXP(-LN(2)/2)*BR108+(1-EXP(-LN(2)/2))/(LN(2)/2)*BL109*BO109*VLOOKUP('Données projet'!$B$11,Paramètres!$A$1:$I$89,3,0)*0.475*44/12</f>
        <v>7.9814865130687096E-11</v>
      </c>
      <c r="BS109" s="22">
        <f t="shared" si="63"/>
        <v>2.4189491015281304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497</v>
      </c>
      <c r="BZ109" s="13">
        <f>BY109*VLOOKUP('Données projet'!$B$12,Paramètres!$A$1:$I$89,3,0)*VLOOKUP('Données projet'!$B$12,Paramètres!$A$1:$I$89,5,0)</f>
        <v>297.20600000000002</v>
      </c>
      <c r="CA109" s="13">
        <f t="shared" si="93"/>
        <v>70.590415164571112</v>
      </c>
      <c r="CB109" s="20">
        <f t="shared" si="64"/>
        <v>640.57875641162809</v>
      </c>
      <c r="CC109" s="59">
        <f t="shared" si="65"/>
        <v>933.91208974496135</v>
      </c>
      <c r="CD109" s="59">
        <f ca="1">AVERAGE(OFFSET($CC$3,0,0,'Données projet'!$E$12+1,1))-AVERAGE(OFFSET($H$3,0,0,'Données projet'!$E$12+1,1))</f>
        <v>270.30888762640245</v>
      </c>
      <c r="CE109" s="59">
        <f t="shared" si="94"/>
        <v>202.23783851977691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0.47547552993708098</v>
      </c>
      <c r="CL109" s="21">
        <f>EXP(-LN(2)/25)*CL108+(1-EXP(-LN(2)/25))/(LN(2)/25)*Calculateur!CG109*Calculateur!CI109*VLOOKUP('Données projet'!$B$12,Paramètres!$A$1:$I$89,3,0)*0.475*44/12</f>
        <v>1.494874382274241</v>
      </c>
      <c r="CM109" s="21">
        <f>EXP(-LN(2)/2)*CM108+(1-EXP(-LN(2)/2))/(LN(2)/2)*CG109*CJ109*VLOOKUP('Données projet'!$B$12,Paramètres!$A$1:$I$89,3,0)*0.475*44/12</f>
        <v>6.7275718125393119E-11</v>
      </c>
      <c r="CN109" s="22">
        <f t="shared" si="66"/>
        <v>1.9703499122785977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-5.1159076974727213E-13</v>
      </c>
      <c r="CU109" s="17">
        <f>CT109*VLOOKUP('Données projet'!$B$13,Paramètres!$A$1:$I$89,3,0)*VLOOKUP('Données projet'!$B$13,Paramètres!$A$1:$I$89,5,0)</f>
        <v>-3.4317508834647017E-13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207.93042467236967</v>
      </c>
      <c r="CZ109" s="59">
        <f t="shared" si="96"/>
        <v>250.70954318710835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0.61072955950774954</v>
      </c>
      <c r="DG109" s="21">
        <f>EXP(-LN(2)/25)*DG108+(1-EXP(-LN(2)/25))/(LN(2)/25)*Calculateur!DB109*Calculateur!DD109*VLOOKUP('Données projet'!$B$13,Paramètres!$A$1:$I$89,3,0)*0.475*44/12</f>
        <v>2.1034686365097133</v>
      </c>
      <c r="DH109" s="21">
        <f>EXP(-LN(2)/2)*DH108+(1-EXP(-LN(2)/2))/(LN(2)/2)*DB109*DE109*VLOOKUP('Données projet'!$B$13,Paramètres!$A$1:$I$89,3,0)*0.475*44/12</f>
        <v>7.3735301522407044E-11</v>
      </c>
      <c r="DI109" s="22">
        <f t="shared" si="69"/>
        <v>2.7141981960911981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5.6843418860808015E-14</v>
      </c>
      <c r="DP109" s="17">
        <f>DO109*VLOOKUP('Données projet'!$B$14,Paramètres!$A$1:$I$89,3,0)*VLOOKUP('Données projet'!$B$14,Paramètres!$A$1:$I$89,5,0)</f>
        <v>3.813056537183002E-14</v>
      </c>
      <c r="DQ109" s="13">
        <f t="shared" si="97"/>
        <v>6.4086286045526829E-13</v>
      </c>
      <c r="DR109" s="20">
        <f t="shared" si="70"/>
        <v>1.1825802166488628E-12</v>
      </c>
      <c r="DS109" s="59">
        <f t="shared" si="71"/>
        <v>293.33333333333451</v>
      </c>
      <c r="DT109" s="59">
        <f ca="1">AVERAGE(OFFSET($DS$3,0,0,'Données projet'!$E$14+1,1))-AVERAGE(OFFSET($H$3,0,0,'Données projet'!$E$14+1,1))</f>
        <v>156.63226020379989</v>
      </c>
      <c r="DU109" s="59">
        <f t="shared" si="98"/>
        <v>196.0481096619543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1.054110003174495</v>
      </c>
      <c r="EC109" s="21">
        <f>EXP(-LN(2)/2)*EC108+(1-EXP(-LN(2)/2))/(LN(2)/2)*DW109*DZ109*VLOOKUP('Données projet'!$B$14,Paramètres!$A$1:$I$89,3,0)*0.475*44/12</f>
        <v>3.3009094484902902E-11</v>
      </c>
      <c r="ED109" s="22">
        <f t="shared" si="72"/>
        <v>1.0541100032075041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5.0961538461538449</v>
      </c>
      <c r="EJ109" s="12">
        <f>IF('Données projet'!$A$192&gt;35,EJ108+EI109-ER108,IF(A109&lt;'Données projet'!$A$192,$EG$205^A109,IF(A109='Données projet'!$A$192,'Données projet'!$B$192,EJ108+EI109-ER108)))</f>
        <v>210.54487179487148</v>
      </c>
      <c r="EK109" s="17">
        <f>EJ109*VLOOKUP('Données projet'!$B$15,Paramètres!$A$1:$I$89,3,0)*VLOOKUP('Données projet'!$B$15,Paramètres!$A$1:$I$89,5,0)</f>
        <v>213.49249999999969</v>
      </c>
      <c r="EL109" s="13">
        <f t="shared" si="99"/>
        <v>52.698050633588259</v>
      </c>
      <c r="EM109" s="20">
        <f t="shared" si="73"/>
        <v>463.61520902016565</v>
      </c>
      <c r="EN109" s="59">
        <f t="shared" si="74"/>
        <v>756.94854235349896</v>
      </c>
      <c r="EO109" s="59">
        <f ca="1">AVERAGE(OFFSET($EN$3,0,0,'Données projet'!$E$15+1,1))-AVERAGE(OFFSET($H$3,0,0,'Données projet'!$E$15+1,1))</f>
        <v>190.21499310415584</v>
      </c>
      <c r="EP109" s="59">
        <f t="shared" si="100"/>
        <v>136.15730566500173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1.1291666666666658</v>
      </c>
      <c r="FE109" s="12">
        <f>IF('Données projet'!$A$218&gt;35,FE108+FD109-FM108,IF(A109&lt;'Données projet'!$A$218,$FB$205^A109,IF(A109='Données projet'!$A$218,'Données projet'!$B$218,FE108+FD109-FM108)))</f>
        <v>84.399999999999991</v>
      </c>
      <c r="FF109" s="17">
        <f>FE109*VLOOKUP('Données projet'!$B$16,Paramètres!$A$1:$I$89,3,0)*VLOOKUP('Données projet'!$B$16,Paramètres!$A$1:$I$89,5,0)</f>
        <v>97.228799999999978</v>
      </c>
      <c r="FG109" s="13">
        <f t="shared" si="101"/>
        <v>26.300721421439356</v>
      </c>
      <c r="FH109" s="20">
        <f t="shared" si="76"/>
        <v>215.14724980900687</v>
      </c>
      <c r="FI109" s="59">
        <f t="shared" si="77"/>
        <v>508.48058314234015</v>
      </c>
      <c r="FJ109" s="59">
        <f ca="1">AVERAGE(OFFSET($FI$3,0,0,'Données projet'!$E$16+1,1))-AVERAGE(OFFSET($H$3,0,0,'Données projet'!$E$16+1,1))</f>
        <v>14.847345852478327</v>
      </c>
      <c r="FK109" s="59">
        <f t="shared" si="102"/>
        <v>46.764428272166299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0.21578028675679436</v>
      </c>
      <c r="FS109" s="21">
        <f>EXP(-LN(2)/2)*FS108+(1-EXP(-LN(2)/2))/(LN(2)/2)*FM109*FP109*VLOOKUP('Données projet'!$B$16,Paramètres!$A$1:$I$89,3,0)*0.475*44/12</f>
        <v>7.177715794455802E-12</v>
      </c>
      <c r="FT109" s="22">
        <f t="shared" si="78"/>
        <v>0.21578028676397207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6.9935897435897401</v>
      </c>
      <c r="N110" s="13">
        <f>IF('Données projet'!$A$36&gt;35,N109+M110-V109,IF(A110&lt;'Données projet'!$A$36,$K$205^A110,IF(A110='Données projet'!$A$36,'Données projet'!$B$36,N109+M110-V109)))</f>
        <v>326.17948717948735</v>
      </c>
      <c r="O110" s="13">
        <f>N110*VLOOKUP('Données projet'!$B$9,Paramètres!$A$1:$I$89,3,0)*VLOOKUP('Données projet'!$B$9,Paramètres!$A$1:$I$89,5,0)</f>
        <v>295.12720000000013</v>
      </c>
      <c r="P110" s="13">
        <f t="shared" si="87"/>
        <v>70.153965869482519</v>
      </c>
      <c r="Q110" s="20">
        <f t="shared" si="107"/>
        <v>636.19803055601562</v>
      </c>
      <c r="R110" s="59">
        <f t="shared" si="55"/>
        <v>929.531363889349</v>
      </c>
      <c r="S110" s="59">
        <f ca="1">AVERAGE(OFFSET($R$3,0,0,'Données projet'!$E$9+1,1))-AVERAGE(OFFSET($H$3,0,0,'Données projet'!$E$9+1,1))</f>
        <v>221.7429870520005</v>
      </c>
      <c r="T110" s="59">
        <f t="shared" si="88"/>
        <v>182.2029938397186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-5.1159076974727213E-13</v>
      </c>
      <c r="AJ110" s="13">
        <f>AI110*VLOOKUP('Données projet'!$B$10,Paramètres!$A$1:$I$89,3,0)*VLOOKUP('Données projet'!$B$10,Paramètres!$A$1:$I$89,5,0)</f>
        <v>-4.0702161641092972E-13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260.20517190557814</v>
      </c>
      <c r="AO110" s="59">
        <f t="shared" si="90"/>
        <v>307.22009971147133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0.71014953007108517</v>
      </c>
      <c r="AV110" s="21">
        <f>EXP(-LN(2)/25)*AV109+(1-EXP(-LN(2)/25))/(LN(2)/25)*Calculateur!AQ110*Calculateur!AS110*VLOOKUP('Données projet'!$B$10,Paramètres!$A$1:$I$89,3,0)*0.475*44/12</f>
        <v>2.4265908831956966</v>
      </c>
      <c r="AW110" s="21">
        <f>EXP(-LN(2)/2)*AW109+(1-EXP(-LN(2)/2))/(LN(2)/2)*AQ110*AT110*VLOOKUP('Données projet'!$B$10,Paramètres!$A$1:$I$89,3,0)*0.475*44/12</f>
        <v>6.1838960876413211E-11</v>
      </c>
      <c r="AX110" s="21">
        <f t="shared" si="60"/>
        <v>3.1367404133286207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553.99999999999955</v>
      </c>
      <c r="BE110" s="13">
        <f>BD110*VLOOKUP('Données projet'!$B$11,Paramètres!$A$1:$I$89,3,0)*VLOOKUP('Données projet'!$B$11,Paramètres!$A$1:$I$89,5,0)</f>
        <v>331.29199999999975</v>
      </c>
      <c r="BF110" s="13">
        <f t="shared" si="91"/>
        <v>77.698110787752</v>
      </c>
      <c r="BG110" s="20">
        <f t="shared" si="61"/>
        <v>712.32444295533423</v>
      </c>
      <c r="BH110" s="59">
        <f t="shared" si="62"/>
        <v>1005.6577762886675</v>
      </c>
      <c r="BI110" s="59">
        <f ca="1">AVERAGE(OFFSET($BH$3,0,0,'Données projet'!$E$11+1,1))-AVERAGE(OFFSET($H$3,0,0,'Données projet'!$E$11+1,1))</f>
        <v>316.58509520829671</v>
      </c>
      <c r="BJ110" s="59">
        <f t="shared" si="92"/>
        <v>240.71332110643596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0.55161289802096836</v>
      </c>
      <c r="BQ110" s="21">
        <f>EXP(-LN(2)/25)*BQ109+(1-EXP(-LN(2)/25))/(LN(2)/25)*Calculateur!BL110*Calculateur!BN110*VLOOKUP('Données projet'!$B$11,Paramètres!$A$1:$I$89,3,0)*0.475*44/12</f>
        <v>1.8055423529581831</v>
      </c>
      <c r="BR110" s="21">
        <f>EXP(-LN(2)/2)*BR109+(1-EXP(-LN(2)/2))/(LN(2)/2)*BL110*BO110*VLOOKUP('Données projet'!$B$11,Paramètres!$A$1:$I$89,3,0)*0.475*44/12</f>
        <v>5.6437632373398567E-11</v>
      </c>
      <c r="BS110" s="22">
        <f t="shared" si="63"/>
        <v>2.3571552510355889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497</v>
      </c>
      <c r="BZ110" s="13">
        <f>BY110*VLOOKUP('Données projet'!$B$12,Paramètres!$A$1:$I$89,3,0)*VLOOKUP('Données projet'!$B$12,Paramètres!$A$1:$I$89,5,0)</f>
        <v>297.20600000000002</v>
      </c>
      <c r="CA110" s="13">
        <f t="shared" si="93"/>
        <v>70.590415164571112</v>
      </c>
      <c r="CB110" s="20">
        <f t="shared" si="64"/>
        <v>640.57875641162809</v>
      </c>
      <c r="CC110" s="59">
        <f t="shared" si="65"/>
        <v>933.91208974496135</v>
      </c>
      <c r="CD110" s="59">
        <f ca="1">AVERAGE(OFFSET($CC$3,0,0,'Données projet'!$E$12+1,1))-AVERAGE(OFFSET($H$3,0,0,'Données projet'!$E$12+1,1))</f>
        <v>270.30888762640245</v>
      </c>
      <c r="CE110" s="59">
        <f t="shared" si="94"/>
        <v>202.23783851977691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0.46615174480645183</v>
      </c>
      <c r="CL110" s="21">
        <f>EXP(-LN(2)/25)*CL109+(1-EXP(-LN(2)/25))/(LN(2)/25)*Calculateur!CG110*Calculateur!CI110*VLOOKUP('Données projet'!$B$12,Paramètres!$A$1:$I$89,3,0)*0.475*44/12</f>
        <v>1.4539969636789247</v>
      </c>
      <c r="CM110" s="21">
        <f>EXP(-LN(2)/2)*CM109+(1-EXP(-LN(2)/2))/(LN(2)/2)*CG110*CJ110*VLOOKUP('Données projet'!$B$12,Paramètres!$A$1:$I$89,3,0)*0.475*44/12</f>
        <v>4.7571116495660202E-11</v>
      </c>
      <c r="CN110" s="22">
        <f t="shared" si="66"/>
        <v>1.9201487085329476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-5.1159076974727213E-13</v>
      </c>
      <c r="CU110" s="17">
        <f>CT110*VLOOKUP('Données projet'!$B$13,Paramètres!$A$1:$I$89,3,0)*VLOOKUP('Données projet'!$B$13,Paramètres!$A$1:$I$89,5,0)</f>
        <v>-3.4317508834647017E-13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207.93042467236967</v>
      </c>
      <c r="CZ110" s="59">
        <f t="shared" si="96"/>
        <v>250.70954318710835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0.59875352535405169</v>
      </c>
      <c r="DG110" s="21">
        <f>EXP(-LN(2)/25)*DG109+(1-EXP(-LN(2)/25))/(LN(2)/25)*Calculateur!DB110*Calculateur!DD110*VLOOKUP('Données projet'!$B$13,Paramètres!$A$1:$I$89,3,0)*0.475*44/12</f>
        <v>2.0459491760277473</v>
      </c>
      <c r="DH110" s="21">
        <f>EXP(-LN(2)/2)*DH109+(1-EXP(-LN(2)/2))/(LN(2)/2)*DB110*DE110*VLOOKUP('Données projet'!$B$13,Paramètres!$A$1:$I$89,3,0)*0.475*44/12</f>
        <v>5.2138731719328783E-11</v>
      </c>
      <c r="DI110" s="22">
        <f t="shared" si="69"/>
        <v>2.6447027014339377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5.6843418860808015E-14</v>
      </c>
      <c r="DP110" s="17">
        <f>DO110*VLOOKUP('Données projet'!$B$14,Paramètres!$A$1:$I$89,3,0)*VLOOKUP('Données projet'!$B$14,Paramètres!$A$1:$I$89,5,0)</f>
        <v>3.813056537183002E-14</v>
      </c>
      <c r="DQ110" s="13">
        <f t="shared" si="97"/>
        <v>6.4086286045526829E-13</v>
      </c>
      <c r="DR110" s="20">
        <f t="shared" si="70"/>
        <v>1.1825802166488628E-12</v>
      </c>
      <c r="DS110" s="59">
        <f t="shared" si="71"/>
        <v>293.33333333333451</v>
      </c>
      <c r="DT110" s="59">
        <f ca="1">AVERAGE(OFFSET($DS$3,0,0,'Données projet'!$E$14+1,1))-AVERAGE(OFFSET($H$3,0,0,'Données projet'!$E$14+1,1))</f>
        <v>156.63226020379989</v>
      </c>
      <c r="DU110" s="59">
        <f t="shared" si="98"/>
        <v>196.0481096619543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1.0252853097044525</v>
      </c>
      <c r="EC110" s="21">
        <f>EXP(-LN(2)/2)*EC109+(1-EXP(-LN(2)/2))/(LN(2)/2)*DW110*DZ110*VLOOKUP('Données projet'!$B$14,Paramètres!$A$1:$I$89,3,0)*0.475*44/12</f>
        <v>2.3340954551102309E-11</v>
      </c>
      <c r="ED110" s="22">
        <f t="shared" si="72"/>
        <v>1.0252853097277934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5.0961538461538449</v>
      </c>
      <c r="EJ110" s="12">
        <f>IF('Données projet'!$A$192&gt;35,EJ109+EI110-ER109,IF(A110&lt;'Données projet'!$A$192,$EG$205^A110,IF(A110='Données projet'!$A$192,'Données projet'!$B$192,EJ109+EI110-ER109)))</f>
        <v>215.64102564102532</v>
      </c>
      <c r="EK110" s="17">
        <f>EJ110*VLOOKUP('Données projet'!$B$15,Paramètres!$A$1:$I$89,3,0)*VLOOKUP('Données projet'!$B$15,Paramètres!$A$1:$I$89,5,0)</f>
        <v>218.65999999999968</v>
      </c>
      <c r="EL110" s="13">
        <f t="shared" si="99"/>
        <v>53.823539863729678</v>
      </c>
      <c r="EM110" s="20">
        <f t="shared" si="73"/>
        <v>474.57549859599521</v>
      </c>
      <c r="EN110" s="59">
        <f t="shared" si="74"/>
        <v>767.90883192932847</v>
      </c>
      <c r="EO110" s="59">
        <f ca="1">AVERAGE(OFFSET($EN$3,0,0,'Données projet'!$E$15+1,1))-AVERAGE(OFFSET($H$3,0,0,'Données projet'!$E$15+1,1))</f>
        <v>190.21499310415584</v>
      </c>
      <c r="EP110" s="59">
        <f t="shared" si="100"/>
        <v>136.15730566500173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1.1291666666666658</v>
      </c>
      <c r="FE110" s="12">
        <f>IF('Données projet'!$A$218&gt;35,FE109+FD110-FM109,IF(A110&lt;'Données projet'!$A$218,$FB$205^A110,IF(A110='Données projet'!$A$218,'Données projet'!$B$218,FE109+FD110-FM109)))</f>
        <v>85.529166666666654</v>
      </c>
      <c r="FF110" s="17">
        <f>FE110*VLOOKUP('Données projet'!$B$16,Paramètres!$A$1:$I$89,3,0)*VLOOKUP('Données projet'!$B$16,Paramètres!$A$1:$I$89,5,0)</f>
        <v>98.529599999999988</v>
      </c>
      <c r="FG110" s="13">
        <f t="shared" si="101"/>
        <v>26.6113935920724</v>
      </c>
      <c r="FH110" s="20">
        <f t="shared" si="76"/>
        <v>217.95389717285943</v>
      </c>
      <c r="FI110" s="59">
        <f t="shared" si="77"/>
        <v>511.28723050619271</v>
      </c>
      <c r="FJ110" s="59">
        <f ca="1">AVERAGE(OFFSET($FI$3,0,0,'Données projet'!$E$16+1,1))-AVERAGE(OFFSET($H$3,0,0,'Données projet'!$E$16+1,1))</f>
        <v>14.847345852478327</v>
      </c>
      <c r="FK110" s="59">
        <f t="shared" si="102"/>
        <v>46.764428272166299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0.20987976346803772</v>
      </c>
      <c r="FS110" s="21">
        <f>EXP(-LN(2)/2)*FS109+(1-EXP(-LN(2)/2))/(LN(2)/2)*FM110*FP110*VLOOKUP('Données projet'!$B$16,Paramètres!$A$1:$I$89,3,0)*0.475*44/12</f>
        <v>5.0754115116894855E-12</v>
      </c>
      <c r="FT110" s="22">
        <f t="shared" si="78"/>
        <v>0.20987976347311313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6.9935897435897401</v>
      </c>
      <c r="N111" s="13">
        <f>IF('Données projet'!$A$36&gt;35,N110+M111-V110,IF(A111&lt;'Données projet'!$A$36,$K$205^A111,IF(A111='Données projet'!$A$36,'Données projet'!$B$36,N110+M111-V110)))</f>
        <v>333.17307692307708</v>
      </c>
      <c r="O111" s="13">
        <f>N111*VLOOKUP('Données projet'!$B$9,Paramètres!$A$1:$I$89,3,0)*VLOOKUP('Données projet'!$B$9,Paramètres!$A$1:$I$89,5,0)</f>
        <v>301.45500000000015</v>
      </c>
      <c r="P111" s="13">
        <f t="shared" si="87"/>
        <v>71.481401418760271</v>
      </c>
      <c r="Q111" s="20">
        <f t="shared" si="107"/>
        <v>649.53089913767428</v>
      </c>
      <c r="R111" s="59">
        <f t="shared" si="55"/>
        <v>942.86423247100765</v>
      </c>
      <c r="S111" s="59">
        <f ca="1">AVERAGE(OFFSET($R$3,0,0,'Données projet'!$E$9+1,1))-AVERAGE(OFFSET($H$3,0,0,'Données projet'!$E$9+1,1))</f>
        <v>221.7429870520005</v>
      </c>
      <c r="T111" s="59">
        <f t="shared" si="88"/>
        <v>182.2029938397186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-5.1159076974727213E-13</v>
      </c>
      <c r="AJ111" s="13">
        <f>AI111*VLOOKUP('Données projet'!$B$10,Paramètres!$A$1:$I$89,3,0)*VLOOKUP('Données projet'!$B$10,Paramètres!$A$1:$I$89,5,0)</f>
        <v>-4.0702161641092972E-13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260.20517190557814</v>
      </c>
      <c r="AO111" s="59">
        <f t="shared" si="90"/>
        <v>307.22009971147133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0.6962239309348347</v>
      </c>
      <c r="AV111" s="21">
        <f>EXP(-LN(2)/25)*AV110+(1-EXP(-LN(2)/25))/(LN(2)/25)*Calculateur!AQ111*Calculateur!AS111*VLOOKUP('Données projet'!$B$10,Paramètres!$A$1:$I$89,3,0)*0.475*44/12</f>
        <v>2.3602356278858418</v>
      </c>
      <c r="AW111" s="21">
        <f>EXP(-LN(2)/2)*AW110+(1-EXP(-LN(2)/2))/(LN(2)/2)*AQ111*AT111*VLOOKUP('Données projet'!$B$10,Paramètres!$A$1:$I$89,3,0)*0.475*44/12</f>
        <v>4.372674857724139E-11</v>
      </c>
      <c r="AX111" s="21">
        <f t="shared" si="60"/>
        <v>3.0564595588644035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553.99999999999955</v>
      </c>
      <c r="BE111" s="13">
        <f>BD111*VLOOKUP('Données projet'!$B$11,Paramètres!$A$1:$I$89,3,0)*VLOOKUP('Données projet'!$B$11,Paramètres!$A$1:$I$89,5,0)</f>
        <v>331.29199999999975</v>
      </c>
      <c r="BF111" s="13">
        <f t="shared" si="91"/>
        <v>77.698110787752</v>
      </c>
      <c r="BG111" s="20">
        <f t="shared" si="61"/>
        <v>712.32444295533423</v>
      </c>
      <c r="BH111" s="59">
        <f t="shared" si="62"/>
        <v>1005.6577762886675</v>
      </c>
      <c r="BI111" s="59">
        <f ca="1">AVERAGE(OFFSET($BH$3,0,0,'Données projet'!$E$11+1,1))-AVERAGE(OFFSET($H$3,0,0,'Données projet'!$E$11+1,1))</f>
        <v>316.58509520829671</v>
      </c>
      <c r="BJ111" s="59">
        <f t="shared" si="92"/>
        <v>240.71332110643596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0.54079610554142321</v>
      </c>
      <c r="BQ111" s="21">
        <f>EXP(-LN(2)/25)*BQ110+(1-EXP(-LN(2)/25))/(LN(2)/25)*Calculateur!BL111*Calculateur!BN111*VLOOKUP('Données projet'!$B$11,Paramètres!$A$1:$I$89,3,0)*0.475*44/12</f>
        <v>1.7561697023671958</v>
      </c>
      <c r="BR111" s="21">
        <f>EXP(-LN(2)/2)*BR110+(1-EXP(-LN(2)/2))/(LN(2)/2)*BL111*BO111*VLOOKUP('Données projet'!$B$11,Paramètres!$A$1:$I$89,3,0)*0.475*44/12</f>
        <v>3.9907432565343555E-11</v>
      </c>
      <c r="BS111" s="22">
        <f t="shared" si="63"/>
        <v>2.2969658079485269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497</v>
      </c>
      <c r="BZ111" s="13">
        <f>BY111*VLOOKUP('Données projet'!$B$12,Paramètres!$A$1:$I$89,3,0)*VLOOKUP('Données projet'!$B$12,Paramètres!$A$1:$I$89,5,0)</f>
        <v>297.20600000000002</v>
      </c>
      <c r="CA111" s="13">
        <f t="shared" si="93"/>
        <v>70.590415164571112</v>
      </c>
      <c r="CB111" s="20">
        <f t="shared" si="64"/>
        <v>640.57875641162809</v>
      </c>
      <c r="CC111" s="59">
        <f t="shared" si="65"/>
        <v>933.91208974496135</v>
      </c>
      <c r="CD111" s="59">
        <f ca="1">AVERAGE(OFFSET($CC$3,0,0,'Données projet'!$E$12+1,1))-AVERAGE(OFFSET($H$3,0,0,'Données projet'!$E$12+1,1))</f>
        <v>270.30888762640245</v>
      </c>
      <c r="CE111" s="59">
        <f t="shared" si="94"/>
        <v>202.23783851977691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0.45701079341528694</v>
      </c>
      <c r="CL111" s="21">
        <f>EXP(-LN(2)/25)*CL110+(1-EXP(-LN(2)/25))/(LN(2)/25)*Calculateur!CG111*Calculateur!CI111*VLOOKUP('Données projet'!$B$12,Paramètres!$A$1:$I$89,3,0)*0.475*44/12</f>
        <v>1.4142373402447475</v>
      </c>
      <c r="CM111" s="21">
        <f>EXP(-LN(2)/2)*CM110+(1-EXP(-LN(2)/2))/(LN(2)/2)*CG111*CJ111*VLOOKUP('Données projet'!$B$12,Paramètres!$A$1:$I$89,3,0)*0.475*44/12</f>
        <v>3.363785906269656E-11</v>
      </c>
      <c r="CN111" s="22">
        <f t="shared" si="66"/>
        <v>1.8712481336936722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-5.1159076974727213E-13</v>
      </c>
      <c r="CU111" s="17">
        <f>CT111*VLOOKUP('Données projet'!$B$13,Paramètres!$A$1:$I$89,3,0)*VLOOKUP('Données projet'!$B$13,Paramètres!$A$1:$I$89,5,0)</f>
        <v>-3.4317508834647017E-13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207.93042467236967</v>
      </c>
      <c r="CZ111" s="59">
        <f t="shared" si="96"/>
        <v>250.70954318710835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0.58701233392544838</v>
      </c>
      <c r="DG111" s="21">
        <f>EXP(-LN(2)/25)*DG110+(1-EXP(-LN(2)/25))/(LN(2)/25)*Calculateur!DB111*Calculateur!DD111*VLOOKUP('Données projet'!$B$13,Paramètres!$A$1:$I$89,3,0)*0.475*44/12</f>
        <v>1.9900025882174774</v>
      </c>
      <c r="DH111" s="21">
        <f>EXP(-LN(2)/2)*DH110+(1-EXP(-LN(2)/2))/(LN(2)/2)*DB111*DE111*VLOOKUP('Données projet'!$B$13,Paramètres!$A$1:$I$89,3,0)*0.475*44/12</f>
        <v>3.6867650761203522E-11</v>
      </c>
      <c r="DI111" s="22">
        <f t="shared" si="69"/>
        <v>2.5770149221797936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5.6843418860808015E-14</v>
      </c>
      <c r="DP111" s="17">
        <f>DO111*VLOOKUP('Données projet'!$B$14,Paramètres!$A$1:$I$89,3,0)*VLOOKUP('Données projet'!$B$14,Paramètres!$A$1:$I$89,5,0)</f>
        <v>3.813056537183002E-14</v>
      </c>
      <c r="DQ111" s="13">
        <f t="shared" si="97"/>
        <v>6.4086286045526829E-13</v>
      </c>
      <c r="DR111" s="20">
        <f t="shared" si="70"/>
        <v>1.1825802166488628E-12</v>
      </c>
      <c r="DS111" s="59">
        <f t="shared" si="71"/>
        <v>293.33333333333451</v>
      </c>
      <c r="DT111" s="59">
        <f ca="1">AVERAGE(OFFSET($DS$3,0,0,'Données projet'!$E$14+1,1))-AVERAGE(OFFSET($H$3,0,0,'Données projet'!$E$14+1,1))</f>
        <v>156.63226020379989</v>
      </c>
      <c r="DU111" s="59">
        <f t="shared" si="98"/>
        <v>196.0481096619543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0.99724882899317313</v>
      </c>
      <c r="EC111" s="21">
        <f>EXP(-LN(2)/2)*EC110+(1-EXP(-LN(2)/2))/(LN(2)/2)*DW111*DZ111*VLOOKUP('Données projet'!$B$14,Paramètres!$A$1:$I$89,3,0)*0.475*44/12</f>
        <v>1.6504547242451451E-11</v>
      </c>
      <c r="ED111" s="22">
        <f t="shared" si="72"/>
        <v>0.99724882900967771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5.0961538461538449</v>
      </c>
      <c r="EJ111" s="12">
        <f>IF('Données projet'!$A$192&gt;35,EJ110+EI111-ER110,IF(A111&lt;'Données projet'!$A$192,$EG$205^A111,IF(A111='Données projet'!$A$192,'Données projet'!$B$192,EJ110+EI111-ER110)))</f>
        <v>220.73717948717916</v>
      </c>
      <c r="EK111" s="17">
        <f>EJ111*VLOOKUP('Données projet'!$B$15,Paramètres!$A$1:$I$89,3,0)*VLOOKUP('Données projet'!$B$15,Paramètres!$A$1:$I$89,5,0)</f>
        <v>223.82749999999967</v>
      </c>
      <c r="EL111" s="13">
        <f t="shared" si="99"/>
        <v>54.94593701193218</v>
      </c>
      <c r="EM111" s="20">
        <f t="shared" si="73"/>
        <v>485.53040279578119</v>
      </c>
      <c r="EN111" s="59">
        <f t="shared" si="74"/>
        <v>778.8637361291145</v>
      </c>
      <c r="EO111" s="59">
        <f ca="1">AVERAGE(OFFSET($EN$3,0,0,'Données projet'!$E$15+1,1))-AVERAGE(OFFSET($H$3,0,0,'Données projet'!$E$15+1,1))</f>
        <v>190.21499310415584</v>
      </c>
      <c r="EP111" s="59">
        <f t="shared" si="100"/>
        <v>136.15730566500173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1.1291666666666658</v>
      </c>
      <c r="FE111" s="12">
        <f>IF('Données projet'!$A$218&gt;35,FE110+FD111-FM110,IF(A111&lt;'Données projet'!$A$218,$FB$205^A111,IF(A111='Données projet'!$A$218,'Données projet'!$B$218,FE110+FD111-FM110)))</f>
        <v>86.658333333333317</v>
      </c>
      <c r="FF111" s="17">
        <f>FE111*VLOOKUP('Données projet'!$B$16,Paramètres!$A$1:$I$89,3,0)*VLOOKUP('Données projet'!$B$16,Paramètres!$A$1:$I$89,5,0)</f>
        <v>99.830399999999969</v>
      </c>
      <c r="FG111" s="13">
        <f t="shared" si="101"/>
        <v>26.921588696307662</v>
      </c>
      <c r="FH111" s="20">
        <f t="shared" si="76"/>
        <v>220.75971364606912</v>
      </c>
      <c r="FI111" s="59">
        <f t="shared" si="77"/>
        <v>514.0930469794024</v>
      </c>
      <c r="FJ111" s="59">
        <f ca="1">AVERAGE(OFFSET($FI$3,0,0,'Données projet'!$E$16+1,1))-AVERAGE(OFFSET($H$3,0,0,'Données projet'!$E$16+1,1))</f>
        <v>14.847345852478327</v>
      </c>
      <c r="FK111" s="59">
        <f t="shared" si="102"/>
        <v>46.764428272166299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0.20414059029890716</v>
      </c>
      <c r="FS111" s="21">
        <f>EXP(-LN(2)/2)*FS110+(1-EXP(-LN(2)/2))/(LN(2)/2)*FM111*FP111*VLOOKUP('Données projet'!$B$16,Paramètres!$A$1:$I$89,3,0)*0.475*44/12</f>
        <v>3.5888578972279018E-12</v>
      </c>
      <c r="FT111" s="22">
        <f t="shared" si="78"/>
        <v>0.20414059030249601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340.16666666666663</v>
      </c>
      <c r="L112" s="12">
        <f>VLOOKUP(A112,'Données projet'!$A$35:$I$55,9,0)</f>
        <v>6.9935897435897401</v>
      </c>
      <c r="M112" s="12">
        <f t="array" ref="M112">INDEX(L:L,MIN(IF(ISNUMBER(L112:L308),ROW(L112:L308),"")))</f>
        <v>6.9935897435897401</v>
      </c>
      <c r="N112" s="13">
        <f>IF('Données projet'!$A$36&gt;35,N111+M112-V111,IF(A112&lt;'Données projet'!$A$36,$K$205^A112,IF(A112='Données projet'!$A$36,'Données projet'!$B$36,N111+M112-V111)))</f>
        <v>340.1666666666668</v>
      </c>
      <c r="O112" s="13">
        <f>N112*VLOOKUP('Données projet'!$B$9,Paramètres!$A$1:$I$89,3,0)*VLOOKUP('Données projet'!$B$9,Paramètres!$A$1:$I$89,5,0)</f>
        <v>307.78280000000012</v>
      </c>
      <c r="P112" s="13">
        <f t="shared" si="87"/>
        <v>72.805597304306232</v>
      </c>
      <c r="Q112" s="20">
        <f t="shared" si="107"/>
        <v>662.85812530500016</v>
      </c>
      <c r="R112" s="59">
        <f t="shared" si="55"/>
        <v>956.19145863833342</v>
      </c>
      <c r="S112" s="59">
        <f ca="1">AVERAGE(OFFSET($R$3,0,0,'Données projet'!$E$9+1,1))-AVERAGE(OFFSET($H$3,0,0,'Données projet'!$E$9+1,1))</f>
        <v>221.7429870520005</v>
      </c>
      <c r="T112" s="59">
        <f t="shared" si="88"/>
        <v>182.2029938397186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51.28846153846154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-5.1159076974727213E-13</v>
      </c>
      <c r="AJ112" s="13">
        <f>AI112*VLOOKUP('Données projet'!$B$10,Paramètres!$A$1:$I$89,3,0)*VLOOKUP('Données projet'!$B$10,Paramètres!$A$1:$I$89,5,0)</f>
        <v>-4.0702161641092972E-13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260.20517190557814</v>
      </c>
      <c r="AO112" s="59">
        <f t="shared" si="90"/>
        <v>307.22009971147133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0.68257140430386931</v>
      </c>
      <c r="AV112" s="21">
        <f>EXP(-LN(2)/25)*AV111+(1-EXP(-LN(2)/25))/(LN(2)/25)*Calculateur!AQ112*Calculateur!AS112*VLOOKUP('Données projet'!$B$10,Paramètres!$A$1:$I$89,3,0)*0.475*44/12</f>
        <v>2.2956948605219063</v>
      </c>
      <c r="AW112" s="21">
        <f>EXP(-LN(2)/2)*AW111+(1-EXP(-LN(2)/2))/(LN(2)/2)*AQ112*AT112*VLOOKUP('Données projet'!$B$10,Paramètres!$A$1:$I$89,3,0)*0.475*44/12</f>
        <v>3.0919480438206605E-11</v>
      </c>
      <c r="AX112" s="21">
        <f t="shared" si="60"/>
        <v>2.9782662648566949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553.99999999999955</v>
      </c>
      <c r="BE112" s="13">
        <f>BD112*VLOOKUP('Données projet'!$B$11,Paramètres!$A$1:$I$89,3,0)*VLOOKUP('Données projet'!$B$11,Paramètres!$A$1:$I$89,5,0)</f>
        <v>331.29199999999975</v>
      </c>
      <c r="BF112" s="13">
        <f t="shared" si="91"/>
        <v>77.698110787752</v>
      </c>
      <c r="BG112" s="20">
        <f t="shared" si="61"/>
        <v>712.32444295533423</v>
      </c>
      <c r="BH112" s="59">
        <f t="shared" si="62"/>
        <v>1005.6577762886675</v>
      </c>
      <c r="BI112" s="59">
        <f ca="1">AVERAGE(OFFSET($BH$3,0,0,'Données projet'!$E$11+1,1))-AVERAGE(OFFSET($H$3,0,0,'Données projet'!$E$11+1,1))</f>
        <v>316.58509520829671</v>
      </c>
      <c r="BJ112" s="59">
        <f t="shared" si="92"/>
        <v>240.71332110643596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0.53019142376480999</v>
      </c>
      <c r="BQ112" s="21">
        <f>EXP(-LN(2)/25)*BQ111+(1-EXP(-LN(2)/25))/(LN(2)/25)*Calculateur!BL112*Calculateur!BN112*VLOOKUP('Données projet'!$B$11,Paramètres!$A$1:$I$89,3,0)*0.475*44/12</f>
        <v>1.7081471495030141</v>
      </c>
      <c r="BR112" s="21">
        <f>EXP(-LN(2)/2)*BR111+(1-EXP(-LN(2)/2))/(LN(2)/2)*BL112*BO112*VLOOKUP('Données projet'!$B$11,Paramètres!$A$1:$I$89,3,0)*0.475*44/12</f>
        <v>2.8218816186699287E-11</v>
      </c>
      <c r="BS112" s="22">
        <f t="shared" si="63"/>
        <v>2.2383385732960428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497</v>
      </c>
      <c r="BZ112" s="13">
        <f>BY112*VLOOKUP('Données projet'!$B$12,Paramètres!$A$1:$I$89,3,0)*VLOOKUP('Données projet'!$B$12,Paramètres!$A$1:$I$89,5,0)</f>
        <v>297.20600000000002</v>
      </c>
      <c r="CA112" s="13">
        <f t="shared" si="93"/>
        <v>70.590415164571112</v>
      </c>
      <c r="CB112" s="20">
        <f t="shared" si="64"/>
        <v>640.57875641162809</v>
      </c>
      <c r="CC112" s="59">
        <f t="shared" si="65"/>
        <v>933.91208974496135</v>
      </c>
      <c r="CD112" s="59">
        <f ca="1">AVERAGE(OFFSET($CC$3,0,0,'Données projet'!$E$12+1,1))-AVERAGE(OFFSET($H$3,0,0,'Données projet'!$E$12+1,1))</f>
        <v>270.30888762640245</v>
      </c>
      <c r="CE112" s="59">
        <f t="shared" si="94"/>
        <v>202.23783851977691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0.44804909050547298</v>
      </c>
      <c r="CL112" s="21">
        <f>EXP(-LN(2)/25)*CL111+(1-EXP(-LN(2)/25))/(LN(2)/25)*Calculateur!CG112*Calculateur!CI112*VLOOKUP('Données projet'!$B$12,Paramètres!$A$1:$I$89,3,0)*0.475*44/12</f>
        <v>1.3755649458042454</v>
      </c>
      <c r="CM112" s="21">
        <f>EXP(-LN(2)/2)*CM111+(1-EXP(-LN(2)/2))/(LN(2)/2)*CG112*CJ112*VLOOKUP('Données projet'!$B$12,Paramètres!$A$1:$I$89,3,0)*0.475*44/12</f>
        <v>2.3785558247830101E-11</v>
      </c>
      <c r="CN112" s="22">
        <f t="shared" si="66"/>
        <v>1.8236140363335041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-5.1159076974727213E-13</v>
      </c>
      <c r="CU112" s="17">
        <f>CT112*VLOOKUP('Données projet'!$B$13,Paramètres!$A$1:$I$89,3,0)*VLOOKUP('Données projet'!$B$13,Paramètres!$A$1:$I$89,5,0)</f>
        <v>-3.4317508834647017E-13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207.93042467236967</v>
      </c>
      <c r="CZ112" s="59">
        <f t="shared" si="96"/>
        <v>250.70954318710835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0.57550138009934027</v>
      </c>
      <c r="DG112" s="21">
        <f>EXP(-LN(2)/25)*DG111+(1-EXP(-LN(2)/25))/(LN(2)/25)*Calculateur!DB112*Calculateur!DD112*VLOOKUP('Données projet'!$B$13,Paramètres!$A$1:$I$89,3,0)*0.475*44/12</f>
        <v>1.9355858627929827</v>
      </c>
      <c r="DH112" s="21">
        <f>EXP(-LN(2)/2)*DH111+(1-EXP(-LN(2)/2))/(LN(2)/2)*DB112*DE112*VLOOKUP('Données projet'!$B$13,Paramètres!$A$1:$I$89,3,0)*0.475*44/12</f>
        <v>2.6069365859664391E-11</v>
      </c>
      <c r="DI112" s="22">
        <f t="shared" si="69"/>
        <v>2.5110872429183924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5.6843418860808015E-14</v>
      </c>
      <c r="DP112" s="17">
        <f>DO112*VLOOKUP('Données projet'!$B$14,Paramètres!$A$1:$I$89,3,0)*VLOOKUP('Données projet'!$B$14,Paramètres!$A$1:$I$89,5,0)</f>
        <v>3.813056537183002E-14</v>
      </c>
      <c r="DQ112" s="13">
        <f t="shared" si="97"/>
        <v>6.4086286045526829E-13</v>
      </c>
      <c r="DR112" s="20">
        <f t="shared" si="70"/>
        <v>1.1825802166488628E-12</v>
      </c>
      <c r="DS112" s="59">
        <f t="shared" si="71"/>
        <v>293.33333333333451</v>
      </c>
      <c r="DT112" s="59">
        <f ca="1">AVERAGE(OFFSET($DS$3,0,0,'Données projet'!$E$14+1,1))-AVERAGE(OFFSET($H$3,0,0,'Données projet'!$E$14+1,1))</f>
        <v>156.63226020379989</v>
      </c>
      <c r="DU112" s="59">
        <f t="shared" si="98"/>
        <v>196.0481096619543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0.96997900732131814</v>
      </c>
      <c r="EC112" s="21">
        <f>EXP(-LN(2)/2)*EC111+(1-EXP(-LN(2)/2))/(LN(2)/2)*DW112*DZ112*VLOOKUP('Données projet'!$B$14,Paramètres!$A$1:$I$89,3,0)*0.475*44/12</f>
        <v>1.1670477275551155E-11</v>
      </c>
      <c r="ED112" s="22">
        <f t="shared" si="72"/>
        <v>0.96997900733298859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5.0961538461538449</v>
      </c>
      <c r="EJ112" s="12">
        <f>IF('Données projet'!$A$192&gt;35,EJ111+EI112-ER111,IF(A112&lt;'Données projet'!$A$192,$EG$205^A112,IF(A112='Données projet'!$A$192,'Données projet'!$B$192,EJ111+EI112-ER111)))</f>
        <v>225.833333333333</v>
      </c>
      <c r="EK112" s="17">
        <f>EJ112*VLOOKUP('Données projet'!$B$15,Paramètres!$A$1:$I$89,3,0)*VLOOKUP('Données projet'!$B$15,Paramètres!$A$1:$I$89,5,0)</f>
        <v>228.99499999999969</v>
      </c>
      <c r="EL112" s="13">
        <f t="shared" si="99"/>
        <v>56.065321681745388</v>
      </c>
      <c r="EM112" s="20">
        <f t="shared" si="73"/>
        <v>496.48006026237272</v>
      </c>
      <c r="EN112" s="59">
        <f t="shared" si="74"/>
        <v>789.81339359570597</v>
      </c>
      <c r="EO112" s="59">
        <f ca="1">AVERAGE(OFFSET($EN$3,0,0,'Données projet'!$E$15+1,1))-AVERAGE(OFFSET($H$3,0,0,'Données projet'!$E$15+1,1))</f>
        <v>190.21499310415584</v>
      </c>
      <c r="EP112" s="59">
        <f t="shared" si="100"/>
        <v>136.15730566500173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1.1291666666666658</v>
      </c>
      <c r="FE112" s="12">
        <f>IF('Données projet'!$A$218&gt;35,FE111+FD112-FM111,IF(A112&lt;'Données projet'!$A$218,$FB$205^A112,IF(A112='Données projet'!$A$218,'Données projet'!$B$218,FE111+FD112-FM111)))</f>
        <v>87.78749999999998</v>
      </c>
      <c r="FF112" s="17">
        <f>FE112*VLOOKUP('Données projet'!$B$16,Paramètres!$A$1:$I$89,3,0)*VLOOKUP('Données projet'!$B$16,Paramètres!$A$1:$I$89,5,0)</f>
        <v>101.13119999999998</v>
      </c>
      <c r="FG112" s="13">
        <f t="shared" si="101"/>
        <v>27.231313669070509</v>
      </c>
      <c r="FH112" s="20">
        <f t="shared" si="76"/>
        <v>223.56471130696445</v>
      </c>
      <c r="FI112" s="59">
        <f t="shared" si="77"/>
        <v>516.89804464029771</v>
      </c>
      <c r="FJ112" s="59">
        <f ca="1">AVERAGE(OFFSET($FI$3,0,0,'Données projet'!$E$16+1,1))-AVERAGE(OFFSET($H$3,0,0,'Données projet'!$E$16+1,1))</f>
        <v>14.847345852478327</v>
      </c>
      <c r="FK112" s="59">
        <f t="shared" si="102"/>
        <v>46.764428272166299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0.19855835512189646</v>
      </c>
      <c r="FS112" s="21">
        <f>EXP(-LN(2)/2)*FS111+(1-EXP(-LN(2)/2))/(LN(2)/2)*FM112*FP112*VLOOKUP('Données projet'!$B$16,Paramètres!$A$1:$I$89,3,0)*0.475*44/12</f>
        <v>2.5377057558447432E-12</v>
      </c>
      <c r="FT112" s="22">
        <f t="shared" si="78"/>
        <v>0.19855835512443415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6.8461538461538511</v>
      </c>
      <c r="N113" s="13">
        <f>IF('Données projet'!$A$36&gt;35,N112+M113-V112,IF(A113&lt;'Données projet'!$A$36,$K$205^A113,IF(A113='Données projet'!$A$36,'Données projet'!$B$36,N112+M113-V112)))</f>
        <v>295.72435897435912</v>
      </c>
      <c r="O113" s="13">
        <f>N113*VLOOKUP('Données projet'!$B$9,Paramètres!$A$1:$I$89,3,0)*VLOOKUP('Données projet'!$B$9,Paramètres!$A$1:$I$89,5,0)</f>
        <v>267.57140000000015</v>
      </c>
      <c r="P113" s="13">
        <f t="shared" si="87"/>
        <v>64.333588350286448</v>
      </c>
      <c r="Q113" s="20">
        <f t="shared" si="107"/>
        <v>578.06785471008243</v>
      </c>
      <c r="R113" s="59">
        <f t="shared" si="55"/>
        <v>871.40118804341569</v>
      </c>
      <c r="S113" s="59">
        <f ca="1">AVERAGE(OFFSET($R$3,0,0,'Données projet'!$E$9+1,1))-AVERAGE(OFFSET($H$3,0,0,'Données projet'!$E$9+1,1))</f>
        <v>221.7429870520005</v>
      </c>
      <c r="T113" s="59">
        <f t="shared" si="88"/>
        <v>182.2029938397186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-5.1159076974727213E-13</v>
      </c>
      <c r="AJ113" s="13">
        <f>AI113*VLOOKUP('Données projet'!$B$10,Paramètres!$A$1:$I$89,3,0)*VLOOKUP('Données projet'!$B$10,Paramètres!$A$1:$I$89,5,0)</f>
        <v>-4.0702161641092972E-13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260.20517190557814</v>
      </c>
      <c r="AO113" s="59">
        <f t="shared" si="90"/>
        <v>307.22009971147133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0.66918659539291814</v>
      </c>
      <c r="AV113" s="21">
        <f>EXP(-LN(2)/25)*AV112+(1-EXP(-LN(2)/25))/(LN(2)/25)*Calculateur!AQ113*Calculateur!AS113*VLOOKUP('Données projet'!$B$10,Paramètres!$A$1:$I$89,3,0)*0.475*44/12</f>
        <v>2.2329189638355889</v>
      </c>
      <c r="AW113" s="21">
        <f>EXP(-LN(2)/2)*AW112+(1-EXP(-LN(2)/2))/(LN(2)/2)*AQ113*AT113*VLOOKUP('Données projet'!$B$10,Paramètres!$A$1:$I$89,3,0)*0.475*44/12</f>
        <v>2.1863374288620695E-11</v>
      </c>
      <c r="AX113" s="21">
        <f t="shared" si="60"/>
        <v>2.9021055592503702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553.99999999999955</v>
      </c>
      <c r="BE113" s="13">
        <f>BD113*VLOOKUP('Données projet'!$B$11,Paramètres!$A$1:$I$89,3,0)*VLOOKUP('Données projet'!$B$11,Paramètres!$A$1:$I$89,5,0)</f>
        <v>331.29199999999975</v>
      </c>
      <c r="BF113" s="13">
        <f t="shared" si="91"/>
        <v>77.698110787752</v>
      </c>
      <c r="BG113" s="20">
        <f t="shared" si="61"/>
        <v>712.32444295533423</v>
      </c>
      <c r="BH113" s="59">
        <f t="shared" si="62"/>
        <v>1005.6577762886675</v>
      </c>
      <c r="BI113" s="59">
        <f ca="1">AVERAGE(OFFSET($BH$3,0,0,'Données projet'!$E$11+1,1))-AVERAGE(OFFSET($H$3,0,0,'Données projet'!$E$11+1,1))</f>
        <v>316.58509520829671</v>
      </c>
      <c r="BJ113" s="59">
        <f t="shared" si="92"/>
        <v>240.71332110643596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0.51979469332961892</v>
      </c>
      <c r="BQ113" s="21">
        <f>EXP(-LN(2)/25)*BQ112+(1-EXP(-LN(2)/25))/(LN(2)/25)*Calculateur!BL113*Calculateur!BN113*VLOOKUP('Données projet'!$B$11,Paramètres!$A$1:$I$89,3,0)*0.475*44/12</f>
        <v>1.6614377758722996</v>
      </c>
      <c r="BR113" s="21">
        <f>EXP(-LN(2)/2)*BR112+(1-EXP(-LN(2)/2))/(LN(2)/2)*BL113*BO113*VLOOKUP('Données projet'!$B$11,Paramètres!$A$1:$I$89,3,0)*0.475*44/12</f>
        <v>1.995371628267178E-11</v>
      </c>
      <c r="BS113" s="22">
        <f t="shared" si="63"/>
        <v>2.1812324692218725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497</v>
      </c>
      <c r="BZ113" s="13">
        <f>BY113*VLOOKUP('Données projet'!$B$12,Paramètres!$A$1:$I$89,3,0)*VLOOKUP('Données projet'!$B$12,Paramètres!$A$1:$I$89,5,0)</f>
        <v>297.20600000000002</v>
      </c>
      <c r="CA113" s="13">
        <f t="shared" si="93"/>
        <v>70.590415164571112</v>
      </c>
      <c r="CB113" s="20">
        <f t="shared" si="64"/>
        <v>640.57875641162809</v>
      </c>
      <c r="CC113" s="59">
        <f t="shared" si="65"/>
        <v>933.91208974496135</v>
      </c>
      <c r="CD113" s="59">
        <f ca="1">AVERAGE(OFFSET($CC$3,0,0,'Données projet'!$E$12+1,1))-AVERAGE(OFFSET($H$3,0,0,'Données projet'!$E$12+1,1))</f>
        <v>270.30888762640245</v>
      </c>
      <c r="CE113" s="59">
        <f t="shared" si="94"/>
        <v>202.23783851977691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0.43926312112362143</v>
      </c>
      <c r="CL113" s="21">
        <f>EXP(-LN(2)/25)*CL112+(1-EXP(-LN(2)/25))/(LN(2)/25)*Calculateur!CG113*Calculateur!CI113*VLOOKUP('Données projet'!$B$12,Paramètres!$A$1:$I$89,3,0)*0.475*44/12</f>
        <v>1.3379500500234116</v>
      </c>
      <c r="CM113" s="21">
        <f>EXP(-LN(2)/2)*CM112+(1-EXP(-LN(2)/2))/(LN(2)/2)*CG113*CJ113*VLOOKUP('Données projet'!$B$12,Paramètres!$A$1:$I$89,3,0)*0.475*44/12</f>
        <v>1.681892953134828E-11</v>
      </c>
      <c r="CN113" s="22">
        <f t="shared" si="66"/>
        <v>1.7772131711638521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-5.1159076974727213E-13</v>
      </c>
      <c r="CU113" s="17">
        <f>CT113*VLOOKUP('Données projet'!$B$13,Paramètres!$A$1:$I$89,3,0)*VLOOKUP('Données projet'!$B$13,Paramètres!$A$1:$I$89,5,0)</f>
        <v>-3.4317508834647017E-13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207.93042467236967</v>
      </c>
      <c r="CZ113" s="59">
        <f t="shared" si="96"/>
        <v>250.70954318710835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0.56421614905677364</v>
      </c>
      <c r="DG113" s="21">
        <f>EXP(-LN(2)/25)*DG112+(1-EXP(-LN(2)/25))/(LN(2)/25)*Calculateur!DB113*Calculateur!DD113*VLOOKUP('Données projet'!$B$13,Paramètres!$A$1:$I$89,3,0)*0.475*44/12</f>
        <v>1.882657165586872</v>
      </c>
      <c r="DH113" s="21">
        <f>EXP(-LN(2)/2)*DH112+(1-EXP(-LN(2)/2))/(LN(2)/2)*DB113*DE113*VLOOKUP('Données projet'!$B$13,Paramètres!$A$1:$I$89,3,0)*0.475*44/12</f>
        <v>1.8433825380601761E-11</v>
      </c>
      <c r="DI113" s="22">
        <f t="shared" si="69"/>
        <v>2.4468733146620791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5.6843418860808015E-14</v>
      </c>
      <c r="DP113" s="17">
        <f>DO113*VLOOKUP('Données projet'!$B$14,Paramètres!$A$1:$I$89,3,0)*VLOOKUP('Données projet'!$B$14,Paramètres!$A$1:$I$89,5,0)</f>
        <v>3.813056537183002E-14</v>
      </c>
      <c r="DQ113" s="13">
        <f t="shared" si="97"/>
        <v>6.4086286045526829E-13</v>
      </c>
      <c r="DR113" s="20">
        <f t="shared" si="70"/>
        <v>1.1825802166488628E-12</v>
      </c>
      <c r="DS113" s="59">
        <f t="shared" si="71"/>
        <v>293.33333333333451</v>
      </c>
      <c r="DT113" s="59">
        <f ca="1">AVERAGE(OFFSET($DS$3,0,0,'Données projet'!$E$14+1,1))-AVERAGE(OFFSET($H$3,0,0,'Données projet'!$E$14+1,1))</f>
        <v>156.63226020379989</v>
      </c>
      <c r="DU113" s="59">
        <f t="shared" si="98"/>
        <v>196.0481096619543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0.94345488035713765</v>
      </c>
      <c r="EC113" s="21">
        <f>EXP(-LN(2)/2)*EC112+(1-EXP(-LN(2)/2))/(LN(2)/2)*DW113*DZ113*VLOOKUP('Données projet'!$B$14,Paramètres!$A$1:$I$89,3,0)*0.475*44/12</f>
        <v>8.2522736212257255E-12</v>
      </c>
      <c r="ED113" s="22">
        <f t="shared" si="72"/>
        <v>0.94345488036538994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5.0961538461538449</v>
      </c>
      <c r="EJ113" s="12">
        <f>IF('Données projet'!$A$192&gt;35,EJ112+EI113-ER112,IF(A113&lt;'Données projet'!$A$192,$EG$205^A113,IF(A113='Données projet'!$A$192,'Données projet'!$B$192,EJ112+EI113-ER112)))</f>
        <v>230.92948717948684</v>
      </c>
      <c r="EK113" s="17">
        <f>EJ113*VLOOKUP('Données projet'!$B$15,Paramètres!$A$1:$I$89,3,0)*VLOOKUP('Données projet'!$B$15,Paramètres!$A$1:$I$89,5,0)</f>
        <v>234.16249999999968</v>
      </c>
      <c r="EL113" s="13">
        <f t="shared" si="99"/>
        <v>57.181769678978526</v>
      </c>
      <c r="EM113" s="20">
        <f t="shared" si="73"/>
        <v>507.42460302422029</v>
      </c>
      <c r="EN113" s="59">
        <f t="shared" si="74"/>
        <v>800.7579363575536</v>
      </c>
      <c r="EO113" s="59">
        <f ca="1">AVERAGE(OFFSET($EN$3,0,0,'Données projet'!$E$15+1,1))-AVERAGE(OFFSET($H$3,0,0,'Données projet'!$E$15+1,1))</f>
        <v>190.21499310415584</v>
      </c>
      <c r="EP113" s="59">
        <f t="shared" si="100"/>
        <v>136.15730566500173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88.916666666666671</v>
      </c>
      <c r="FC113" s="12">
        <f>VLOOKUP(A113,'Données projet'!$A$217:$I$237,9,0)</f>
        <v>1.1291666666666658</v>
      </c>
      <c r="FD113" s="12">
        <f t="array" ref="FD113">INDEX(FC:FC,MIN(IF(ISNUMBER(FC113:FC309),ROW(FC113:FC309),"")))</f>
        <v>1.1291666666666658</v>
      </c>
      <c r="FE113" s="12">
        <f>IF('Données projet'!$A$218&gt;35,FE112+FD113-FM112,IF(A113&lt;'Données projet'!$A$218,$FB$205^A113,IF(A113='Données projet'!$A$218,'Données projet'!$B$218,FE112+FD113-FM112)))</f>
        <v>88.916666666666643</v>
      </c>
      <c r="FF113" s="17">
        <f>FE113*VLOOKUP('Données projet'!$B$16,Paramètres!$A$1:$I$89,3,0)*VLOOKUP('Données projet'!$B$16,Paramètres!$A$1:$I$89,5,0)</f>
        <v>102.43199999999996</v>
      </c>
      <c r="FG113" s="13">
        <f t="shared" si="101"/>
        <v>27.540575256628092</v>
      </c>
      <c r="FH113" s="20">
        <f t="shared" si="76"/>
        <v>226.36890190529382</v>
      </c>
      <c r="FI113" s="59">
        <f t="shared" si="77"/>
        <v>519.70223523862717</v>
      </c>
      <c r="FJ113" s="59">
        <f ca="1">AVERAGE(OFFSET($FI$3,0,0,'Données projet'!$E$16+1,1))-AVERAGE(OFFSET($H$3,0,0,'Données projet'!$E$16+1,1))</f>
        <v>14.847345852478327</v>
      </c>
      <c r="FK113" s="59">
        <f t="shared" si="102"/>
        <v>46.764428272166299</v>
      </c>
      <c r="FL113" s="15">
        <f>IF(ISNA(VLOOKUP(A113,'Données projet'!$A$217:$I$237,3,0)),0,VLOOKUP(A113,'Données projet'!$A$217:$I$237,3,0))</f>
        <v>11</v>
      </c>
      <c r="FM113" s="15">
        <f>IF(ISNA(VLOOKUP(A113,'Données projet'!$A$217:$I$237,4,0)),0,VLOOKUP(A113,'Données projet'!$A$217:$I$237,4,0))</f>
        <v>8.2916666666666661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0.19312876645935811</v>
      </c>
      <c r="FS113" s="21">
        <f>EXP(-LN(2)/2)*FS112+(1-EXP(-LN(2)/2))/(LN(2)/2)*FM113*FP113*VLOOKUP('Données projet'!$B$16,Paramètres!$A$1:$I$89,3,0)*0.475*44/12</f>
        <v>1.7944289486139511E-12</v>
      </c>
      <c r="FT113" s="22">
        <f t="shared" si="78"/>
        <v>0.19312876646115254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6.8461538461538511</v>
      </c>
      <c r="N114" s="13">
        <f>IF('Données projet'!$A$36&gt;35,N113+M114-V113,IF(A114&lt;'Données projet'!$A$36,$K$205^A114,IF(A114='Données projet'!$A$36,'Données projet'!$B$36,N113+M114-V113)))</f>
        <v>302.57051282051299</v>
      </c>
      <c r="O114" s="13">
        <f>N114*VLOOKUP('Données projet'!$B$9,Paramètres!$A$1:$I$89,3,0)*VLOOKUP('Données projet'!$B$9,Paramètres!$A$1:$I$89,5,0)</f>
        <v>273.76580000000013</v>
      </c>
      <c r="P114" s="13">
        <f t="shared" si="87"/>
        <v>65.647821692657857</v>
      </c>
      <c r="Q114" s="20">
        <f t="shared" si="107"/>
        <v>591.14539111471265</v>
      </c>
      <c r="R114" s="59">
        <f t="shared" si="55"/>
        <v>884.47872444804602</v>
      </c>
      <c r="S114" s="59">
        <f ca="1">AVERAGE(OFFSET($R$3,0,0,'Données projet'!$E$9+1,1))-AVERAGE(OFFSET($H$3,0,0,'Données projet'!$E$9+1,1))</f>
        <v>221.7429870520005</v>
      </c>
      <c r="T114" s="59">
        <f t="shared" si="88"/>
        <v>182.2029938397186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-5.1159076974727213E-13</v>
      </c>
      <c r="AJ114" s="13">
        <f>AI114*VLOOKUP('Données projet'!$B$10,Paramètres!$A$1:$I$89,3,0)*VLOOKUP('Données projet'!$B$10,Paramètres!$A$1:$I$89,5,0)</f>
        <v>-4.0702161641092972E-13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260.20517190557814</v>
      </c>
      <c r="AO114" s="59">
        <f t="shared" si="90"/>
        <v>307.22009971147133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0.65606425442078342</v>
      </c>
      <c r="AV114" s="21">
        <f>EXP(-LN(2)/25)*AV113+(1-EXP(-LN(2)/25))/(LN(2)/25)*Calculateur!AQ114*Calculateur!AS114*VLOOKUP('Données projet'!$B$10,Paramètres!$A$1:$I$89,3,0)*0.475*44/12</f>
        <v>2.1718596773453998</v>
      </c>
      <c r="AW114" s="21">
        <f>EXP(-LN(2)/2)*AW113+(1-EXP(-LN(2)/2))/(LN(2)/2)*AQ114*AT114*VLOOKUP('Données projet'!$B$10,Paramètres!$A$1:$I$89,3,0)*0.475*44/12</f>
        <v>1.5459740219103303E-11</v>
      </c>
      <c r="AX114" s="21">
        <f t="shared" si="60"/>
        <v>2.8279239317816427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553.99999999999955</v>
      </c>
      <c r="BE114" s="13">
        <f>BD114*VLOOKUP('Données projet'!$B$11,Paramètres!$A$1:$I$89,3,0)*VLOOKUP('Données projet'!$B$11,Paramètres!$A$1:$I$89,5,0)</f>
        <v>331.29199999999975</v>
      </c>
      <c r="BF114" s="13">
        <f t="shared" si="91"/>
        <v>77.698110787752</v>
      </c>
      <c r="BG114" s="20">
        <f t="shared" si="61"/>
        <v>712.32444295533423</v>
      </c>
      <c r="BH114" s="59">
        <f t="shared" si="62"/>
        <v>1005.6577762886675</v>
      </c>
      <c r="BI114" s="59">
        <f ca="1">AVERAGE(OFFSET($BH$3,0,0,'Données projet'!$E$11+1,1))-AVERAGE(OFFSET($H$3,0,0,'Données projet'!$E$11+1,1))</f>
        <v>316.58509520829671</v>
      </c>
      <c r="BJ114" s="59">
        <f t="shared" si="92"/>
        <v>240.71332110643596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0.50960183643688262</v>
      </c>
      <c r="BQ114" s="21">
        <f>EXP(-LN(2)/25)*BQ113+(1-EXP(-LN(2)/25))/(LN(2)/25)*Calculateur!BL114*Calculateur!BN114*VLOOKUP('Données projet'!$B$11,Paramètres!$A$1:$I$89,3,0)*0.475*44/12</f>
        <v>1.6160056725198562</v>
      </c>
      <c r="BR114" s="21">
        <f>EXP(-LN(2)/2)*BR113+(1-EXP(-LN(2)/2))/(LN(2)/2)*BL114*BO114*VLOOKUP('Données projet'!$B$11,Paramètres!$A$1:$I$89,3,0)*0.475*44/12</f>
        <v>1.4109408093349647E-11</v>
      </c>
      <c r="BS114" s="22">
        <f t="shared" si="63"/>
        <v>2.1256075089708482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497</v>
      </c>
      <c r="BZ114" s="13">
        <f>BY114*VLOOKUP('Données projet'!$B$12,Paramètres!$A$1:$I$89,3,0)*VLOOKUP('Données projet'!$B$12,Paramètres!$A$1:$I$89,5,0)</f>
        <v>297.20600000000002</v>
      </c>
      <c r="CA114" s="13">
        <f t="shared" si="93"/>
        <v>70.590415164571112</v>
      </c>
      <c r="CB114" s="20">
        <f t="shared" si="64"/>
        <v>640.57875641162809</v>
      </c>
      <c r="CC114" s="59">
        <f t="shared" si="65"/>
        <v>933.91208974496135</v>
      </c>
      <c r="CD114" s="59">
        <f ca="1">AVERAGE(OFFSET($CC$3,0,0,'Données projet'!$E$12+1,1))-AVERAGE(OFFSET($H$3,0,0,'Données projet'!$E$12+1,1))</f>
        <v>270.30888762640245</v>
      </c>
      <c r="CE114" s="59">
        <f t="shared" si="94"/>
        <v>202.23783851977691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0.43064943924243582</v>
      </c>
      <c r="CL114" s="21">
        <f>EXP(-LN(2)/25)*CL113+(1-EXP(-LN(2)/25))/(LN(2)/25)*Calculateur!CG114*Calculateur!CI114*VLOOKUP('Données projet'!$B$12,Paramètres!$A$1:$I$89,3,0)*0.475*44/12</f>
        <v>1.3013637355457861</v>
      </c>
      <c r="CM114" s="21">
        <f>EXP(-LN(2)/2)*CM113+(1-EXP(-LN(2)/2))/(LN(2)/2)*CG114*CJ114*VLOOKUP('Données projet'!$B$12,Paramètres!$A$1:$I$89,3,0)*0.475*44/12</f>
        <v>1.189277912391505E-11</v>
      </c>
      <c r="CN114" s="22">
        <f t="shared" si="66"/>
        <v>1.7320131748001146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-5.1159076974727213E-13</v>
      </c>
      <c r="CU114" s="17">
        <f>CT114*VLOOKUP('Données projet'!$B$13,Paramètres!$A$1:$I$89,3,0)*VLOOKUP('Données projet'!$B$13,Paramètres!$A$1:$I$89,5,0)</f>
        <v>-3.4317508834647017E-13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207.93042467236967</v>
      </c>
      <c r="CZ114" s="59">
        <f t="shared" si="96"/>
        <v>250.70954318710835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0.55315221451164043</v>
      </c>
      <c r="DG114" s="21">
        <f>EXP(-LN(2)/25)*DG113+(1-EXP(-LN(2)/25))/(LN(2)/25)*Calculateur!DB114*Calculateur!DD114*VLOOKUP('Données projet'!$B$13,Paramètres!$A$1:$I$89,3,0)*0.475*44/12</f>
        <v>1.8311758063892616</v>
      </c>
      <c r="DH114" s="21">
        <f>EXP(-LN(2)/2)*DH113+(1-EXP(-LN(2)/2))/(LN(2)/2)*DB114*DE114*VLOOKUP('Données projet'!$B$13,Paramètres!$A$1:$I$89,3,0)*0.475*44/12</f>
        <v>1.3034682929832196E-11</v>
      </c>
      <c r="DI114" s="22">
        <f t="shared" si="69"/>
        <v>2.3843280209139364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5.6843418860808015E-14</v>
      </c>
      <c r="DP114" s="17">
        <f>DO114*VLOOKUP('Données projet'!$B$14,Paramètres!$A$1:$I$89,3,0)*VLOOKUP('Données projet'!$B$14,Paramètres!$A$1:$I$89,5,0)</f>
        <v>3.813056537183002E-14</v>
      </c>
      <c r="DQ114" s="13">
        <f t="shared" si="97"/>
        <v>6.4086286045526829E-13</v>
      </c>
      <c r="DR114" s="20">
        <f t="shared" si="70"/>
        <v>1.1825802166488628E-12</v>
      </c>
      <c r="DS114" s="59">
        <f t="shared" si="71"/>
        <v>293.33333333333451</v>
      </c>
      <c r="DT114" s="59">
        <f ca="1">AVERAGE(OFFSET($DS$3,0,0,'Données projet'!$E$14+1,1))-AVERAGE(OFFSET($H$3,0,0,'Données projet'!$E$14+1,1))</f>
        <v>156.63226020379989</v>
      </c>
      <c r="DU114" s="59">
        <f t="shared" si="98"/>
        <v>196.0481096619543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0.91765605703963582</v>
      </c>
      <c r="EC114" s="21">
        <f>EXP(-LN(2)/2)*EC113+(1-EXP(-LN(2)/2))/(LN(2)/2)*DW114*DZ114*VLOOKUP('Données projet'!$B$14,Paramètres!$A$1:$I$89,3,0)*0.475*44/12</f>
        <v>5.8352386377755773E-12</v>
      </c>
      <c r="ED114" s="22">
        <f t="shared" si="72"/>
        <v>0.91765605704547104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5.0961538461538449</v>
      </c>
      <c r="EJ114" s="12">
        <f>IF('Données projet'!$A$192&gt;35,EJ113+EI114-ER113,IF(A114&lt;'Données projet'!$A$192,$EG$205^A114,IF(A114='Données projet'!$A$192,'Données projet'!$B$192,EJ113+EI114-ER113)))</f>
        <v>236.02564102564068</v>
      </c>
      <c r="EK114" s="17">
        <f>EJ114*VLOOKUP('Données projet'!$B$15,Paramètres!$A$1:$I$89,3,0)*VLOOKUP('Données projet'!$B$15,Paramètres!$A$1:$I$89,5,0)</f>
        <v>239.32999999999967</v>
      </c>
      <c r="EL114" s="13">
        <f t="shared" si="99"/>
        <v>58.295353272631196</v>
      </c>
      <c r="EM114" s="20">
        <f t="shared" si="73"/>
        <v>518.36415694983214</v>
      </c>
      <c r="EN114" s="59">
        <f t="shared" si="74"/>
        <v>811.69749028316551</v>
      </c>
      <c r="EO114" s="59">
        <f ca="1">AVERAGE(OFFSET($EN$3,0,0,'Données projet'!$E$15+1,1))-AVERAGE(OFFSET($H$3,0,0,'Données projet'!$E$15+1,1))</f>
        <v>190.21499310415584</v>
      </c>
      <c r="EP114" s="59">
        <f t="shared" si="100"/>
        <v>136.15730566500173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1.0583333333333342</v>
      </c>
      <c r="FE114" s="12">
        <f>IF('Données projet'!$A$218&gt;35,FE113+FD114-FM113,IF(A114&lt;'Données projet'!$A$218,$FB$205^A114,IF(A114='Données projet'!$A$218,'Données projet'!$B$218,FE113+FD114-FM113)))</f>
        <v>81.683333333333309</v>
      </c>
      <c r="FF114" s="17">
        <f>FE114*VLOOKUP('Données projet'!$B$16,Paramètres!$A$1:$I$89,3,0)*VLOOKUP('Données projet'!$B$16,Paramètres!$A$1:$I$89,5,0)</f>
        <v>94.099199999999954</v>
      </c>
      <c r="FG114" s="13">
        <f t="shared" si="101"/>
        <v>25.551276031514817</v>
      </c>
      <c r="FH114" s="20">
        <f t="shared" si="76"/>
        <v>208.39124575488822</v>
      </c>
      <c r="FI114" s="59">
        <f t="shared" si="77"/>
        <v>501.7245790882215</v>
      </c>
      <c r="FJ114" s="59">
        <f ca="1">AVERAGE(OFFSET($FI$3,0,0,'Données projet'!$E$16+1,1))-AVERAGE(OFFSET($H$3,0,0,'Données projet'!$E$16+1,1))</f>
        <v>14.847345852478327</v>
      </c>
      <c r="FK114" s="59">
        <f t="shared" si="102"/>
        <v>46.764428272166299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0.18784765018432653</v>
      </c>
      <c r="FS114" s="21">
        <f>EXP(-LN(2)/2)*FS113+(1-EXP(-LN(2)/2))/(LN(2)/2)*FM114*FP114*VLOOKUP('Données projet'!$B$16,Paramètres!$A$1:$I$89,3,0)*0.475*44/12</f>
        <v>1.2688528779223718E-12</v>
      </c>
      <c r="FT114" s="22">
        <f t="shared" si="78"/>
        <v>0.18784765018559538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6.8461538461538511</v>
      </c>
      <c r="N115" s="13">
        <f>IF('Données projet'!$A$36&gt;35,N114+M115-V114,IF(A115&lt;'Données projet'!$A$36,$K$205^A115,IF(A115='Données projet'!$A$36,'Données projet'!$B$36,N114+M115-V114)))</f>
        <v>309.41666666666686</v>
      </c>
      <c r="O115" s="13">
        <f>N115*VLOOKUP('Données projet'!$B$9,Paramètres!$A$1:$I$89,3,0)*VLOOKUP('Données projet'!$B$9,Paramètres!$A$1:$I$89,5,0)</f>
        <v>279.96020000000016</v>
      </c>
      <c r="P115" s="13">
        <f t="shared" si="87"/>
        <v>66.958597927408931</v>
      </c>
      <c r="Q115" s="20">
        <f t="shared" si="107"/>
        <v>604.21690639023745</v>
      </c>
      <c r="R115" s="59">
        <f t="shared" si="55"/>
        <v>897.55023972357071</v>
      </c>
      <c r="S115" s="59">
        <f ca="1">AVERAGE(OFFSET($R$3,0,0,'Données projet'!$E$9+1,1))-AVERAGE(OFFSET($H$3,0,0,'Données projet'!$E$9+1,1))</f>
        <v>221.7429870520005</v>
      </c>
      <c r="T115" s="59">
        <f t="shared" si="88"/>
        <v>182.2029938397186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-5.1159076974727213E-13</v>
      </c>
      <c r="AJ115" s="13">
        <f>AI115*VLOOKUP('Données projet'!$B$10,Paramètres!$A$1:$I$89,3,0)*VLOOKUP('Données projet'!$B$10,Paramètres!$A$1:$I$89,5,0)</f>
        <v>-4.0702161641092972E-13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260.20517190557814</v>
      </c>
      <c r="AO115" s="59">
        <f t="shared" si="90"/>
        <v>307.22009971147133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0.64319923455127459</v>
      </c>
      <c r="AV115" s="21">
        <f>EXP(-LN(2)/25)*AV114+(1-EXP(-LN(2)/25))/(LN(2)/25)*Calculateur!AQ115*Calculateur!AS115*VLOOKUP('Données projet'!$B$10,Paramètres!$A$1:$I$89,3,0)*0.475*44/12</f>
        <v>2.1124700602552533</v>
      </c>
      <c r="AW115" s="21">
        <f>EXP(-LN(2)/2)*AW114+(1-EXP(-LN(2)/2))/(LN(2)/2)*AQ115*AT115*VLOOKUP('Données projet'!$B$10,Paramètres!$A$1:$I$89,3,0)*0.475*44/12</f>
        <v>1.0931687144310347E-11</v>
      </c>
      <c r="AX115" s="21">
        <f t="shared" si="60"/>
        <v>2.7556692948174595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553.99999999999955</v>
      </c>
      <c r="BE115" s="13">
        <f>BD115*VLOOKUP('Données projet'!$B$11,Paramètres!$A$1:$I$89,3,0)*VLOOKUP('Données projet'!$B$11,Paramètres!$A$1:$I$89,5,0)</f>
        <v>331.29199999999975</v>
      </c>
      <c r="BF115" s="13">
        <f t="shared" si="91"/>
        <v>77.698110787752</v>
      </c>
      <c r="BG115" s="20">
        <f t="shared" si="61"/>
        <v>712.32444295533423</v>
      </c>
      <c r="BH115" s="59">
        <f t="shared" si="62"/>
        <v>1005.6577762886675</v>
      </c>
      <c r="BI115" s="59">
        <f ca="1">AVERAGE(OFFSET($BH$3,0,0,'Données projet'!$E$11+1,1))-AVERAGE(OFFSET($H$3,0,0,'Données projet'!$E$11+1,1))</f>
        <v>316.58509520829671</v>
      </c>
      <c r="BJ115" s="59">
        <f t="shared" si="92"/>
        <v>240.71332110643596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0.49960885525078402</v>
      </c>
      <c r="BQ115" s="21">
        <f>EXP(-LN(2)/25)*BQ114+(1-EXP(-LN(2)/25))/(LN(2)/25)*Calculateur!BL115*Calculateur!BN115*VLOOKUP('Données projet'!$B$11,Paramètres!$A$1:$I$89,3,0)*0.475*44/12</f>
        <v>1.5718159124227558</v>
      </c>
      <c r="BR115" s="21">
        <f>EXP(-LN(2)/2)*BR114+(1-EXP(-LN(2)/2))/(LN(2)/2)*BL115*BO115*VLOOKUP('Données projet'!$B$11,Paramètres!$A$1:$I$89,3,0)*0.475*44/12</f>
        <v>9.9768581413358919E-12</v>
      </c>
      <c r="BS115" s="22">
        <f t="shared" si="63"/>
        <v>2.0714247676835167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497</v>
      </c>
      <c r="BZ115" s="13">
        <f>BY115*VLOOKUP('Données projet'!$B$12,Paramètres!$A$1:$I$89,3,0)*VLOOKUP('Données projet'!$B$12,Paramètres!$A$1:$I$89,5,0)</f>
        <v>297.20600000000002</v>
      </c>
      <c r="CA115" s="13">
        <f t="shared" si="93"/>
        <v>70.590415164571112</v>
      </c>
      <c r="CB115" s="20">
        <f t="shared" si="64"/>
        <v>640.57875641162809</v>
      </c>
      <c r="CC115" s="59">
        <f t="shared" si="65"/>
        <v>933.91208974496135</v>
      </c>
      <c r="CD115" s="59">
        <f ca="1">AVERAGE(OFFSET($CC$3,0,0,'Données projet'!$E$12+1,1))-AVERAGE(OFFSET($H$3,0,0,'Données projet'!$E$12+1,1))</f>
        <v>270.30888762640245</v>
      </c>
      <c r="CE115" s="59">
        <f t="shared" si="94"/>
        <v>202.23783851977691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0.42220466640911308</v>
      </c>
      <c r="CL115" s="21">
        <f>EXP(-LN(2)/25)*CL114+(1-EXP(-LN(2)/25))/(LN(2)/25)*Calculateur!CG115*Calculateur!CI115*VLOOKUP('Données projet'!$B$12,Paramètres!$A$1:$I$89,3,0)*0.475*44/12</f>
        <v>1.2657778757615421</v>
      </c>
      <c r="CM115" s="21">
        <f>EXP(-LN(2)/2)*CM114+(1-EXP(-LN(2)/2))/(LN(2)/2)*CG115*CJ115*VLOOKUP('Données projet'!$B$12,Paramètres!$A$1:$I$89,3,0)*0.475*44/12</f>
        <v>8.4094647656741399E-12</v>
      </c>
      <c r="CN115" s="22">
        <f t="shared" si="66"/>
        <v>1.6879825421790646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-5.1159076974727213E-13</v>
      </c>
      <c r="CU115" s="17">
        <f>CT115*VLOOKUP('Données projet'!$B$13,Paramètres!$A$1:$I$89,3,0)*VLOOKUP('Données projet'!$B$13,Paramètres!$A$1:$I$89,5,0)</f>
        <v>-3.4317508834647017E-13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207.93042467236967</v>
      </c>
      <c r="CZ115" s="59">
        <f t="shared" si="96"/>
        <v>250.70954318710835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0.54230523697460353</v>
      </c>
      <c r="DG115" s="21">
        <f>EXP(-LN(2)/25)*DG114+(1-EXP(-LN(2)/25))/(LN(2)/25)*Calculateur!DB115*Calculateur!DD115*VLOOKUP('Données projet'!$B$13,Paramètres!$A$1:$I$89,3,0)*0.475*44/12</f>
        <v>1.7811022076661969</v>
      </c>
      <c r="DH115" s="21">
        <f>EXP(-LN(2)/2)*DH114+(1-EXP(-LN(2)/2))/(LN(2)/2)*DB115*DE115*VLOOKUP('Données projet'!$B$13,Paramètres!$A$1:$I$89,3,0)*0.475*44/12</f>
        <v>9.2169126903008805E-12</v>
      </c>
      <c r="DI115" s="22">
        <f t="shared" si="69"/>
        <v>2.3234074446500173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5.6843418860808015E-14</v>
      </c>
      <c r="DP115" s="17">
        <f>DO115*VLOOKUP('Données projet'!$B$14,Paramètres!$A$1:$I$89,3,0)*VLOOKUP('Données projet'!$B$14,Paramètres!$A$1:$I$89,5,0)</f>
        <v>3.813056537183002E-14</v>
      </c>
      <c r="DQ115" s="13">
        <f t="shared" si="97"/>
        <v>6.4086286045526829E-13</v>
      </c>
      <c r="DR115" s="20">
        <f t="shared" si="70"/>
        <v>1.1825802166488628E-12</v>
      </c>
      <c r="DS115" s="59">
        <f t="shared" si="71"/>
        <v>293.33333333333451</v>
      </c>
      <c r="DT115" s="59">
        <f ca="1">AVERAGE(OFFSET($DS$3,0,0,'Données projet'!$E$14+1,1))-AVERAGE(OFFSET($H$3,0,0,'Données projet'!$E$14+1,1))</f>
        <v>156.63226020379989</v>
      </c>
      <c r="DU115" s="59">
        <f t="shared" si="98"/>
        <v>196.0481096619543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0.89256270390245229</v>
      </c>
      <c r="EC115" s="21">
        <f>EXP(-LN(2)/2)*EC114+(1-EXP(-LN(2)/2))/(LN(2)/2)*DW115*DZ115*VLOOKUP('Données projet'!$B$14,Paramètres!$A$1:$I$89,3,0)*0.475*44/12</f>
        <v>4.1261368106128628E-12</v>
      </c>
      <c r="ED115" s="22">
        <f t="shared" si="72"/>
        <v>0.89256270390657844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5.0961538461538449</v>
      </c>
      <c r="EJ115" s="12">
        <f>IF('Données projet'!$A$192&gt;35,EJ114+EI115-ER114,IF(A115&lt;'Données projet'!$A$192,$EG$205^A115,IF(A115='Données projet'!$A$192,'Données projet'!$B$192,EJ114+EI115-ER114)))</f>
        <v>241.12179487179452</v>
      </c>
      <c r="EK115" s="17">
        <f>EJ115*VLOOKUP('Données projet'!$B$15,Paramètres!$A$1:$I$89,3,0)*VLOOKUP('Données projet'!$B$15,Paramètres!$A$1:$I$89,5,0)</f>
        <v>244.49749999999963</v>
      </c>
      <c r="EL115" s="13">
        <f t="shared" si="99"/>
        <v>59.406141432653072</v>
      </c>
      <c r="EM115" s="20">
        <f t="shared" si="73"/>
        <v>529.29884216187008</v>
      </c>
      <c r="EN115" s="59">
        <f t="shared" si="74"/>
        <v>822.63217549520346</v>
      </c>
      <c r="EO115" s="59">
        <f ca="1">AVERAGE(OFFSET($EN$3,0,0,'Données projet'!$E$15+1,1))-AVERAGE(OFFSET($H$3,0,0,'Données projet'!$E$15+1,1))</f>
        <v>190.21499310415584</v>
      </c>
      <c r="EP115" s="59">
        <f t="shared" si="100"/>
        <v>136.15730566500173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1.0583333333333342</v>
      </c>
      <c r="FE115" s="12">
        <f>IF('Données projet'!$A$218&gt;35,FE114+FD115-FM114,IF(A115&lt;'Données projet'!$A$218,$FB$205^A115,IF(A115='Données projet'!$A$218,'Données projet'!$B$218,FE114+FD115-FM114)))</f>
        <v>82.741666666666646</v>
      </c>
      <c r="FF115" s="17">
        <f>FE115*VLOOKUP('Données projet'!$B$16,Paramètres!$A$1:$I$89,3,0)*VLOOKUP('Données projet'!$B$16,Paramètres!$A$1:$I$89,5,0)</f>
        <v>95.318399999999968</v>
      </c>
      <c r="FG115" s="13">
        <f t="shared" si="101"/>
        <v>25.843577690931127</v>
      </c>
      <c r="FH115" s="20">
        <f t="shared" si="76"/>
        <v>211.02377781170495</v>
      </c>
      <c r="FI115" s="59">
        <f t="shared" si="77"/>
        <v>504.35711114503829</v>
      </c>
      <c r="FJ115" s="59">
        <f ca="1">AVERAGE(OFFSET($FI$3,0,0,'Données projet'!$E$16+1,1))-AVERAGE(OFFSET($H$3,0,0,'Données projet'!$E$16+1,1))</f>
        <v>14.847345852478327</v>
      </c>
      <c r="FK115" s="59">
        <f t="shared" si="102"/>
        <v>46.764428272166299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0.18271094631155754</v>
      </c>
      <c r="FS115" s="21">
        <f>EXP(-LN(2)/2)*FS114+(1-EXP(-LN(2)/2))/(LN(2)/2)*FM115*FP115*VLOOKUP('Données projet'!$B$16,Paramètres!$A$1:$I$89,3,0)*0.475*44/12</f>
        <v>8.9721447430697575E-13</v>
      </c>
      <c r="FT115" s="22">
        <f t="shared" si="78"/>
        <v>0.18271094631245477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6.8461538461538511</v>
      </c>
      <c r="N116" s="13">
        <f>IF('Données projet'!$A$36&gt;35,N115+M116-V115,IF(A116&lt;'Données projet'!$A$36,$K$205^A116,IF(A116='Données projet'!$A$36,'Données projet'!$B$36,N115+M116-V115)))</f>
        <v>316.26282051282072</v>
      </c>
      <c r="O116" s="13">
        <f>N116*VLOOKUP('Données projet'!$B$9,Paramètres!$A$1:$I$89,3,0)*VLOOKUP('Données projet'!$B$9,Paramètres!$A$1:$I$89,5,0)</f>
        <v>286.15460000000019</v>
      </c>
      <c r="P116" s="13">
        <f t="shared" si="87"/>
        <v>68.266002354364261</v>
      </c>
      <c r="Q116" s="20">
        <f t="shared" si="107"/>
        <v>617.28254910051817</v>
      </c>
      <c r="R116" s="59">
        <f t="shared" si="55"/>
        <v>910.61588243385154</v>
      </c>
      <c r="S116" s="59">
        <f ca="1">AVERAGE(OFFSET($R$3,0,0,'Données projet'!$E$9+1,1))-AVERAGE(OFFSET($H$3,0,0,'Données projet'!$E$9+1,1))</f>
        <v>221.7429870520005</v>
      </c>
      <c r="T116" s="59">
        <f t="shared" si="88"/>
        <v>182.2029938397186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-5.1159076974727213E-13</v>
      </c>
      <c r="AJ116" s="13">
        <f>AI116*VLOOKUP('Données projet'!$B$10,Paramètres!$A$1:$I$89,3,0)*VLOOKUP('Données projet'!$B$10,Paramètres!$A$1:$I$89,5,0)</f>
        <v>-4.0702161641092972E-13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260.20517190557814</v>
      </c>
      <c r="AO116" s="59">
        <f t="shared" si="90"/>
        <v>307.22009971147133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0.63058648987451948</v>
      </c>
      <c r="AV116" s="21">
        <f>EXP(-LN(2)/25)*AV115+(1-EXP(-LN(2)/25))/(LN(2)/25)*Calculateur!AQ116*Calculateur!AS116*VLOOKUP('Données projet'!$B$10,Paramètres!$A$1:$I$89,3,0)*0.475*44/12</f>
        <v>2.054704455367601</v>
      </c>
      <c r="AW116" s="21">
        <f>EXP(-LN(2)/2)*AW115+(1-EXP(-LN(2)/2))/(LN(2)/2)*AQ116*AT116*VLOOKUP('Données projet'!$B$10,Paramètres!$A$1:$I$89,3,0)*0.475*44/12</f>
        <v>7.7298701095516513E-12</v>
      </c>
      <c r="AX116" s="21">
        <f t="shared" si="60"/>
        <v>2.6852909452498501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553.99999999999955</v>
      </c>
      <c r="BE116" s="13">
        <f>BD116*VLOOKUP('Données projet'!$B$11,Paramètres!$A$1:$I$89,3,0)*VLOOKUP('Données projet'!$B$11,Paramètres!$A$1:$I$89,5,0)</f>
        <v>331.29199999999975</v>
      </c>
      <c r="BF116" s="13">
        <f t="shared" si="91"/>
        <v>77.698110787752</v>
      </c>
      <c r="BG116" s="20">
        <f t="shared" si="61"/>
        <v>712.32444295533423</v>
      </c>
      <c r="BH116" s="59">
        <f t="shared" si="62"/>
        <v>1005.6577762886675</v>
      </c>
      <c r="BI116" s="59">
        <f ca="1">AVERAGE(OFFSET($BH$3,0,0,'Données projet'!$E$11+1,1))-AVERAGE(OFFSET($H$3,0,0,'Données projet'!$E$11+1,1))</f>
        <v>316.58509520829671</v>
      </c>
      <c r="BJ116" s="59">
        <f t="shared" si="92"/>
        <v>240.71332110643596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0.48981183033062814</v>
      </c>
      <c r="BQ116" s="21">
        <f>EXP(-LN(2)/25)*BQ115+(1-EXP(-LN(2)/25))/(LN(2)/25)*Calculateur!BL116*Calculateur!BN116*VLOOKUP('Données projet'!$B$11,Paramètres!$A$1:$I$89,3,0)*0.475*44/12</f>
        <v>1.528834523639349</v>
      </c>
      <c r="BR116" s="21">
        <f>EXP(-LN(2)/2)*BR115+(1-EXP(-LN(2)/2))/(LN(2)/2)*BL116*BO116*VLOOKUP('Données projet'!$B$11,Paramètres!$A$1:$I$89,3,0)*0.475*44/12</f>
        <v>7.0547040466748241E-12</v>
      </c>
      <c r="BS116" s="22">
        <f t="shared" si="63"/>
        <v>2.0186463539770321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497</v>
      </c>
      <c r="BZ116" s="13">
        <f>BY116*VLOOKUP('Données projet'!$B$12,Paramètres!$A$1:$I$89,3,0)*VLOOKUP('Données projet'!$B$12,Paramètres!$A$1:$I$89,5,0)</f>
        <v>297.20600000000002</v>
      </c>
      <c r="CA116" s="13">
        <f t="shared" si="93"/>
        <v>70.590415164571112</v>
      </c>
      <c r="CB116" s="20">
        <f t="shared" si="64"/>
        <v>640.57875641162809</v>
      </c>
      <c r="CC116" s="59">
        <f t="shared" si="65"/>
        <v>933.91208974496135</v>
      </c>
      <c r="CD116" s="59">
        <f ca="1">AVERAGE(OFFSET($CC$3,0,0,'Données projet'!$E$12+1,1))-AVERAGE(OFFSET($H$3,0,0,'Données projet'!$E$12+1,1))</f>
        <v>270.30888762640245</v>
      </c>
      <c r="CE116" s="59">
        <f t="shared" si="94"/>
        <v>202.23783851977691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0.41392549042024895</v>
      </c>
      <c r="CL116" s="21">
        <f>EXP(-LN(2)/25)*CL115+(1-EXP(-LN(2)/25))/(LN(2)/25)*Calculateur!CG116*Calculateur!CI116*VLOOKUP('Données projet'!$B$12,Paramètres!$A$1:$I$89,3,0)*0.475*44/12</f>
        <v>1.2311651131844772</v>
      </c>
      <c r="CM116" s="21">
        <f>EXP(-LN(2)/2)*CM115+(1-EXP(-LN(2)/2))/(LN(2)/2)*CG116*CJ116*VLOOKUP('Données projet'!$B$12,Paramètres!$A$1:$I$89,3,0)*0.475*44/12</f>
        <v>5.9463895619575252E-12</v>
      </c>
      <c r="CN116" s="22">
        <f t="shared" si="66"/>
        <v>1.6450906036106725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-5.1159076974727213E-13</v>
      </c>
      <c r="CU116" s="17">
        <f>CT116*VLOOKUP('Données projet'!$B$13,Paramètres!$A$1:$I$89,3,0)*VLOOKUP('Données projet'!$B$13,Paramètres!$A$1:$I$89,5,0)</f>
        <v>-3.4317508834647017E-13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207.93042467236967</v>
      </c>
      <c r="CZ116" s="59">
        <f t="shared" si="96"/>
        <v>250.70954318710835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0.5316709620510649</v>
      </c>
      <c r="DG116" s="21">
        <f>EXP(-LN(2)/25)*DG115+(1-EXP(-LN(2)/25))/(LN(2)/25)*Calculateur!DB116*Calculateur!DD116*VLOOKUP('Données projet'!$B$13,Paramètres!$A$1:$I$89,3,0)*0.475*44/12</f>
        <v>1.7323978741334705</v>
      </c>
      <c r="DH116" s="21">
        <f>EXP(-LN(2)/2)*DH115+(1-EXP(-LN(2)/2))/(LN(2)/2)*DB116*DE116*VLOOKUP('Données projet'!$B$13,Paramètres!$A$1:$I$89,3,0)*0.475*44/12</f>
        <v>6.5173414649160978E-12</v>
      </c>
      <c r="DI116" s="22">
        <f t="shared" si="69"/>
        <v>2.2640688361910528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5.6843418860808015E-14</v>
      </c>
      <c r="DP116" s="17">
        <f>DO116*VLOOKUP('Données projet'!$B$14,Paramètres!$A$1:$I$89,3,0)*VLOOKUP('Données projet'!$B$14,Paramètres!$A$1:$I$89,5,0)</f>
        <v>3.813056537183002E-14</v>
      </c>
      <c r="DQ116" s="13">
        <f t="shared" si="97"/>
        <v>6.4086286045526829E-13</v>
      </c>
      <c r="DR116" s="20">
        <f t="shared" si="70"/>
        <v>1.1825802166488628E-12</v>
      </c>
      <c r="DS116" s="59">
        <f t="shared" si="71"/>
        <v>293.33333333333451</v>
      </c>
      <c r="DT116" s="59">
        <f ca="1">AVERAGE(OFFSET($DS$3,0,0,'Données projet'!$E$14+1,1))-AVERAGE(OFFSET($H$3,0,0,'Données projet'!$E$14+1,1))</f>
        <v>156.63226020379989</v>
      </c>
      <c r="DU116" s="59">
        <f t="shared" si="98"/>
        <v>196.0481096619543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0.86815552982640709</v>
      </c>
      <c r="EC116" s="21">
        <f>EXP(-LN(2)/2)*EC115+(1-EXP(-LN(2)/2))/(LN(2)/2)*DW116*DZ116*VLOOKUP('Données projet'!$B$14,Paramètres!$A$1:$I$89,3,0)*0.475*44/12</f>
        <v>2.9176193188877886E-12</v>
      </c>
      <c r="ED116" s="22">
        <f t="shared" si="72"/>
        <v>0.86815552982932476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>
        <f>VLOOKUP(A116,'Données projet'!$A$191:$I$211,2,0)</f>
        <v>246.21794871794873</v>
      </c>
      <c r="EH116" s="12">
        <f>VLOOKUP(A116,'Données projet'!$A$191:$I$211,9,0)</f>
        <v>5.0961538461538449</v>
      </c>
      <c r="EI116" s="12">
        <f t="array" ref="EI116">INDEX(EH:EH,MIN(IF(ISNUMBER(EH116:EH312),ROW(EH116:EH312),"")))</f>
        <v>5.0961538461538449</v>
      </c>
      <c r="EJ116" s="12">
        <f>IF('Données projet'!$A$192&gt;35,EJ115+EI116-ER115,IF(A116&lt;'Données projet'!$A$192,$EG$205^A116,IF(A116='Données projet'!$A$192,'Données projet'!$B$192,EJ115+EI116-ER115)))</f>
        <v>246.21794871794836</v>
      </c>
      <c r="EK116" s="17">
        <f>EJ116*VLOOKUP('Données projet'!$B$15,Paramètres!$A$1:$I$89,3,0)*VLOOKUP('Données projet'!$B$15,Paramètres!$A$1:$I$89,5,0)</f>
        <v>249.66499999999965</v>
      </c>
      <c r="EL116" s="13">
        <f t="shared" si="99"/>
        <v>60.514200047035814</v>
      </c>
      <c r="EM116" s="20">
        <f t="shared" si="73"/>
        <v>540.22877341525339</v>
      </c>
      <c r="EN116" s="59">
        <f t="shared" si="74"/>
        <v>833.56210674858676</v>
      </c>
      <c r="EO116" s="59">
        <f ca="1">AVERAGE(OFFSET($EN$3,0,0,'Données projet'!$E$15+1,1))-AVERAGE(OFFSET($H$3,0,0,'Données projet'!$E$15+1,1))</f>
        <v>190.21499310415584</v>
      </c>
      <c r="EP116" s="59">
        <f t="shared" si="100"/>
        <v>136.15730566500173</v>
      </c>
      <c r="EQ116" s="15">
        <f>IF(ISNA(VLOOKUP(A116,'Données projet'!$A$191:$I$211,3,0)),0,VLOOKUP(A116,'Données projet'!$A$191:$I$211,3,0))</f>
        <v>9</v>
      </c>
      <c r="ER116" s="15">
        <f>IF(ISNA(VLOOKUP(A116,'Données projet'!$A$191:$I$211,4,0)),0,VLOOKUP(A116,'Données projet'!$A$191:$I$211,4,0))</f>
        <v>31.602564102564099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1.0583333333333342</v>
      </c>
      <c r="FE116" s="12">
        <f>IF('Données projet'!$A$218&gt;35,FE115+FD116-FM115,IF(A116&lt;'Données projet'!$A$218,$FB$205^A116,IF(A116='Données projet'!$A$218,'Données projet'!$B$218,FE115+FD116-FM115)))</f>
        <v>83.799999999999983</v>
      </c>
      <c r="FF116" s="17">
        <f>FE116*VLOOKUP('Données projet'!$B$16,Paramètres!$A$1:$I$89,3,0)*VLOOKUP('Données projet'!$B$16,Paramètres!$A$1:$I$89,5,0)</f>
        <v>96.537599999999969</v>
      </c>
      <c r="FG116" s="13">
        <f t="shared" si="101"/>
        <v>26.135444468044945</v>
      </c>
      <c r="FH116" s="20">
        <f t="shared" si="76"/>
        <v>213.65555244851154</v>
      </c>
      <c r="FI116" s="59">
        <f t="shared" si="77"/>
        <v>506.98888578184483</v>
      </c>
      <c r="FJ116" s="59">
        <f ca="1">AVERAGE(OFFSET($FI$3,0,0,'Données projet'!$E$16+1,1))-AVERAGE(OFFSET($H$3,0,0,'Données projet'!$E$16+1,1))</f>
        <v>14.847345852478327</v>
      </c>
      <c r="FK116" s="59">
        <f t="shared" si="102"/>
        <v>46.764428272166299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0.17771470587631694</v>
      </c>
      <c r="FS116" s="21">
        <f>EXP(-LN(2)/2)*FS115+(1-EXP(-LN(2)/2))/(LN(2)/2)*FM116*FP116*VLOOKUP('Données projet'!$B$16,Paramètres!$A$1:$I$89,3,0)*0.475*44/12</f>
        <v>6.3442643896118599E-13</v>
      </c>
      <c r="FT116" s="22">
        <f t="shared" si="78"/>
        <v>0.17771470587695137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6.8461538461538511</v>
      </c>
      <c r="N117" s="13">
        <f>IF('Données projet'!$A$36&gt;35,N116+M117-V116,IF(A117&lt;'Données projet'!$A$36,$K$205^A117,IF(A117='Données projet'!$A$36,'Données projet'!$B$36,N116+M117-V116)))</f>
        <v>323.10897435897459</v>
      </c>
      <c r="O117" s="13">
        <f>N117*VLOOKUP('Données projet'!$B$9,Paramètres!$A$1:$I$89,3,0)*VLOOKUP('Données projet'!$B$9,Paramètres!$A$1:$I$89,5,0)</f>
        <v>292.34900000000022</v>
      </c>
      <c r="P117" s="13">
        <f t="shared" si="87"/>
        <v>69.570116369442928</v>
      </c>
      <c r="Q117" s="20">
        <f t="shared" si="107"/>
        <v>630.34246101011342</v>
      </c>
      <c r="R117" s="59">
        <f t="shared" si="55"/>
        <v>923.6757943434468</v>
      </c>
      <c r="S117" s="59">
        <f ca="1">AVERAGE(OFFSET($R$3,0,0,'Données projet'!$E$9+1,1))-AVERAGE(OFFSET($H$3,0,0,'Données projet'!$E$9+1,1))</f>
        <v>221.7429870520005</v>
      </c>
      <c r="T117" s="59">
        <f t="shared" si="88"/>
        <v>182.2029938397186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-5.1159076974727213E-13</v>
      </c>
      <c r="AJ117" s="13">
        <f>AI117*VLOOKUP('Données projet'!$B$10,Paramètres!$A$1:$I$89,3,0)*VLOOKUP('Données projet'!$B$10,Paramètres!$A$1:$I$89,5,0)</f>
        <v>-4.0702161641092972E-13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260.20517190557814</v>
      </c>
      <c r="AO117" s="59">
        <f t="shared" si="90"/>
        <v>307.22009971147133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0.61822107342786092</v>
      </c>
      <c r="AV117" s="21">
        <f>EXP(-LN(2)/25)*AV116+(1-EXP(-LN(2)/25))/(LN(2)/25)*Calculateur!AQ117*Calculateur!AS117*VLOOKUP('Données projet'!$B$10,Paramètres!$A$1:$I$89,3,0)*0.475*44/12</f>
        <v>1.9985184539833627</v>
      </c>
      <c r="AW117" s="21">
        <f>EXP(-LN(2)/2)*AW116+(1-EXP(-LN(2)/2))/(LN(2)/2)*AQ117*AT117*VLOOKUP('Données projet'!$B$10,Paramètres!$A$1:$I$89,3,0)*0.475*44/12</f>
        <v>5.4658435721551737E-12</v>
      </c>
      <c r="AX117" s="21">
        <f t="shared" si="60"/>
        <v>2.6167395274166894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553.99999999999955</v>
      </c>
      <c r="BE117" s="13">
        <f>BD117*VLOOKUP('Données projet'!$B$11,Paramètres!$A$1:$I$89,3,0)*VLOOKUP('Données projet'!$B$11,Paramètres!$A$1:$I$89,5,0)</f>
        <v>331.29199999999975</v>
      </c>
      <c r="BF117" s="13">
        <f t="shared" si="91"/>
        <v>77.698110787752</v>
      </c>
      <c r="BG117" s="20">
        <f t="shared" si="61"/>
        <v>712.32444295533423</v>
      </c>
      <c r="BH117" s="59">
        <f t="shared" si="62"/>
        <v>1005.6577762886675</v>
      </c>
      <c r="BI117" s="59">
        <f ca="1">AVERAGE(OFFSET($BH$3,0,0,'Données projet'!$E$11+1,1))-AVERAGE(OFFSET($H$3,0,0,'Données projet'!$E$11+1,1))</f>
        <v>316.58509520829671</v>
      </c>
      <c r="BJ117" s="59">
        <f t="shared" si="92"/>
        <v>240.71332110643596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0.48020691909356134</v>
      </c>
      <c r="BQ117" s="21">
        <f>EXP(-LN(2)/25)*BQ116+(1-EXP(-LN(2)/25))/(LN(2)/25)*Calculateur!BL117*Calculateur!BN117*VLOOKUP('Données projet'!$B$11,Paramètres!$A$1:$I$89,3,0)*0.475*44/12</f>
        <v>1.4870284631925177</v>
      </c>
      <c r="BR117" s="21">
        <f>EXP(-LN(2)/2)*BR116+(1-EXP(-LN(2)/2))/(LN(2)/2)*BL117*BO117*VLOOKUP('Données projet'!$B$11,Paramètres!$A$1:$I$89,3,0)*0.475*44/12</f>
        <v>4.9884290706679467E-12</v>
      </c>
      <c r="BS117" s="22">
        <f t="shared" si="63"/>
        <v>1.9672353822910675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497</v>
      </c>
      <c r="BZ117" s="13">
        <f>BY117*VLOOKUP('Données projet'!$B$12,Paramètres!$A$1:$I$89,3,0)*VLOOKUP('Données projet'!$B$12,Paramètres!$A$1:$I$89,5,0)</f>
        <v>297.20600000000002</v>
      </c>
      <c r="CA117" s="13">
        <f t="shared" si="93"/>
        <v>70.590415164571112</v>
      </c>
      <c r="CB117" s="20">
        <f t="shared" si="64"/>
        <v>640.57875641162809</v>
      </c>
      <c r="CC117" s="59">
        <f t="shared" si="65"/>
        <v>933.91208974496135</v>
      </c>
      <c r="CD117" s="59">
        <f ca="1">AVERAGE(OFFSET($CC$3,0,0,'Données projet'!$E$12+1,1))-AVERAGE(OFFSET($H$3,0,0,'Données projet'!$E$12+1,1))</f>
        <v>270.30888762640245</v>
      </c>
      <c r="CE117" s="59">
        <f t="shared" si="94"/>
        <v>202.23783851977691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0.40580866402272775</v>
      </c>
      <c r="CL117" s="21">
        <f>EXP(-LN(2)/25)*CL116+(1-EXP(-LN(2)/25))/(LN(2)/25)*Calculateur!CG117*Calculateur!CI117*VLOOKUP('Données projet'!$B$12,Paramètres!$A$1:$I$89,3,0)*0.475*44/12</f>
        <v>1.1974988384202883</v>
      </c>
      <c r="CM117" s="21">
        <f>EXP(-LN(2)/2)*CM116+(1-EXP(-LN(2)/2))/(LN(2)/2)*CG117*CJ117*VLOOKUP('Données projet'!$B$12,Paramètres!$A$1:$I$89,3,0)*0.475*44/12</f>
        <v>4.20473238283707E-12</v>
      </c>
      <c r="CN117" s="22">
        <f t="shared" si="66"/>
        <v>1.6033075024472208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-5.1159076974727213E-13</v>
      </c>
      <c r="CU117" s="17">
        <f>CT117*VLOOKUP('Données projet'!$B$13,Paramètres!$A$1:$I$89,3,0)*VLOOKUP('Données projet'!$B$13,Paramètres!$A$1:$I$89,5,0)</f>
        <v>-3.4317508834647017E-13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207.93042467236967</v>
      </c>
      <c r="CZ117" s="59">
        <f t="shared" si="96"/>
        <v>250.70954318710835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0.52124521877250962</v>
      </c>
      <c r="DG117" s="21">
        <f>EXP(-LN(2)/25)*DG116+(1-EXP(-LN(2)/25))/(LN(2)/25)*Calculateur!DB117*Calculateur!DD117*VLOOKUP('Données projet'!$B$13,Paramètres!$A$1:$I$89,3,0)*0.475*44/12</f>
        <v>1.6850253631624459</v>
      </c>
      <c r="DH117" s="21">
        <f>EXP(-LN(2)/2)*DH116+(1-EXP(-LN(2)/2))/(LN(2)/2)*DB117*DE117*VLOOKUP('Données projet'!$B$13,Paramètres!$A$1:$I$89,3,0)*0.475*44/12</f>
        <v>4.6084563451504402E-12</v>
      </c>
      <c r="DI117" s="22">
        <f t="shared" si="69"/>
        <v>2.2062705819395636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5.6843418860808015E-14</v>
      </c>
      <c r="DP117" s="17">
        <f>DO117*VLOOKUP('Données projet'!$B$14,Paramètres!$A$1:$I$89,3,0)*VLOOKUP('Données projet'!$B$14,Paramètres!$A$1:$I$89,5,0)</f>
        <v>3.813056537183002E-14</v>
      </c>
      <c r="DQ117" s="13">
        <f t="shared" si="97"/>
        <v>6.4086286045526829E-13</v>
      </c>
      <c r="DR117" s="20">
        <f t="shared" si="70"/>
        <v>1.1825802166488628E-12</v>
      </c>
      <c r="DS117" s="59">
        <f t="shared" si="71"/>
        <v>293.33333333333451</v>
      </c>
      <c r="DT117" s="59">
        <f ca="1">AVERAGE(OFFSET($DS$3,0,0,'Données projet'!$E$14+1,1))-AVERAGE(OFFSET($H$3,0,0,'Données projet'!$E$14+1,1))</f>
        <v>156.63226020379989</v>
      </c>
      <c r="DU117" s="59">
        <f t="shared" si="98"/>
        <v>196.0481096619543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0.84441577120898892</v>
      </c>
      <c r="EC117" s="21">
        <f>EXP(-LN(2)/2)*EC116+(1-EXP(-LN(2)/2))/(LN(2)/2)*DW117*DZ117*VLOOKUP('Données projet'!$B$14,Paramètres!$A$1:$I$89,3,0)*0.475*44/12</f>
        <v>2.0630684053064314E-12</v>
      </c>
      <c r="ED117" s="22">
        <f t="shared" si="72"/>
        <v>0.84441577121105194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5.3066239316239274</v>
      </c>
      <c r="EJ117" s="12">
        <f>IF('Données projet'!$A$192&gt;35,EJ116+EI117-ER116,IF(A117&lt;'Données projet'!$A$192,$EG$205^A117,IF(A117='Données projet'!$A$192,'Données projet'!$B$192,EJ116+EI117-ER116)))</f>
        <v>219.9220085470082</v>
      </c>
      <c r="EK117" s="17">
        <f>EJ117*VLOOKUP('Données projet'!$B$15,Paramètres!$A$1:$I$89,3,0)*VLOOKUP('Données projet'!$B$15,Paramètres!$A$1:$I$89,5,0)</f>
        <v>223.00091666666631</v>
      </c>
      <c r="EL117" s="13">
        <f t="shared" si="99"/>
        <v>54.766604945604634</v>
      </c>
      <c r="EM117" s="20">
        <f t="shared" si="73"/>
        <v>483.77843347470525</v>
      </c>
      <c r="EN117" s="59">
        <f t="shared" si="74"/>
        <v>777.11176680803851</v>
      </c>
      <c r="EO117" s="59">
        <f ca="1">AVERAGE(OFFSET($EN$3,0,0,'Données projet'!$E$15+1,1))-AVERAGE(OFFSET($H$3,0,0,'Données projet'!$E$15+1,1))</f>
        <v>190.21499310415584</v>
      </c>
      <c r="EP117" s="59">
        <f t="shared" si="100"/>
        <v>136.15730566500173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1.0583333333333342</v>
      </c>
      <c r="FE117" s="12">
        <f>IF('Données projet'!$A$218&gt;35,FE116+FD117-FM116,IF(A117&lt;'Données projet'!$A$218,$FB$205^A117,IF(A117='Données projet'!$A$218,'Données projet'!$B$218,FE116+FD117-FM116)))</f>
        <v>84.85833333333332</v>
      </c>
      <c r="FF117" s="17">
        <f>FE117*VLOOKUP('Données projet'!$B$16,Paramètres!$A$1:$I$89,3,0)*VLOOKUP('Données projet'!$B$16,Paramètres!$A$1:$I$89,5,0)</f>
        <v>97.756799999999984</v>
      </c>
      <c r="FG117" s="13">
        <f t="shared" si="101"/>
        <v>26.426882490225758</v>
      </c>
      <c r="FH117" s="20">
        <f t="shared" si="76"/>
        <v>216.28658033714316</v>
      </c>
      <c r="FI117" s="59">
        <f t="shared" si="77"/>
        <v>509.61991367047648</v>
      </c>
      <c r="FJ117" s="59">
        <f ca="1">AVERAGE(OFFSET($FI$3,0,0,'Données projet'!$E$16+1,1))-AVERAGE(OFFSET($H$3,0,0,'Données projet'!$E$16+1,1))</f>
        <v>14.847345852478327</v>
      </c>
      <c r="FK117" s="59">
        <f t="shared" si="102"/>
        <v>46.764428272166299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0.17285508789851883</v>
      </c>
      <c r="FS117" s="21">
        <f>EXP(-LN(2)/2)*FS116+(1-EXP(-LN(2)/2))/(LN(2)/2)*FM117*FP117*VLOOKUP('Données projet'!$B$16,Paramètres!$A$1:$I$89,3,0)*0.475*44/12</f>
        <v>4.4860723715348793E-13</v>
      </c>
      <c r="FT117" s="22">
        <f t="shared" si="78"/>
        <v>0.17285508789896745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6.8461538461538511</v>
      </c>
      <c r="N118" s="13">
        <f>IF('Données projet'!$A$36&gt;35,N117+M118-V117,IF(A118&lt;'Données projet'!$A$36,$K$205^A118,IF(A118='Données projet'!$A$36,'Données projet'!$B$36,N117+M118-V117)))</f>
        <v>329.95512820512846</v>
      </c>
      <c r="O118" s="13">
        <f>N118*VLOOKUP('Données projet'!$B$9,Paramètres!$A$1:$I$89,3,0)*VLOOKUP('Données projet'!$B$9,Paramètres!$A$1:$I$89,5,0)</f>
        <v>298.54340000000025</v>
      </c>
      <c r="P118" s="13">
        <f t="shared" si="87"/>
        <v>70.871017722198957</v>
      </c>
      <c r="Q118" s="20">
        <f t="shared" si="107"/>
        <v>643.39677753283024</v>
      </c>
      <c r="R118" s="59">
        <f t="shared" si="55"/>
        <v>936.73011086616361</v>
      </c>
      <c r="S118" s="59">
        <f ca="1">AVERAGE(OFFSET($R$3,0,0,'Données projet'!$E$9+1,1))-AVERAGE(OFFSET($H$3,0,0,'Données projet'!$E$9+1,1))</f>
        <v>221.7429870520005</v>
      </c>
      <c r="T118" s="59">
        <f t="shared" si="88"/>
        <v>182.2029938397186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-5.1159076974727213E-13</v>
      </c>
      <c r="AJ118" s="13">
        <f>AI118*VLOOKUP('Données projet'!$B$10,Paramètres!$A$1:$I$89,3,0)*VLOOKUP('Données projet'!$B$10,Paramètres!$A$1:$I$89,5,0)</f>
        <v>-4.0702161641092972E-13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260.20517190557814</v>
      </c>
      <c r="AO118" s="59">
        <f t="shared" si="90"/>
        <v>307.22009971147133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0.606098135255562</v>
      </c>
      <c r="AV118" s="21">
        <f>EXP(-LN(2)/25)*AV117+(1-EXP(-LN(2)/25))/(LN(2)/25)*Calculateur!AQ118*Calculateur!AS118*VLOOKUP('Données projet'!$B$10,Paramètres!$A$1:$I$89,3,0)*0.475*44/12</f>
        <v>1.9438688617616697</v>
      </c>
      <c r="AW118" s="21">
        <f>EXP(-LN(2)/2)*AW117+(1-EXP(-LN(2)/2))/(LN(2)/2)*AQ118*AT118*VLOOKUP('Données projet'!$B$10,Paramètres!$A$1:$I$89,3,0)*0.475*44/12</f>
        <v>3.8649350547758257E-12</v>
      </c>
      <c r="AX118" s="21">
        <f t="shared" si="60"/>
        <v>2.5499669970210967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553.99999999999955</v>
      </c>
      <c r="BE118" s="13">
        <f>BD118*VLOOKUP('Données projet'!$B$11,Paramètres!$A$1:$I$89,3,0)*VLOOKUP('Données projet'!$B$11,Paramètres!$A$1:$I$89,5,0)</f>
        <v>331.29199999999975</v>
      </c>
      <c r="BF118" s="13">
        <f t="shared" si="91"/>
        <v>77.698110787752</v>
      </c>
      <c r="BG118" s="20">
        <f t="shared" si="61"/>
        <v>712.32444295533423</v>
      </c>
      <c r="BH118" s="59">
        <f t="shared" si="62"/>
        <v>1005.6577762886675</v>
      </c>
      <c r="BI118" s="59">
        <f ca="1">AVERAGE(OFFSET($BH$3,0,0,'Données projet'!$E$11+1,1))-AVERAGE(OFFSET($H$3,0,0,'Données projet'!$E$11+1,1))</f>
        <v>316.58509520829671</v>
      </c>
      <c r="BJ118" s="59">
        <f t="shared" si="92"/>
        <v>240.71332110643596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0.47079035430743604</v>
      </c>
      <c r="BQ118" s="21">
        <f>EXP(-LN(2)/25)*BQ117+(1-EXP(-LN(2)/25))/(LN(2)/25)*Calculateur!BL118*Calculateur!BN118*VLOOKUP('Données projet'!$B$11,Paramètres!$A$1:$I$89,3,0)*0.475*44/12</f>
        <v>1.4463655916670901</v>
      </c>
      <c r="BR118" s="21">
        <f>EXP(-LN(2)/2)*BR117+(1-EXP(-LN(2)/2))/(LN(2)/2)*BL118*BO118*VLOOKUP('Données projet'!$B$11,Paramètres!$A$1:$I$89,3,0)*0.475*44/12</f>
        <v>3.5273520233374125E-12</v>
      </c>
      <c r="BS118" s="22">
        <f t="shared" si="63"/>
        <v>1.9171559459780536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497</v>
      </c>
      <c r="BZ118" s="13">
        <f>BY118*VLOOKUP('Données projet'!$B$12,Paramètres!$A$1:$I$89,3,0)*VLOOKUP('Données projet'!$B$12,Paramètres!$A$1:$I$89,5,0)</f>
        <v>297.20600000000002</v>
      </c>
      <c r="CA118" s="13">
        <f t="shared" si="93"/>
        <v>70.590415164571112</v>
      </c>
      <c r="CB118" s="20">
        <f t="shared" si="64"/>
        <v>640.57875641162809</v>
      </c>
      <c r="CC118" s="59">
        <f t="shared" si="65"/>
        <v>933.91208974496135</v>
      </c>
      <c r="CD118" s="59">
        <f ca="1">AVERAGE(OFFSET($CC$3,0,0,'Données projet'!$E$12+1,1))-AVERAGE(OFFSET($H$3,0,0,'Données projet'!$E$12+1,1))</f>
        <v>270.30888762640245</v>
      </c>
      <c r="CE118" s="59">
        <f t="shared" si="94"/>
        <v>202.23783851977691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0.39785100364008663</v>
      </c>
      <c r="CL118" s="21">
        <f>EXP(-LN(2)/25)*CL117+(1-EXP(-LN(2)/25))/(LN(2)/25)*Calculateur!CG118*Calculateur!CI118*VLOOKUP('Données projet'!$B$12,Paramètres!$A$1:$I$89,3,0)*0.475*44/12</f>
        <v>1.1647531697099585</v>
      </c>
      <c r="CM118" s="21">
        <f>EXP(-LN(2)/2)*CM117+(1-EXP(-LN(2)/2))/(LN(2)/2)*CG118*CJ118*VLOOKUP('Données projet'!$B$12,Paramètres!$A$1:$I$89,3,0)*0.475*44/12</f>
        <v>2.9731947809787626E-12</v>
      </c>
      <c r="CN118" s="22">
        <f t="shared" si="66"/>
        <v>1.5626041733530183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-5.1159076974727213E-13</v>
      </c>
      <c r="CU118" s="17">
        <f>CT118*VLOOKUP('Données projet'!$B$13,Paramètres!$A$1:$I$89,3,0)*VLOOKUP('Données projet'!$B$13,Paramètres!$A$1:$I$89,5,0)</f>
        <v>-3.4317508834647017E-13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207.93042467236967</v>
      </c>
      <c r="CZ118" s="59">
        <f t="shared" si="96"/>
        <v>250.70954318710835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0.51102391796057134</v>
      </c>
      <c r="DG118" s="21">
        <f>EXP(-LN(2)/25)*DG117+(1-EXP(-LN(2)/25))/(LN(2)/25)*Calculateur!DB118*Calculateur!DD118*VLOOKUP('Données projet'!$B$13,Paramètres!$A$1:$I$89,3,0)*0.475*44/12</f>
        <v>1.638948255995136</v>
      </c>
      <c r="DH118" s="21">
        <f>EXP(-LN(2)/2)*DH117+(1-EXP(-LN(2)/2))/(LN(2)/2)*DB118*DE118*VLOOKUP('Données projet'!$B$13,Paramètres!$A$1:$I$89,3,0)*0.475*44/12</f>
        <v>3.2586707324580489E-12</v>
      </c>
      <c r="DI118" s="22">
        <f t="shared" si="69"/>
        <v>2.1499721739589663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5.6843418860808015E-14</v>
      </c>
      <c r="DP118" s="17">
        <f>DO118*VLOOKUP('Données projet'!$B$14,Paramètres!$A$1:$I$89,3,0)*VLOOKUP('Données projet'!$B$14,Paramètres!$A$1:$I$89,5,0)</f>
        <v>3.813056537183002E-14</v>
      </c>
      <c r="DQ118" s="13">
        <f t="shared" si="97"/>
        <v>6.4086286045526829E-13</v>
      </c>
      <c r="DR118" s="20">
        <f t="shared" si="70"/>
        <v>1.1825802166488628E-12</v>
      </c>
      <c r="DS118" s="59">
        <f t="shared" si="71"/>
        <v>293.33333333333451</v>
      </c>
      <c r="DT118" s="59">
        <f ca="1">AVERAGE(OFFSET($DS$3,0,0,'Données projet'!$E$14+1,1))-AVERAGE(OFFSET($H$3,0,0,'Données projet'!$E$14+1,1))</f>
        <v>156.63226020379989</v>
      </c>
      <c r="DU118" s="59">
        <f t="shared" si="98"/>
        <v>196.0481096619543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0.82132517753938361</v>
      </c>
      <c r="EC118" s="21">
        <f>EXP(-LN(2)/2)*EC117+(1-EXP(-LN(2)/2))/(LN(2)/2)*DW118*DZ118*VLOOKUP('Données projet'!$B$14,Paramètres!$A$1:$I$89,3,0)*0.475*44/12</f>
        <v>1.4588096594438943E-12</v>
      </c>
      <c r="ED118" s="22">
        <f t="shared" si="72"/>
        <v>0.82132517754084244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5.3066239316239274</v>
      </c>
      <c r="EJ118" s="12">
        <f>IF('Données projet'!$A$192&gt;35,EJ117+EI118-ER117,IF(A118&lt;'Données projet'!$A$192,$EG$205^A118,IF(A118='Données projet'!$A$192,'Données projet'!$B$192,EJ117+EI118-ER117)))</f>
        <v>225.22863247863214</v>
      </c>
      <c r="EK118" s="17">
        <f>EJ118*VLOOKUP('Données projet'!$B$15,Paramètres!$A$1:$I$89,3,0)*VLOOKUP('Données projet'!$B$15,Paramètres!$A$1:$I$89,5,0)</f>
        <v>228.38183333333299</v>
      </c>
      <c r="EL118" s="13">
        <f t="shared" si="99"/>
        <v>55.932652422184837</v>
      </c>
      <c r="EM118" s="20">
        <f t="shared" si="73"/>
        <v>495.18106269086019</v>
      </c>
      <c r="EN118" s="59">
        <f t="shared" si="74"/>
        <v>788.5143960241935</v>
      </c>
      <c r="EO118" s="59">
        <f ca="1">AVERAGE(OFFSET($EN$3,0,0,'Données projet'!$E$15+1,1))-AVERAGE(OFFSET($H$3,0,0,'Données projet'!$E$15+1,1))</f>
        <v>190.21499310415584</v>
      </c>
      <c r="EP118" s="59">
        <f t="shared" si="100"/>
        <v>136.15730566500173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1.0583333333333342</v>
      </c>
      <c r="FE118" s="12">
        <f>IF('Données projet'!$A$218&gt;35,FE117+FD118-FM117,IF(A118&lt;'Données projet'!$A$218,$FB$205^A118,IF(A118='Données projet'!$A$218,'Données projet'!$B$218,FE117+FD118-FM117)))</f>
        <v>85.916666666666657</v>
      </c>
      <c r="FF118" s="17">
        <f>FE118*VLOOKUP('Données projet'!$B$16,Paramètres!$A$1:$I$89,3,0)*VLOOKUP('Données projet'!$B$16,Paramètres!$A$1:$I$89,5,0)</f>
        <v>98.975999999999985</v>
      </c>
      <c r="FG118" s="13">
        <f t="shared" si="101"/>
        <v>26.717897723214282</v>
      </c>
      <c r="FH118" s="20">
        <f t="shared" si="76"/>
        <v>218.91687186793149</v>
      </c>
      <c r="FI118" s="59">
        <f t="shared" si="77"/>
        <v>512.25020520126486</v>
      </c>
      <c r="FJ118" s="59">
        <f ca="1">AVERAGE(OFFSET($FI$3,0,0,'Données projet'!$E$16+1,1))-AVERAGE(OFFSET($H$3,0,0,'Données projet'!$E$16+1,1))</f>
        <v>14.847345852478327</v>
      </c>
      <c r="FK118" s="59">
        <f t="shared" si="102"/>
        <v>46.764428272166299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0.16812835642987983</v>
      </c>
      <c r="FS118" s="21">
        <f>EXP(-LN(2)/2)*FS117+(1-EXP(-LN(2)/2))/(LN(2)/2)*FM118*FP118*VLOOKUP('Données projet'!$B$16,Paramètres!$A$1:$I$89,3,0)*0.475*44/12</f>
        <v>3.1721321948059305E-13</v>
      </c>
      <c r="FT118" s="22">
        <f t="shared" si="78"/>
        <v>0.16812835643019705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6.8461538461538511</v>
      </c>
      <c r="N119" s="13">
        <f>IF('Données projet'!$A$36&gt;35,N118+M119-V118,IF(A119&lt;'Données projet'!$A$36,$K$205^A119,IF(A119='Données projet'!$A$36,'Données projet'!$B$36,N118+M119-V118)))</f>
        <v>336.80128205128233</v>
      </c>
      <c r="O119" s="13">
        <f>N119*VLOOKUP('Données projet'!$B$9,Paramètres!$A$1:$I$89,3,0)*VLOOKUP('Données projet'!$B$9,Paramètres!$A$1:$I$89,5,0)</f>
        <v>304.73780000000022</v>
      </c>
      <c r="P119" s="13">
        <f t="shared" si="87"/>
        <v>72.168780751383082</v>
      </c>
      <c r="Q119" s="20">
        <f t="shared" si="107"/>
        <v>656.44562814199264</v>
      </c>
      <c r="R119" s="59">
        <f t="shared" si="55"/>
        <v>949.77896147532601</v>
      </c>
      <c r="S119" s="59">
        <f ca="1">AVERAGE(OFFSET($R$3,0,0,'Données projet'!$E$9+1,1))-AVERAGE(OFFSET($H$3,0,0,'Données projet'!$E$9+1,1))</f>
        <v>221.7429870520005</v>
      </c>
      <c r="T119" s="59">
        <f t="shared" si="88"/>
        <v>182.2029938397186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-5.1159076974727213E-13</v>
      </c>
      <c r="AJ119" s="13">
        <f>AI119*VLOOKUP('Données projet'!$B$10,Paramètres!$A$1:$I$89,3,0)*VLOOKUP('Données projet'!$B$10,Paramètres!$A$1:$I$89,5,0)</f>
        <v>-4.0702161641092972E-13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260.20517190557814</v>
      </c>
      <c r="AO119" s="59">
        <f t="shared" si="90"/>
        <v>307.22009971147133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0.59421292050655972</v>
      </c>
      <c r="AV119" s="21">
        <f>EXP(-LN(2)/25)*AV118+(1-EXP(-LN(2)/25))/(LN(2)/25)*Calculateur!AQ119*Calculateur!AS119*VLOOKUP('Données projet'!$B$10,Paramètres!$A$1:$I$89,3,0)*0.475*44/12</f>
        <v>1.8907136655131762</v>
      </c>
      <c r="AW119" s="21">
        <f>EXP(-LN(2)/2)*AW118+(1-EXP(-LN(2)/2))/(LN(2)/2)*AQ119*AT119*VLOOKUP('Données projet'!$B$10,Paramètres!$A$1:$I$89,3,0)*0.475*44/12</f>
        <v>2.7329217860775869E-12</v>
      </c>
      <c r="AX119" s="21">
        <f t="shared" si="60"/>
        <v>2.484926586022469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553.99999999999955</v>
      </c>
      <c r="BE119" s="13">
        <f>BD119*VLOOKUP('Données projet'!$B$11,Paramètres!$A$1:$I$89,3,0)*VLOOKUP('Données projet'!$B$11,Paramètres!$A$1:$I$89,5,0)</f>
        <v>331.29199999999975</v>
      </c>
      <c r="BF119" s="13">
        <f t="shared" si="91"/>
        <v>77.698110787752</v>
      </c>
      <c r="BG119" s="20">
        <f t="shared" si="61"/>
        <v>712.32444295533423</v>
      </c>
      <c r="BH119" s="59">
        <f t="shared" si="62"/>
        <v>1005.6577762886675</v>
      </c>
      <c r="BI119" s="59">
        <f ca="1">AVERAGE(OFFSET($BH$3,0,0,'Données projet'!$E$11+1,1))-AVERAGE(OFFSET($H$3,0,0,'Données projet'!$E$11+1,1))</f>
        <v>316.58509520829671</v>
      </c>
      <c r="BJ119" s="59">
        <f t="shared" si="92"/>
        <v>240.71332110643596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0.46155844261322926</v>
      </c>
      <c r="BQ119" s="21">
        <f>EXP(-LN(2)/25)*BQ118+(1-EXP(-LN(2)/25))/(LN(2)/25)*Calculateur!BL119*Calculateur!BN119*VLOOKUP('Données projet'!$B$11,Paramètres!$A$1:$I$89,3,0)*0.475*44/12</f>
        <v>1.4068146485018929</v>
      </c>
      <c r="BR119" s="21">
        <f>EXP(-LN(2)/2)*BR118+(1-EXP(-LN(2)/2))/(LN(2)/2)*BL119*BO119*VLOOKUP('Données projet'!$B$11,Paramètres!$A$1:$I$89,3,0)*0.475*44/12</f>
        <v>2.4942145353339734E-12</v>
      </c>
      <c r="BS119" s="22">
        <f t="shared" si="63"/>
        <v>1.8683730911176164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497</v>
      </c>
      <c r="BZ119" s="13">
        <f>BY119*VLOOKUP('Données projet'!$B$12,Paramètres!$A$1:$I$89,3,0)*VLOOKUP('Données projet'!$B$12,Paramètres!$A$1:$I$89,5,0)</f>
        <v>297.20600000000002</v>
      </c>
      <c r="CA119" s="13">
        <f t="shared" si="93"/>
        <v>70.590415164571112</v>
      </c>
      <c r="CB119" s="20">
        <f t="shared" si="64"/>
        <v>640.57875641162809</v>
      </c>
      <c r="CC119" s="59">
        <f t="shared" si="65"/>
        <v>933.91208974496135</v>
      </c>
      <c r="CD119" s="59">
        <f ca="1">AVERAGE(OFFSET($CC$3,0,0,'Données projet'!$E$12+1,1))-AVERAGE(OFFSET($H$3,0,0,'Données projet'!$E$12+1,1))</f>
        <v>270.30888762640245</v>
      </c>
      <c r="CE119" s="59">
        <f t="shared" si="94"/>
        <v>202.23783851977691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0.39004938812385553</v>
      </c>
      <c r="CL119" s="21">
        <f>EXP(-LN(2)/25)*CL118+(1-EXP(-LN(2)/25))/(LN(2)/25)*Calculateur!CG119*Calculateur!CI119*VLOOKUP('Données projet'!$B$12,Paramètres!$A$1:$I$89,3,0)*0.475*44/12</f>
        <v>1.1329029330325324</v>
      </c>
      <c r="CM119" s="21">
        <f>EXP(-LN(2)/2)*CM118+(1-EXP(-LN(2)/2))/(LN(2)/2)*CG119*CJ119*VLOOKUP('Données projet'!$B$12,Paramètres!$A$1:$I$89,3,0)*0.475*44/12</f>
        <v>2.102366191418535E-12</v>
      </c>
      <c r="CN119" s="22">
        <f t="shared" si="66"/>
        <v>1.5229523211584903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-5.1159076974727213E-13</v>
      </c>
      <c r="CU119" s="17">
        <f>CT119*VLOOKUP('Données projet'!$B$13,Paramètres!$A$1:$I$89,3,0)*VLOOKUP('Données projet'!$B$13,Paramètres!$A$1:$I$89,5,0)</f>
        <v>-3.4317508834647017E-13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207.93042467236967</v>
      </c>
      <c r="CZ119" s="59">
        <f t="shared" si="96"/>
        <v>250.70954318710835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0.50100305062317729</v>
      </c>
      <c r="DG119" s="21">
        <f>EXP(-LN(2)/25)*DG118+(1-EXP(-LN(2)/25))/(LN(2)/25)*Calculateur!DB119*Calculateur!DD119*VLOOKUP('Données projet'!$B$13,Paramètres!$A$1:$I$89,3,0)*0.475*44/12</f>
        <v>1.594131129746406</v>
      </c>
      <c r="DH119" s="21">
        <f>EXP(-LN(2)/2)*DH118+(1-EXP(-LN(2)/2))/(LN(2)/2)*DB119*DE119*VLOOKUP('Données projet'!$B$13,Paramètres!$A$1:$I$89,3,0)*0.475*44/12</f>
        <v>2.3042281725752201E-12</v>
      </c>
      <c r="DI119" s="22">
        <f t="shared" si="69"/>
        <v>2.0951341803718875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5.6843418860808015E-14</v>
      </c>
      <c r="DP119" s="17">
        <f>DO119*VLOOKUP('Données projet'!$B$14,Paramètres!$A$1:$I$89,3,0)*VLOOKUP('Données projet'!$B$14,Paramètres!$A$1:$I$89,5,0)</f>
        <v>3.813056537183002E-14</v>
      </c>
      <c r="DQ119" s="13">
        <f t="shared" si="97"/>
        <v>6.4086286045526829E-13</v>
      </c>
      <c r="DR119" s="20">
        <f t="shared" si="70"/>
        <v>1.1825802166488628E-12</v>
      </c>
      <c r="DS119" s="59">
        <f t="shared" si="71"/>
        <v>293.33333333333451</v>
      </c>
      <c r="DT119" s="59">
        <f ca="1">AVERAGE(OFFSET($DS$3,0,0,'Données projet'!$E$14+1,1))-AVERAGE(OFFSET($H$3,0,0,'Données projet'!$E$14+1,1))</f>
        <v>156.63226020379989</v>
      </c>
      <c r="DU119" s="59">
        <f t="shared" si="98"/>
        <v>196.0481096619543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0.79886599736795527</v>
      </c>
      <c r="EC119" s="21">
        <f>EXP(-LN(2)/2)*EC118+(1-EXP(-LN(2)/2))/(LN(2)/2)*DW119*DZ119*VLOOKUP('Données projet'!$B$14,Paramètres!$A$1:$I$89,3,0)*0.475*44/12</f>
        <v>1.0315342026532157E-12</v>
      </c>
      <c r="ED119" s="22">
        <f t="shared" si="72"/>
        <v>0.79886599736898678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5.3066239316239274</v>
      </c>
      <c r="EJ119" s="12">
        <f>IF('Données projet'!$A$192&gt;35,EJ118+EI119-ER118,IF(A119&lt;'Données projet'!$A$192,$EG$205^A119,IF(A119='Données projet'!$A$192,'Données projet'!$B$192,EJ118+EI119-ER118)))</f>
        <v>230.53525641025607</v>
      </c>
      <c r="EK119" s="17">
        <f>EJ119*VLOOKUP('Données projet'!$B$15,Paramètres!$A$1:$I$89,3,0)*VLOOKUP('Données projet'!$B$15,Paramètres!$A$1:$I$89,5,0)</f>
        <v>233.76274999999964</v>
      </c>
      <c r="EL119" s="13">
        <f t="shared" si="99"/>
        <v>57.095506074599044</v>
      </c>
      <c r="EM119" s="20">
        <f t="shared" si="73"/>
        <v>506.57812932992596</v>
      </c>
      <c r="EN119" s="59">
        <f t="shared" si="74"/>
        <v>799.91146266325927</v>
      </c>
      <c r="EO119" s="59">
        <f ca="1">AVERAGE(OFFSET($EN$3,0,0,'Données projet'!$E$15+1,1))-AVERAGE(OFFSET($H$3,0,0,'Données projet'!$E$15+1,1))</f>
        <v>190.21499310415584</v>
      </c>
      <c r="EP119" s="59">
        <f t="shared" si="100"/>
        <v>136.15730566500173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1.0583333333333342</v>
      </c>
      <c r="FE119" s="12">
        <f>IF('Données projet'!$A$218&gt;35,FE118+FD119-FM118,IF(A119&lt;'Données projet'!$A$218,$FB$205^A119,IF(A119='Données projet'!$A$218,'Données projet'!$B$218,FE118+FD119-FM118)))</f>
        <v>86.974999999999994</v>
      </c>
      <c r="FF119" s="17">
        <f>FE119*VLOOKUP('Données projet'!$B$16,Paramètres!$A$1:$I$89,3,0)*VLOOKUP('Données projet'!$B$16,Paramètres!$A$1:$I$89,5,0)</f>
        <v>100.19519999999999</v>
      </c>
      <c r="FG119" s="13">
        <f t="shared" si="101"/>
        <v>27.008495977323641</v>
      </c>
      <c r="FH119" s="20">
        <f t="shared" si="76"/>
        <v>221.54643716050532</v>
      </c>
      <c r="FI119" s="59">
        <f t="shared" si="77"/>
        <v>514.87977049383858</v>
      </c>
      <c r="FJ119" s="59">
        <f ca="1">AVERAGE(OFFSET($FI$3,0,0,'Données projet'!$E$16+1,1))-AVERAGE(OFFSET($H$3,0,0,'Données projet'!$E$16+1,1))</f>
        <v>14.847345852478327</v>
      </c>
      <c r="FK119" s="59">
        <f t="shared" si="102"/>
        <v>46.764428272166299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0.16353087768181876</v>
      </c>
      <c r="FS119" s="21">
        <f>EXP(-LN(2)/2)*FS118+(1-EXP(-LN(2)/2))/(LN(2)/2)*FM119*FP119*VLOOKUP('Données projet'!$B$16,Paramètres!$A$1:$I$89,3,0)*0.475*44/12</f>
        <v>2.2430361857674399E-13</v>
      </c>
      <c r="FT119" s="22">
        <f t="shared" si="78"/>
        <v>0.16353087768204305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6.8461538461538511</v>
      </c>
      <c r="N120" s="13">
        <f>IF('Données projet'!$A$36&gt;35,N119+M120-V119,IF(A120&lt;'Données projet'!$A$36,$K$205^A120,IF(A120='Données projet'!$A$36,'Données projet'!$B$36,N119+M120-V119)))</f>
        <v>343.6474358974362</v>
      </c>
      <c r="O120" s="13">
        <f>N120*VLOOKUP('Données projet'!$B$9,Paramètres!$A$1:$I$89,3,0)*VLOOKUP('Données projet'!$B$9,Paramètres!$A$1:$I$89,5,0)</f>
        <v>310.93220000000031</v>
      </c>
      <c r="P120" s="13">
        <f t="shared" si="87"/>
        <v>73.463476600811546</v>
      </c>
      <c r="Q120" s="20">
        <f t="shared" si="107"/>
        <v>669.48913674641392</v>
      </c>
      <c r="R120" s="59">
        <f t="shared" si="55"/>
        <v>962.82247007974729</v>
      </c>
      <c r="S120" s="59">
        <f ca="1">AVERAGE(OFFSET($R$3,0,0,'Données projet'!$E$9+1,1))-AVERAGE(OFFSET($H$3,0,0,'Données projet'!$E$9+1,1))</f>
        <v>221.7429870520005</v>
      </c>
      <c r="T120" s="59">
        <f t="shared" si="88"/>
        <v>182.2029938397186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-5.1159076974727213E-13</v>
      </c>
      <c r="AJ120" s="13">
        <f>AI120*VLOOKUP('Données projet'!$B$10,Paramètres!$A$1:$I$89,3,0)*VLOOKUP('Données projet'!$B$10,Paramètres!$A$1:$I$89,5,0)</f>
        <v>-4.0702161641092972E-13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260.20517190557814</v>
      </c>
      <c r="AO120" s="59">
        <f t="shared" si="90"/>
        <v>307.22009971147133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0.58256076756952024</v>
      </c>
      <c r="AV120" s="21">
        <f>EXP(-LN(2)/25)*AV119+(1-EXP(-LN(2)/25))/(LN(2)/25)*Calculateur!AQ120*Calculateur!AS120*VLOOKUP('Données projet'!$B$10,Paramètres!$A$1:$I$89,3,0)*0.475*44/12</f>
        <v>1.8390120009014079</v>
      </c>
      <c r="AW120" s="21">
        <f>EXP(-LN(2)/2)*AW119+(1-EXP(-LN(2)/2))/(LN(2)/2)*AQ120*AT120*VLOOKUP('Données projet'!$B$10,Paramètres!$A$1:$I$89,3,0)*0.475*44/12</f>
        <v>1.9324675273879128E-12</v>
      </c>
      <c r="AX120" s="21">
        <f t="shared" si="60"/>
        <v>2.4215727684728607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553.99999999999955</v>
      </c>
      <c r="BE120" s="13">
        <f>BD120*VLOOKUP('Données projet'!$B$11,Paramètres!$A$1:$I$89,3,0)*VLOOKUP('Données projet'!$B$11,Paramètres!$A$1:$I$89,5,0)</f>
        <v>331.29199999999975</v>
      </c>
      <c r="BF120" s="13">
        <f t="shared" si="91"/>
        <v>77.698110787752</v>
      </c>
      <c r="BG120" s="20">
        <f t="shared" si="61"/>
        <v>712.32444295533423</v>
      </c>
      <c r="BH120" s="59">
        <f t="shared" si="62"/>
        <v>1005.6577762886675</v>
      </c>
      <c r="BI120" s="59">
        <f ca="1">AVERAGE(OFFSET($BH$3,0,0,'Données projet'!$E$11+1,1))-AVERAGE(OFFSET($H$3,0,0,'Données projet'!$E$11+1,1))</f>
        <v>316.58509520829671</v>
      </c>
      <c r="BJ120" s="59">
        <f t="shared" si="92"/>
        <v>240.71332110643596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0.45250756307643575</v>
      </c>
      <c r="BQ120" s="21">
        <f>EXP(-LN(2)/25)*BQ119+(1-EXP(-LN(2)/25))/(LN(2)/25)*Calculateur!BL120*Calculateur!BN120*VLOOKUP('Données projet'!$B$11,Paramètres!$A$1:$I$89,3,0)*0.475*44/12</f>
        <v>1.3683452279574415</v>
      </c>
      <c r="BR120" s="21">
        <f>EXP(-LN(2)/2)*BR119+(1-EXP(-LN(2)/2))/(LN(2)/2)*BL120*BO120*VLOOKUP('Données projet'!$B$11,Paramètres!$A$1:$I$89,3,0)*0.475*44/12</f>
        <v>1.7636760116687062E-12</v>
      </c>
      <c r="BS120" s="22">
        <f t="shared" si="63"/>
        <v>1.8208527910356409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497</v>
      </c>
      <c r="BZ120" s="13">
        <f>BY120*VLOOKUP('Données projet'!$B$12,Paramètres!$A$1:$I$89,3,0)*VLOOKUP('Données projet'!$B$12,Paramètres!$A$1:$I$89,5,0)</f>
        <v>297.20600000000002</v>
      </c>
      <c r="CA120" s="13">
        <f t="shared" si="93"/>
        <v>70.590415164571112</v>
      </c>
      <c r="CB120" s="20">
        <f t="shared" si="64"/>
        <v>640.57875641162809</v>
      </c>
      <c r="CC120" s="59">
        <f t="shared" si="65"/>
        <v>933.91208974496135</v>
      </c>
      <c r="CD120" s="59">
        <f ca="1">AVERAGE(OFFSET($CC$3,0,0,'Données projet'!$E$12+1,1))-AVERAGE(OFFSET($H$3,0,0,'Données projet'!$E$12+1,1))</f>
        <v>270.30888762640245</v>
      </c>
      <c r="CE120" s="59">
        <f t="shared" si="94"/>
        <v>202.23783851977691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0.38240075752938213</v>
      </c>
      <c r="CL120" s="21">
        <f>EXP(-LN(2)/25)*CL119+(1-EXP(-LN(2)/25))/(LN(2)/25)*Calculateur!CG120*Calculateur!CI120*VLOOKUP('Données projet'!$B$12,Paramètres!$A$1:$I$89,3,0)*0.475*44/12</f>
        <v>1.1019236427519818</v>
      </c>
      <c r="CM120" s="21">
        <f>EXP(-LN(2)/2)*CM119+(1-EXP(-LN(2)/2))/(LN(2)/2)*CG120*CJ120*VLOOKUP('Données projet'!$B$12,Paramètres!$A$1:$I$89,3,0)*0.475*44/12</f>
        <v>1.4865973904893813E-12</v>
      </c>
      <c r="CN120" s="22">
        <f t="shared" si="66"/>
        <v>1.4843244002828506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-5.1159076974727213E-13</v>
      </c>
      <c r="CU120" s="17">
        <f>CT120*VLOOKUP('Données projet'!$B$13,Paramètres!$A$1:$I$89,3,0)*VLOOKUP('Données projet'!$B$13,Paramètres!$A$1:$I$89,5,0)</f>
        <v>-3.4317508834647017E-13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207.93042467236967</v>
      </c>
      <c r="CZ120" s="59">
        <f t="shared" si="96"/>
        <v>250.70954318710835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0.49117868638214396</v>
      </c>
      <c r="DG120" s="21">
        <f>EXP(-LN(2)/25)*DG119+(1-EXP(-LN(2)/25))/(LN(2)/25)*Calculateur!DB120*Calculateur!DD120*VLOOKUP('Données projet'!$B$13,Paramètres!$A$1:$I$89,3,0)*0.475*44/12</f>
        <v>1.5505395301717779</v>
      </c>
      <c r="DH120" s="21">
        <f>EXP(-LN(2)/2)*DH119+(1-EXP(-LN(2)/2))/(LN(2)/2)*DB120*DE120*VLOOKUP('Données projet'!$B$13,Paramètres!$A$1:$I$89,3,0)*0.475*44/12</f>
        <v>1.6293353662290245E-12</v>
      </c>
      <c r="DI120" s="22">
        <f t="shared" si="69"/>
        <v>2.0417182165555512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5.6843418860808015E-14</v>
      </c>
      <c r="DP120" s="17">
        <f>DO120*VLOOKUP('Données projet'!$B$14,Paramètres!$A$1:$I$89,3,0)*VLOOKUP('Données projet'!$B$14,Paramètres!$A$1:$I$89,5,0)</f>
        <v>3.813056537183002E-14</v>
      </c>
      <c r="DQ120" s="13">
        <f t="shared" si="97"/>
        <v>6.4086286045526829E-13</v>
      </c>
      <c r="DR120" s="20">
        <f t="shared" si="70"/>
        <v>1.1825802166488628E-12</v>
      </c>
      <c r="DS120" s="59">
        <f t="shared" si="71"/>
        <v>293.33333333333451</v>
      </c>
      <c r="DT120" s="59">
        <f ca="1">AVERAGE(OFFSET($DS$3,0,0,'Données projet'!$E$14+1,1))-AVERAGE(OFFSET($H$3,0,0,'Données projet'!$E$14+1,1))</f>
        <v>156.63226020379989</v>
      </c>
      <c r="DU120" s="59">
        <f t="shared" si="98"/>
        <v>196.0481096619543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0.77702096465939152</v>
      </c>
      <c r="EC120" s="21">
        <f>EXP(-LN(2)/2)*EC119+(1-EXP(-LN(2)/2))/(LN(2)/2)*DW120*DZ120*VLOOKUP('Données projet'!$B$14,Paramètres!$A$1:$I$89,3,0)*0.475*44/12</f>
        <v>7.2940482972194716E-13</v>
      </c>
      <c r="ED120" s="22">
        <f t="shared" si="72"/>
        <v>0.77702096466012094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5.3066239316239274</v>
      </c>
      <c r="EJ120" s="12">
        <f>IF('Données projet'!$A$192&gt;35,EJ119+EI120-ER119,IF(A120&lt;'Données projet'!$A$192,$EG$205^A120,IF(A120='Données projet'!$A$192,'Données projet'!$B$192,EJ119+EI120-ER119)))</f>
        <v>235.84188034188</v>
      </c>
      <c r="EK120" s="17">
        <f>EJ120*VLOOKUP('Données projet'!$B$15,Paramètres!$A$1:$I$89,3,0)*VLOOKUP('Données projet'!$B$15,Paramètres!$A$1:$I$89,5,0)</f>
        <v>239.14366666666635</v>
      </c>
      <c r="EL120" s="13">
        <f t="shared" si="99"/>
        <v>58.255247882792112</v>
      </c>
      <c r="EM120" s="20">
        <f t="shared" si="73"/>
        <v>517.96977617364007</v>
      </c>
      <c r="EN120" s="59">
        <f t="shared" si="74"/>
        <v>811.30310950697344</v>
      </c>
      <c r="EO120" s="59">
        <f ca="1">AVERAGE(OFFSET($EN$3,0,0,'Données projet'!$E$15+1,1))-AVERAGE(OFFSET($H$3,0,0,'Données projet'!$E$15+1,1))</f>
        <v>190.21499310415584</v>
      </c>
      <c r="EP120" s="59">
        <f t="shared" si="100"/>
        <v>136.15730566500173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1.0583333333333342</v>
      </c>
      <c r="FE120" s="12">
        <f>IF('Données projet'!$A$218&gt;35,FE119+FD120-FM119,IF(A120&lt;'Données projet'!$A$218,$FB$205^A120,IF(A120='Données projet'!$A$218,'Données projet'!$B$218,FE119+FD120-FM119)))</f>
        <v>88.033333333333331</v>
      </c>
      <c r="FF120" s="17">
        <f>FE120*VLOOKUP('Données projet'!$B$16,Paramètres!$A$1:$I$89,3,0)*VLOOKUP('Données projet'!$B$16,Paramètres!$A$1:$I$89,5,0)</f>
        <v>101.4144</v>
      </c>
      <c r="FG120" s="13">
        <f t="shared" si="101"/>
        <v>27.298682913329554</v>
      </c>
      <c r="FH120" s="20">
        <f t="shared" si="76"/>
        <v>224.17528607404893</v>
      </c>
      <c r="FI120" s="59">
        <f t="shared" si="77"/>
        <v>517.50861940738218</v>
      </c>
      <c r="FJ120" s="59">
        <f ca="1">AVERAGE(OFFSET($FI$3,0,0,'Données projet'!$E$16+1,1))-AVERAGE(OFFSET($H$3,0,0,'Données projet'!$E$16+1,1))</f>
        <v>14.847345852478327</v>
      </c>
      <c r="FK120" s="59">
        <f t="shared" si="102"/>
        <v>46.764428272166299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0.15905911723189431</v>
      </c>
      <c r="FS120" s="21">
        <f>EXP(-LN(2)/2)*FS119+(1-EXP(-LN(2)/2))/(LN(2)/2)*FM120*FP120*VLOOKUP('Données projet'!$B$16,Paramètres!$A$1:$I$89,3,0)*0.475*44/12</f>
        <v>1.5860660974029655E-13</v>
      </c>
      <c r="FT120" s="22">
        <f t="shared" si="78"/>
        <v>0.1590591172320529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6.8461538461538511</v>
      </c>
      <c r="N121" s="13">
        <f>IF('Données projet'!$A$36&gt;35,N120+M121-V120,IF(A121&lt;'Données projet'!$A$36,$K$205^A121,IF(A121='Données projet'!$A$36,'Données projet'!$B$36,N120+M121-V120)))</f>
        <v>350.49358974359006</v>
      </c>
      <c r="O121" s="13">
        <f>N121*VLOOKUP('Données projet'!$B$9,Paramètres!$A$1:$I$89,3,0)*VLOOKUP('Données projet'!$B$9,Paramètres!$A$1:$I$89,5,0)</f>
        <v>317.12660000000028</v>
      </c>
      <c r="P121" s="13">
        <f t="shared" si="87"/>
        <v>74.755173417545677</v>
      </c>
      <c r="Q121" s="20">
        <f t="shared" si="107"/>
        <v>682.5274220355592</v>
      </c>
      <c r="R121" s="59">
        <f t="shared" si="55"/>
        <v>975.86075536889257</v>
      </c>
      <c r="S121" s="59">
        <f ca="1">AVERAGE(OFFSET($R$3,0,0,'Données projet'!$E$9+1,1))-AVERAGE(OFFSET($H$3,0,0,'Données projet'!$E$9+1,1))</f>
        <v>221.7429870520005</v>
      </c>
      <c r="T121" s="59">
        <f t="shared" si="88"/>
        <v>182.2029938397186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-5.1159076974727213E-13</v>
      </c>
      <c r="AJ121" s="13">
        <f>AI121*VLOOKUP('Données projet'!$B$10,Paramètres!$A$1:$I$89,3,0)*VLOOKUP('Données projet'!$B$10,Paramètres!$A$1:$I$89,5,0)</f>
        <v>-4.0702161641092972E-13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260.20517190557814</v>
      </c>
      <c r="AO121" s="59">
        <f t="shared" si="90"/>
        <v>307.22009971147133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0.57113710624446457</v>
      </c>
      <c r="AV121" s="21">
        <f>EXP(-LN(2)/25)*AV120+(1-EXP(-LN(2)/25))/(LN(2)/25)*Calculateur!AQ121*Calculateur!AS121*VLOOKUP('Données projet'!$B$10,Paramètres!$A$1:$I$89,3,0)*0.475*44/12</f>
        <v>1.7887241210273208</v>
      </c>
      <c r="AW121" s="21">
        <f>EXP(-LN(2)/2)*AW120+(1-EXP(-LN(2)/2))/(LN(2)/2)*AQ121*AT121*VLOOKUP('Données projet'!$B$10,Paramètres!$A$1:$I$89,3,0)*0.475*44/12</f>
        <v>1.3664608930387934E-12</v>
      </c>
      <c r="AX121" s="21">
        <f t="shared" si="60"/>
        <v>2.3598612272731518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553.99999999999955</v>
      </c>
      <c r="BE121" s="13">
        <f>BD121*VLOOKUP('Données projet'!$B$11,Paramètres!$A$1:$I$89,3,0)*VLOOKUP('Données projet'!$B$11,Paramètres!$A$1:$I$89,5,0)</f>
        <v>331.29199999999975</v>
      </c>
      <c r="BF121" s="13">
        <f t="shared" si="91"/>
        <v>77.698110787752</v>
      </c>
      <c r="BG121" s="20">
        <f t="shared" si="61"/>
        <v>712.32444295533423</v>
      </c>
      <c r="BH121" s="59">
        <f t="shared" si="62"/>
        <v>1005.6577762886675</v>
      </c>
      <c r="BI121" s="59">
        <f ca="1">AVERAGE(OFFSET($BH$3,0,0,'Données projet'!$E$11+1,1))-AVERAGE(OFFSET($H$3,0,0,'Données projet'!$E$11+1,1))</f>
        <v>316.58509520829671</v>
      </c>
      <c r="BJ121" s="59">
        <f t="shared" si="92"/>
        <v>240.71332110643596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0.44363416576686737</v>
      </c>
      <c r="BQ121" s="21">
        <f>EXP(-LN(2)/25)*BQ120+(1-EXP(-LN(2)/25))/(LN(2)/25)*Calculateur!BL121*Calculateur!BN121*VLOOKUP('Données projet'!$B$11,Paramètres!$A$1:$I$89,3,0)*0.475*44/12</f>
        <v>1.330927755740797</v>
      </c>
      <c r="BR121" s="21">
        <f>EXP(-LN(2)/2)*BR120+(1-EXP(-LN(2)/2))/(LN(2)/2)*BL121*BO121*VLOOKUP('Données projet'!$B$11,Paramètres!$A$1:$I$89,3,0)*0.475*44/12</f>
        <v>1.2471072676669867E-12</v>
      </c>
      <c r="BS121" s="22">
        <f t="shared" si="63"/>
        <v>1.7745619215089115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497</v>
      </c>
      <c r="BZ121" s="13">
        <f>BY121*VLOOKUP('Données projet'!$B$12,Paramètres!$A$1:$I$89,3,0)*VLOOKUP('Données projet'!$B$12,Paramètres!$A$1:$I$89,5,0)</f>
        <v>297.20600000000002</v>
      </c>
      <c r="CA121" s="13">
        <f t="shared" si="93"/>
        <v>70.590415164571112</v>
      </c>
      <c r="CB121" s="20">
        <f t="shared" si="64"/>
        <v>640.57875641162809</v>
      </c>
      <c r="CC121" s="59">
        <f t="shared" si="65"/>
        <v>933.91208974496135</v>
      </c>
      <c r="CD121" s="59">
        <f ca="1">AVERAGE(OFFSET($CC$3,0,0,'Données projet'!$E$12+1,1))-AVERAGE(OFFSET($H$3,0,0,'Données projet'!$E$12+1,1))</f>
        <v>270.30888762640245</v>
      </c>
      <c r="CE121" s="59">
        <f t="shared" si="94"/>
        <v>202.23783851977691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0.37490211191566236</v>
      </c>
      <c r="CL121" s="21">
        <f>EXP(-LN(2)/25)*CL120+(1-EXP(-LN(2)/25))/(LN(2)/25)*Calculateur!CG121*Calculateur!CI121*VLOOKUP('Données projet'!$B$12,Paramètres!$A$1:$I$89,3,0)*0.475*44/12</f>
        <v>1.0717914827932831</v>
      </c>
      <c r="CM121" s="21">
        <f>EXP(-LN(2)/2)*CM120+(1-EXP(-LN(2)/2))/(LN(2)/2)*CG121*CJ121*VLOOKUP('Données projet'!$B$12,Paramètres!$A$1:$I$89,3,0)*0.475*44/12</f>
        <v>1.0511830957092675E-12</v>
      </c>
      <c r="CN121" s="22">
        <f t="shared" si="66"/>
        <v>1.4466935947099966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-5.1159076974727213E-13</v>
      </c>
      <c r="CU121" s="17">
        <f>CT121*VLOOKUP('Données projet'!$B$13,Paramètres!$A$1:$I$89,3,0)*VLOOKUP('Données projet'!$B$13,Paramètres!$A$1:$I$89,5,0)</f>
        <v>-3.4317508834647017E-13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207.93042467236967</v>
      </c>
      <c r="CZ121" s="59">
        <f t="shared" si="96"/>
        <v>250.70954318710835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0.48154697193160684</v>
      </c>
      <c r="DG121" s="21">
        <f>EXP(-LN(2)/25)*DG120+(1-EXP(-LN(2)/25))/(LN(2)/25)*Calculateur!DB121*Calculateur!DD121*VLOOKUP('Données projet'!$B$13,Paramètres!$A$1:$I$89,3,0)*0.475*44/12</f>
        <v>1.5081399451799005</v>
      </c>
      <c r="DH121" s="21">
        <f>EXP(-LN(2)/2)*DH120+(1-EXP(-LN(2)/2))/(LN(2)/2)*DB121*DE121*VLOOKUP('Données projet'!$B$13,Paramètres!$A$1:$I$89,3,0)*0.475*44/12</f>
        <v>1.1521140862876101E-12</v>
      </c>
      <c r="DI121" s="22">
        <f t="shared" si="69"/>
        <v>1.9896869171126594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5.6843418860808015E-14</v>
      </c>
      <c r="DP121" s="17">
        <f>DO121*VLOOKUP('Données projet'!$B$14,Paramètres!$A$1:$I$89,3,0)*VLOOKUP('Données projet'!$B$14,Paramètres!$A$1:$I$89,5,0)</f>
        <v>3.813056537183002E-14</v>
      </c>
      <c r="DQ121" s="13">
        <f t="shared" si="97"/>
        <v>6.4086286045526829E-13</v>
      </c>
      <c r="DR121" s="20">
        <f t="shared" si="70"/>
        <v>1.1825802166488628E-12</v>
      </c>
      <c r="DS121" s="59">
        <f t="shared" si="71"/>
        <v>293.33333333333451</v>
      </c>
      <c r="DT121" s="59">
        <f ca="1">AVERAGE(OFFSET($DS$3,0,0,'Données projet'!$E$14+1,1))-AVERAGE(OFFSET($H$3,0,0,'Données projet'!$E$14+1,1))</f>
        <v>156.63226020379989</v>
      </c>
      <c r="DU121" s="59">
        <f t="shared" si="98"/>
        <v>196.0481096619543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0.75577328551902379</v>
      </c>
      <c r="EC121" s="21">
        <f>EXP(-LN(2)/2)*EC120+(1-EXP(-LN(2)/2))/(LN(2)/2)*DW121*DZ121*VLOOKUP('Données projet'!$B$14,Paramètres!$A$1:$I$89,3,0)*0.475*44/12</f>
        <v>5.1576710132660785E-13</v>
      </c>
      <c r="ED121" s="22">
        <f t="shared" si="72"/>
        <v>0.75577328551953959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5.3066239316239274</v>
      </c>
      <c r="EJ121" s="12">
        <f>IF('Données projet'!$A$192&gt;35,EJ120+EI121-ER120,IF(A121&lt;'Données projet'!$A$192,$EG$205^A121,IF(A121='Données projet'!$A$192,'Données projet'!$B$192,EJ120+EI121-ER120)))</f>
        <v>241.14850427350393</v>
      </c>
      <c r="EK121" s="17">
        <f>EJ121*VLOOKUP('Données projet'!$B$15,Paramètres!$A$1:$I$89,3,0)*VLOOKUP('Données projet'!$B$15,Paramètres!$A$1:$I$89,5,0)</f>
        <v>244.52458333333303</v>
      </c>
      <c r="EL121" s="13">
        <f t="shared" si="99"/>
        <v>59.41195592689057</v>
      </c>
      <c r="EM121" s="20">
        <f t="shared" si="73"/>
        <v>529.35613921155607</v>
      </c>
      <c r="EN121" s="59">
        <f t="shared" si="74"/>
        <v>822.68947254488944</v>
      </c>
      <c r="EO121" s="59">
        <f ca="1">AVERAGE(OFFSET($EN$3,0,0,'Données projet'!$E$15+1,1))-AVERAGE(OFFSET($H$3,0,0,'Données projet'!$E$15+1,1))</f>
        <v>190.21499310415584</v>
      </c>
      <c r="EP121" s="59">
        <f t="shared" si="100"/>
        <v>136.15730566500173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1.0583333333333342</v>
      </c>
      <c r="FE121" s="12">
        <f>IF('Données projet'!$A$218&gt;35,FE120+FD121-FM120,IF(A121&lt;'Données projet'!$A$218,$FB$205^A121,IF(A121='Données projet'!$A$218,'Données projet'!$B$218,FE120+FD121-FM120)))</f>
        <v>89.091666666666669</v>
      </c>
      <c r="FF121" s="17">
        <f>FE121*VLOOKUP('Données projet'!$B$16,Paramètres!$A$1:$I$89,3,0)*VLOOKUP('Données projet'!$B$16,Paramètres!$A$1:$I$89,5,0)</f>
        <v>102.63359999999999</v>
      </c>
      <c r="FG121" s="13">
        <f t="shared" si="101"/>
        <v>27.588464048069408</v>
      </c>
      <c r="FH121" s="20">
        <f t="shared" si="76"/>
        <v>226.80342821705418</v>
      </c>
      <c r="FI121" s="59">
        <f t="shared" si="77"/>
        <v>520.13676155038752</v>
      </c>
      <c r="FJ121" s="59">
        <f ca="1">AVERAGE(OFFSET($FI$3,0,0,'Données projet'!$E$16+1,1))-AVERAGE(OFFSET($H$3,0,0,'Données projet'!$E$16+1,1))</f>
        <v>14.847345852478327</v>
      </c>
      <c r="FK121" s="59">
        <f t="shared" si="102"/>
        <v>46.764428272166299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0.15470963730663273</v>
      </c>
      <c r="FS121" s="21">
        <f>EXP(-LN(2)/2)*FS120+(1-EXP(-LN(2)/2))/(LN(2)/2)*FM121*FP121*VLOOKUP('Données projet'!$B$16,Paramètres!$A$1:$I$89,3,0)*0.475*44/12</f>
        <v>1.1215180928837202E-13</v>
      </c>
      <c r="FT121" s="22">
        <f t="shared" si="78"/>
        <v>0.15470963730674489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357.33974358974359</v>
      </c>
      <c r="L122" s="12">
        <f>VLOOKUP(A122,'Données projet'!$A$35:$I$55,9,0)</f>
        <v>6.8461538461538511</v>
      </c>
      <c r="M122" s="12">
        <f t="array" ref="M122">INDEX(L:L,MIN(IF(ISNUMBER(L122:L318),ROW(L122:L318),"")))</f>
        <v>6.8461538461538511</v>
      </c>
      <c r="N122" s="13">
        <f>IF('Données projet'!$A$36&gt;35,N121+M122-V121,IF(A122&lt;'Données projet'!$A$36,$K$205^A122,IF(A122='Données projet'!$A$36,'Données projet'!$B$36,N121+M122-V121)))</f>
        <v>357.33974358974393</v>
      </c>
      <c r="O122" s="13">
        <f>N122*VLOOKUP('Données projet'!$B$9,Paramètres!$A$1:$I$89,3,0)*VLOOKUP('Données projet'!$B$9,Paramètres!$A$1:$I$89,5,0)</f>
        <v>323.32100000000031</v>
      </c>
      <c r="P122" s="13">
        <f t="shared" si="87"/>
        <v>76.043936534151129</v>
      </c>
      <c r="Q122" s="20">
        <f t="shared" si="107"/>
        <v>695.56059779698035</v>
      </c>
      <c r="R122" s="59">
        <f t="shared" si="55"/>
        <v>988.8939311303136</v>
      </c>
      <c r="S122" s="59">
        <f ca="1">AVERAGE(OFFSET($R$3,0,0,'Données projet'!$E$9+1,1))-AVERAGE(OFFSET($H$3,0,0,'Données projet'!$E$9+1,1))</f>
        <v>221.7429870520005</v>
      </c>
      <c r="T122" s="59">
        <f t="shared" si="88"/>
        <v>182.2029938397186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150.02564102564102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-5.1159076974727213E-13</v>
      </c>
      <c r="AJ122" s="13">
        <f>AI122*VLOOKUP('Données projet'!$B$10,Paramètres!$A$1:$I$89,3,0)*VLOOKUP('Données projet'!$B$10,Paramètres!$A$1:$I$89,5,0)</f>
        <v>-4.0702161641092972E-13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260.20517190557814</v>
      </c>
      <c r="AO122" s="59">
        <f t="shared" si="90"/>
        <v>307.22009971147133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0.5599374559502478</v>
      </c>
      <c r="AV122" s="21">
        <f>EXP(-LN(2)/25)*AV121+(1-EXP(-LN(2)/25))/(LN(2)/25)*Calculateur!AQ122*Calculateur!AS122*VLOOKUP('Données projet'!$B$10,Paramètres!$A$1:$I$89,3,0)*0.475*44/12</f>
        <v>1.7398113658729153</v>
      </c>
      <c r="AW122" s="21">
        <f>EXP(-LN(2)/2)*AW121+(1-EXP(-LN(2)/2))/(LN(2)/2)*AQ122*AT122*VLOOKUP('Données projet'!$B$10,Paramètres!$A$1:$I$89,3,0)*0.475*44/12</f>
        <v>9.6623376369395642E-13</v>
      </c>
      <c r="AX122" s="21">
        <f t="shared" si="60"/>
        <v>2.2997488218241293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553.99999999999955</v>
      </c>
      <c r="BE122" s="13">
        <f>BD122*VLOOKUP('Données projet'!$B$11,Paramètres!$A$1:$I$89,3,0)*VLOOKUP('Données projet'!$B$11,Paramètres!$A$1:$I$89,5,0)</f>
        <v>331.29199999999975</v>
      </c>
      <c r="BF122" s="13">
        <f t="shared" si="91"/>
        <v>77.698110787752</v>
      </c>
      <c r="BG122" s="20">
        <f t="shared" si="61"/>
        <v>712.32444295533423</v>
      </c>
      <c r="BH122" s="59">
        <f t="shared" si="62"/>
        <v>1005.6577762886675</v>
      </c>
      <c r="BI122" s="59">
        <f ca="1">AVERAGE(OFFSET($BH$3,0,0,'Données projet'!$E$11+1,1))-AVERAGE(OFFSET($H$3,0,0,'Données projet'!$E$11+1,1))</f>
        <v>316.58509520829671</v>
      </c>
      <c r="BJ122" s="59">
        <f t="shared" si="92"/>
        <v>240.71332110643596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0.43493477036630168</v>
      </c>
      <c r="BQ122" s="21">
        <f>EXP(-LN(2)/25)*BQ121+(1-EXP(-LN(2)/25))/(LN(2)/25)*Calculateur!BL122*Calculateur!BN122*VLOOKUP('Données projet'!$B$11,Paramètres!$A$1:$I$89,3,0)*0.475*44/12</f>
        <v>1.2945334662696162</v>
      </c>
      <c r="BR122" s="21">
        <f>EXP(-LN(2)/2)*BR121+(1-EXP(-LN(2)/2))/(LN(2)/2)*BL122*BO122*VLOOKUP('Données projet'!$B$11,Paramètres!$A$1:$I$89,3,0)*0.475*44/12</f>
        <v>8.8183800583435312E-13</v>
      </c>
      <c r="BS122" s="22">
        <f t="shared" si="63"/>
        <v>1.7294682366367995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497</v>
      </c>
      <c r="BZ122" s="13">
        <f>BY122*VLOOKUP('Données projet'!$B$12,Paramètres!$A$1:$I$89,3,0)*VLOOKUP('Données projet'!$B$12,Paramètres!$A$1:$I$89,5,0)</f>
        <v>297.20600000000002</v>
      </c>
      <c r="CA122" s="13">
        <f t="shared" si="93"/>
        <v>70.590415164571112</v>
      </c>
      <c r="CB122" s="20">
        <f t="shared" si="64"/>
        <v>640.57875641162809</v>
      </c>
      <c r="CC122" s="59">
        <f t="shared" si="65"/>
        <v>933.91208974496135</v>
      </c>
      <c r="CD122" s="59">
        <f ca="1">AVERAGE(OFFSET($CC$3,0,0,'Données projet'!$E$12+1,1))-AVERAGE(OFFSET($H$3,0,0,'Données projet'!$E$12+1,1))</f>
        <v>270.30888762640245</v>
      </c>
      <c r="CE122" s="59">
        <f t="shared" si="94"/>
        <v>202.23783851977691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0.36755051016870544</v>
      </c>
      <c r="CL122" s="21">
        <f>EXP(-LN(2)/25)*CL121+(1-EXP(-LN(2)/25))/(LN(2)/25)*Calculateur!CG122*Calculateur!CI122*VLOOKUP('Données projet'!$B$12,Paramètres!$A$1:$I$89,3,0)*0.475*44/12</f>
        <v>1.0424832883332362</v>
      </c>
      <c r="CM122" s="21">
        <f>EXP(-LN(2)/2)*CM121+(1-EXP(-LN(2)/2))/(LN(2)/2)*CG122*CJ122*VLOOKUP('Données projet'!$B$12,Paramètres!$A$1:$I$89,3,0)*0.475*44/12</f>
        <v>7.4329869524469066E-13</v>
      </c>
      <c r="CN122" s="22">
        <f t="shared" si="66"/>
        <v>1.4100337985026852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-5.1159076974727213E-13</v>
      </c>
      <c r="CU122" s="17">
        <f>CT122*VLOOKUP('Données projet'!$B$13,Paramètres!$A$1:$I$89,3,0)*VLOOKUP('Données projet'!$B$13,Paramètres!$A$1:$I$89,5,0)</f>
        <v>-3.4317508834647017E-13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207.93042467236967</v>
      </c>
      <c r="CZ122" s="59">
        <f t="shared" si="96"/>
        <v>250.70954318710835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0.47210412952667902</v>
      </c>
      <c r="DG122" s="21">
        <f>EXP(-LN(2)/25)*DG121+(1-EXP(-LN(2)/25))/(LN(2)/25)*Calculateur!DB122*Calculateur!DD122*VLOOKUP('Données projet'!$B$13,Paramètres!$A$1:$I$89,3,0)*0.475*44/12</f>
        <v>1.4668997790693232</v>
      </c>
      <c r="DH122" s="21">
        <f>EXP(-LN(2)/2)*DH121+(1-EXP(-LN(2)/2))/(LN(2)/2)*DB122*DE122*VLOOKUP('Données projet'!$B$13,Paramètres!$A$1:$I$89,3,0)*0.475*44/12</f>
        <v>8.1466768311451223E-13</v>
      </c>
      <c r="DI122" s="22">
        <f t="shared" si="69"/>
        <v>1.9390039085968169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5.6843418860808015E-14</v>
      </c>
      <c r="DP122" s="17">
        <f>DO122*VLOOKUP('Données projet'!$B$14,Paramètres!$A$1:$I$89,3,0)*VLOOKUP('Données projet'!$B$14,Paramètres!$A$1:$I$89,5,0)</f>
        <v>3.813056537183002E-14</v>
      </c>
      <c r="DQ122" s="13">
        <f t="shared" si="97"/>
        <v>6.4086286045526829E-13</v>
      </c>
      <c r="DR122" s="20">
        <f t="shared" si="70"/>
        <v>1.1825802166488628E-12</v>
      </c>
      <c r="DS122" s="59">
        <f t="shared" si="71"/>
        <v>293.33333333333451</v>
      </c>
      <c r="DT122" s="59">
        <f ca="1">AVERAGE(OFFSET($DS$3,0,0,'Données projet'!$E$14+1,1))-AVERAGE(OFFSET($H$3,0,0,'Données projet'!$E$14+1,1))</f>
        <v>156.63226020379989</v>
      </c>
      <c r="DU122" s="59">
        <f t="shared" si="98"/>
        <v>196.0481096619543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0.73510662528211634</v>
      </c>
      <c r="EC122" s="21">
        <f>EXP(-LN(2)/2)*EC121+(1-EXP(-LN(2)/2))/(LN(2)/2)*DW122*DZ122*VLOOKUP('Données projet'!$B$14,Paramètres!$A$1:$I$89,3,0)*0.475*44/12</f>
        <v>3.6470241486097358E-13</v>
      </c>
      <c r="ED122" s="22">
        <f t="shared" si="72"/>
        <v>0.73510662528248105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5.3066239316239274</v>
      </c>
      <c r="EJ122" s="12">
        <f>IF('Données projet'!$A$192&gt;35,EJ121+EI122-ER121,IF(A122&lt;'Données projet'!$A$192,$EG$205^A122,IF(A122='Données projet'!$A$192,'Données projet'!$B$192,EJ121+EI122-ER121)))</f>
        <v>246.45512820512786</v>
      </c>
      <c r="EK122" s="17">
        <f>EJ122*VLOOKUP('Données projet'!$B$15,Paramètres!$A$1:$I$89,3,0)*VLOOKUP('Données projet'!$B$15,Paramètres!$A$1:$I$89,5,0)</f>
        <v>249.90549999999968</v>
      </c>
      <c r="EL122" s="13">
        <f t="shared" si="99"/>
        <v>60.565704654390196</v>
      </c>
      <c r="EM122" s="20">
        <f t="shared" si="73"/>
        <v>540.73734810639564</v>
      </c>
      <c r="EN122" s="59">
        <f t="shared" si="74"/>
        <v>834.07068143972901</v>
      </c>
      <c r="EO122" s="59">
        <f ca="1">AVERAGE(OFFSET($EN$3,0,0,'Données projet'!$E$15+1,1))-AVERAGE(OFFSET($H$3,0,0,'Données projet'!$E$15+1,1))</f>
        <v>190.21499310415584</v>
      </c>
      <c r="EP122" s="59">
        <f t="shared" si="100"/>
        <v>136.15730566500173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1.0583333333333342</v>
      </c>
      <c r="FE122" s="12">
        <f>IF('Données projet'!$A$218&gt;35,FE121+FD122-FM121,IF(A122&lt;'Données projet'!$A$218,$FB$205^A122,IF(A122='Données projet'!$A$218,'Données projet'!$B$218,FE121+FD122-FM121)))</f>
        <v>90.15</v>
      </c>
      <c r="FF122" s="17">
        <f>FE122*VLOOKUP('Données projet'!$B$16,Paramètres!$A$1:$I$89,3,0)*VLOOKUP('Données projet'!$B$16,Paramètres!$A$1:$I$89,5,0)</f>
        <v>103.85279999999999</v>
      </c>
      <c r="FG122" s="13">
        <f t="shared" si="101"/>
        <v>27.877844759767811</v>
      </c>
      <c r="FH122" s="20">
        <f t="shared" si="76"/>
        <v>229.43087295659561</v>
      </c>
      <c r="FI122" s="59">
        <f t="shared" si="77"/>
        <v>522.76420628992889</v>
      </c>
      <c r="FJ122" s="59">
        <f ca="1">AVERAGE(OFFSET($FI$3,0,0,'Données projet'!$E$16+1,1))-AVERAGE(OFFSET($H$3,0,0,'Données projet'!$E$16+1,1))</f>
        <v>14.847345852478327</v>
      </c>
      <c r="FK122" s="59">
        <f t="shared" si="102"/>
        <v>46.764428272166299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0.15047909413865662</v>
      </c>
      <c r="FS122" s="21">
        <f>EXP(-LN(2)/2)*FS121+(1-EXP(-LN(2)/2))/(LN(2)/2)*FM122*FP122*VLOOKUP('Données projet'!$B$16,Paramètres!$A$1:$I$89,3,0)*0.475*44/12</f>
        <v>7.9303304870148287E-14</v>
      </c>
      <c r="FT122" s="22">
        <f t="shared" si="78"/>
        <v>0.15047909413873592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3.8301282051282044</v>
      </c>
      <c r="N123" s="13">
        <f>IF('Données projet'!$A$36&gt;35,N122+M123-V122,IF(A123&lt;'Données projet'!$A$36,$K$205^A123,IF(A123='Données projet'!$A$36,'Données projet'!$B$36,N122+M123-V122)))</f>
        <v>211.14423076923114</v>
      </c>
      <c r="O123" s="13">
        <f>N123*VLOOKUP('Données projet'!$B$9,Paramètres!$A$1:$I$89,3,0)*VLOOKUP('Données projet'!$B$9,Paramètres!$A$1:$I$89,5,0)</f>
        <v>191.04330000000033</v>
      </c>
      <c r="P123" s="13">
        <f t="shared" si="87"/>
        <v>47.770538104647549</v>
      </c>
      <c r="Q123" s="20">
        <f t="shared" si="107"/>
        <v>415.93410136559504</v>
      </c>
      <c r="R123" s="59">
        <f t="shared" si="55"/>
        <v>709.26743469892835</v>
      </c>
      <c r="S123" s="59">
        <f ca="1">AVERAGE(OFFSET($R$3,0,0,'Données projet'!$E$9+1,1))-AVERAGE(OFFSET($H$3,0,0,'Données projet'!$E$9+1,1))</f>
        <v>221.7429870520005</v>
      </c>
      <c r="T123" s="59">
        <f t="shared" si="88"/>
        <v>182.2029938397186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-5.1159076974727213E-13</v>
      </c>
      <c r="AJ123" s="13">
        <f>AI123*VLOOKUP('Données projet'!$B$10,Paramètres!$A$1:$I$89,3,0)*VLOOKUP('Données projet'!$B$10,Paramètres!$A$1:$I$89,5,0)</f>
        <v>-4.0702161641092972E-13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260.20517190557814</v>
      </c>
      <c r="AO123" s="59">
        <f t="shared" si="90"/>
        <v>307.22009971147133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0.5489574239671885</v>
      </c>
      <c r="AV123" s="21">
        <f>EXP(-LN(2)/25)*AV122+(1-EXP(-LN(2)/25))/(LN(2)/25)*Calculateur!AQ123*Calculateur!AS123*VLOOKUP('Données projet'!$B$10,Paramètres!$A$1:$I$89,3,0)*0.475*44/12</f>
        <v>1.6922361325804172</v>
      </c>
      <c r="AW123" s="21">
        <f>EXP(-LN(2)/2)*AW122+(1-EXP(-LN(2)/2))/(LN(2)/2)*AQ123*AT123*VLOOKUP('Données projet'!$B$10,Paramètres!$A$1:$I$89,3,0)*0.475*44/12</f>
        <v>6.8323044651939671E-13</v>
      </c>
      <c r="AX123" s="21">
        <f t="shared" si="60"/>
        <v>2.2411935565482888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553.99999999999955</v>
      </c>
      <c r="BE123" s="13">
        <f>BD123*VLOOKUP('Données projet'!$B$11,Paramètres!$A$1:$I$89,3,0)*VLOOKUP('Données projet'!$B$11,Paramètres!$A$1:$I$89,5,0)</f>
        <v>331.29199999999975</v>
      </c>
      <c r="BF123" s="13">
        <f t="shared" si="91"/>
        <v>77.698110787752</v>
      </c>
      <c r="BG123" s="20">
        <f t="shared" si="61"/>
        <v>712.32444295533423</v>
      </c>
      <c r="BH123" s="59">
        <f t="shared" si="62"/>
        <v>1005.6577762886675</v>
      </c>
      <c r="BI123" s="59">
        <f ca="1">AVERAGE(OFFSET($BH$3,0,0,'Données projet'!$E$11+1,1))-AVERAGE(OFFSET($H$3,0,0,'Données projet'!$E$11+1,1))</f>
        <v>316.58509520829671</v>
      </c>
      <c r="BJ123" s="59">
        <f t="shared" si="92"/>
        <v>240.71332110643596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0.42640596480343379</v>
      </c>
      <c r="BQ123" s="21">
        <f>EXP(-LN(2)/25)*BQ122+(1-EXP(-LN(2)/25))/(LN(2)/25)*Calculateur!BL123*Calculateur!BN123*VLOOKUP('Données projet'!$B$11,Paramètres!$A$1:$I$89,3,0)*0.475*44/12</f>
        <v>1.2591343805579172</v>
      </c>
      <c r="BR123" s="21">
        <f>EXP(-LN(2)/2)*BR122+(1-EXP(-LN(2)/2))/(LN(2)/2)*BL123*BO123*VLOOKUP('Données projet'!$B$11,Paramètres!$A$1:$I$89,3,0)*0.475*44/12</f>
        <v>6.2355363383349334E-13</v>
      </c>
      <c r="BS123" s="22">
        <f t="shared" si="63"/>
        <v>1.6855403453619744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497</v>
      </c>
      <c r="BZ123" s="13">
        <f>BY123*VLOOKUP('Données projet'!$B$12,Paramètres!$A$1:$I$89,3,0)*VLOOKUP('Données projet'!$B$12,Paramètres!$A$1:$I$89,5,0)</f>
        <v>297.20600000000002</v>
      </c>
      <c r="CA123" s="13">
        <f t="shared" si="93"/>
        <v>70.590415164571112</v>
      </c>
      <c r="CB123" s="20">
        <f t="shared" si="64"/>
        <v>640.57875641162809</v>
      </c>
      <c r="CC123" s="59">
        <f t="shared" si="65"/>
        <v>933.91208974496135</v>
      </c>
      <c r="CD123" s="59">
        <f ca="1">AVERAGE(OFFSET($CC$3,0,0,'Données projet'!$E$12+1,1))-AVERAGE(OFFSET($H$3,0,0,'Données projet'!$E$12+1,1))</f>
        <v>270.30888762640245</v>
      </c>
      <c r="CE123" s="59">
        <f t="shared" si="94"/>
        <v>202.23783851977691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0.36034306884797201</v>
      </c>
      <c r="CL123" s="21">
        <f>EXP(-LN(2)/25)*CL122+(1-EXP(-LN(2)/25))/(LN(2)/25)*Calculateur!CG123*Calculateur!CI123*VLOOKUP('Données projet'!$B$12,Paramètres!$A$1:$I$89,3,0)*0.475*44/12</f>
        <v>1.0139765279919504</v>
      </c>
      <c r="CM123" s="21">
        <f>EXP(-LN(2)/2)*CM122+(1-EXP(-LN(2)/2))/(LN(2)/2)*CG123*CJ123*VLOOKUP('Données projet'!$B$12,Paramètres!$A$1:$I$89,3,0)*0.475*44/12</f>
        <v>5.2559154785463374E-13</v>
      </c>
      <c r="CN123" s="22">
        <f t="shared" si="66"/>
        <v>1.374319596840448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-5.1159076974727213E-13</v>
      </c>
      <c r="CU123" s="17">
        <f>CT123*VLOOKUP('Données projet'!$B$13,Paramètres!$A$1:$I$89,3,0)*VLOOKUP('Données projet'!$B$13,Paramètres!$A$1:$I$89,5,0)</f>
        <v>-3.4317508834647017E-13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207.93042467236967</v>
      </c>
      <c r="CZ123" s="59">
        <f t="shared" si="96"/>
        <v>250.70954318710835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0.46284645550174663</v>
      </c>
      <c r="DG123" s="21">
        <f>EXP(-LN(2)/25)*DG122+(1-EXP(-LN(2)/25))/(LN(2)/25)*Calculateur!DB123*Calculateur!DD123*VLOOKUP('Données projet'!$B$13,Paramètres!$A$1:$I$89,3,0)*0.475*44/12</f>
        <v>1.4267873274697658</v>
      </c>
      <c r="DH123" s="21">
        <f>EXP(-LN(2)/2)*DH122+(1-EXP(-LN(2)/2))/(LN(2)/2)*DB123*DE123*VLOOKUP('Données projet'!$B$13,Paramètres!$A$1:$I$89,3,0)*0.475*44/12</f>
        <v>5.7605704314380503E-13</v>
      </c>
      <c r="DI123" s="22">
        <f t="shared" si="69"/>
        <v>1.8896337829720884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5.6843418860808015E-14</v>
      </c>
      <c r="DP123" s="17">
        <f>DO123*VLOOKUP('Données projet'!$B$14,Paramètres!$A$1:$I$89,3,0)*VLOOKUP('Données projet'!$B$14,Paramètres!$A$1:$I$89,5,0)</f>
        <v>3.813056537183002E-14</v>
      </c>
      <c r="DQ123" s="13">
        <f t="shared" si="97"/>
        <v>6.4086286045526829E-13</v>
      </c>
      <c r="DR123" s="20">
        <f t="shared" si="70"/>
        <v>1.1825802166488628E-12</v>
      </c>
      <c r="DS123" s="59">
        <f t="shared" si="71"/>
        <v>293.33333333333451</v>
      </c>
      <c r="DT123" s="59">
        <f ca="1">AVERAGE(OFFSET($DS$3,0,0,'Données projet'!$E$14+1,1))-AVERAGE(OFFSET($H$3,0,0,'Données projet'!$E$14+1,1))</f>
        <v>156.63226020379989</v>
      </c>
      <c r="DU123" s="59">
        <f t="shared" si="98"/>
        <v>196.0481096619543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0.71500509595619954</v>
      </c>
      <c r="EC123" s="21">
        <f>EXP(-LN(2)/2)*EC122+(1-EXP(-LN(2)/2))/(LN(2)/2)*DW123*DZ123*VLOOKUP('Données projet'!$B$14,Paramètres!$A$1:$I$89,3,0)*0.475*44/12</f>
        <v>2.5788355066330392E-13</v>
      </c>
      <c r="ED123" s="22">
        <f t="shared" si="72"/>
        <v>0.71500509595645745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5.3066239316239274</v>
      </c>
      <c r="EJ123" s="12">
        <f>IF('Données projet'!$A$192&gt;35,EJ122+EI123-ER122,IF(A123&lt;'Données projet'!$A$192,$EG$205^A123,IF(A123='Données projet'!$A$192,'Données projet'!$B$192,EJ122+EI123-ER122)))</f>
        <v>251.7617521367518</v>
      </c>
      <c r="EK123" s="17">
        <f>EJ123*VLOOKUP('Données projet'!$B$15,Paramètres!$A$1:$I$89,3,0)*VLOOKUP('Données projet'!$B$15,Paramètres!$A$1:$I$89,5,0)</f>
        <v>255.28641666666636</v>
      </c>
      <c r="EL123" s="13">
        <f t="shared" si="99"/>
        <v>61.716565123681811</v>
      </c>
      <c r="EM123" s="20">
        <f t="shared" si="73"/>
        <v>552.11352661818967</v>
      </c>
      <c r="EN123" s="59">
        <f t="shared" si="74"/>
        <v>845.44685995152304</v>
      </c>
      <c r="EO123" s="59">
        <f ca="1">AVERAGE(OFFSET($EN$3,0,0,'Données projet'!$E$15+1,1))-AVERAGE(OFFSET($H$3,0,0,'Données projet'!$E$15+1,1))</f>
        <v>190.21499310415584</v>
      </c>
      <c r="EP123" s="59">
        <f t="shared" si="100"/>
        <v>136.15730566500173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>
        <f>VLOOKUP(A123,'Données projet'!$A$217:$I$237,2,0)</f>
        <v>91.208333333333343</v>
      </c>
      <c r="FC123" s="12">
        <f>VLOOKUP(A123,'Données projet'!$A$217:$I$237,9,0)</f>
        <v>1.0583333333333342</v>
      </c>
      <c r="FD123" s="12">
        <f t="array" ref="FD123">INDEX(FC:FC,MIN(IF(ISNUMBER(FC123:FC319),ROW(FC123:FC319),"")))</f>
        <v>1.0583333333333342</v>
      </c>
      <c r="FE123" s="12">
        <f>IF('Données projet'!$A$218&gt;35,FE122+FD123-FM122,IF(A123&lt;'Données projet'!$A$218,$FB$205^A123,IF(A123='Données projet'!$A$218,'Données projet'!$B$218,FE122+FD123-FM122)))</f>
        <v>91.208333333333343</v>
      </c>
      <c r="FF123" s="17">
        <f>FE123*VLOOKUP('Données projet'!$B$16,Paramètres!$A$1:$I$89,3,0)*VLOOKUP('Données projet'!$B$16,Paramètres!$A$1:$I$89,5,0)</f>
        <v>105.072</v>
      </c>
      <c r="FG123" s="13">
        <f t="shared" si="101"/>
        <v>28.166830293104717</v>
      </c>
      <c r="FH123" s="20">
        <f t="shared" si="76"/>
        <v>232.05762942715737</v>
      </c>
      <c r="FI123" s="59">
        <f t="shared" si="77"/>
        <v>525.39096276049065</v>
      </c>
      <c r="FJ123" s="59">
        <f ca="1">AVERAGE(OFFSET($FI$3,0,0,'Données projet'!$E$16+1,1))-AVERAGE(OFFSET($H$3,0,0,'Données projet'!$E$16+1,1))</f>
        <v>14.847345852478327</v>
      </c>
      <c r="FK123" s="59">
        <f t="shared" si="102"/>
        <v>46.764428272166299</v>
      </c>
      <c r="FL123" s="15">
        <f>IF(ISNA(VLOOKUP(A123,'Données projet'!$A$217:$I$237,3,0)),0,VLOOKUP(A123,'Données projet'!$A$217:$I$237,3,0))</f>
        <v>12</v>
      </c>
      <c r="FM123" s="15">
        <f>IF(ISNA(VLOOKUP(A123,'Données projet'!$A$217:$I$237,4,0)),0,VLOOKUP(A123,'Données projet'!$A$217:$I$237,4,0))</f>
        <v>8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0.14636423539608343</v>
      </c>
      <c r="FS123" s="21">
        <f>EXP(-LN(2)/2)*FS122+(1-EXP(-LN(2)/2))/(LN(2)/2)*FM123*FP123*VLOOKUP('Données projet'!$B$16,Paramètres!$A$1:$I$89,3,0)*0.475*44/12</f>
        <v>5.6075904644186016E-14</v>
      </c>
      <c r="FT123" s="22">
        <f t="shared" si="78"/>
        <v>0.14636423539613949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3.8301282051282044</v>
      </c>
      <c r="N124" s="13">
        <f>IF('Données projet'!$A$36&gt;35,N123+M124-V123,IF(A124&lt;'Données projet'!$A$36,$K$205^A124,IF(A124='Données projet'!$A$36,'Données projet'!$B$36,N123+M124-V123)))</f>
        <v>214.97435897435935</v>
      </c>
      <c r="O124" s="13">
        <f>N124*VLOOKUP('Données projet'!$B$9,Paramètres!$A$1:$I$89,3,0)*VLOOKUP('Données projet'!$B$9,Paramètres!$A$1:$I$89,5,0)</f>
        <v>194.50880000000032</v>
      </c>
      <c r="P124" s="13">
        <f t="shared" si="87"/>
        <v>48.535419780989194</v>
      </c>
      <c r="Q124" s="20">
        <f t="shared" si="107"/>
        <v>423.30201611855676</v>
      </c>
      <c r="R124" s="59">
        <f t="shared" si="55"/>
        <v>716.63534945189008</v>
      </c>
      <c r="S124" s="59">
        <f ca="1">AVERAGE(OFFSET($R$3,0,0,'Données projet'!$E$9+1,1))-AVERAGE(OFFSET($H$3,0,0,'Données projet'!$E$9+1,1))</f>
        <v>221.7429870520005</v>
      </c>
      <c r="T124" s="59">
        <f t="shared" si="88"/>
        <v>182.2029938397186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-5.1159076974727213E-13</v>
      </c>
      <c r="AJ124" s="13">
        <f>AI124*VLOOKUP('Données projet'!$B$10,Paramètres!$A$1:$I$89,3,0)*VLOOKUP('Données projet'!$B$10,Paramètres!$A$1:$I$89,5,0)</f>
        <v>-4.0702161641092972E-13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260.20517190557814</v>
      </c>
      <c r="AO124" s="59">
        <f t="shared" si="90"/>
        <v>307.22009971147133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0.53819270371415873</v>
      </c>
      <c r="AV124" s="21">
        <f>EXP(-LN(2)/25)*AV123+(1-EXP(-LN(2)/25))/(LN(2)/25)*Calculateur!AQ124*Calculateur!AS124*VLOOKUP('Données projet'!$B$10,Paramètres!$A$1:$I$89,3,0)*0.475*44/12</f>
        <v>1.6459618465441752</v>
      </c>
      <c r="AW124" s="21">
        <f>EXP(-LN(2)/2)*AW123+(1-EXP(-LN(2)/2))/(LN(2)/2)*AQ124*AT124*VLOOKUP('Données projet'!$B$10,Paramètres!$A$1:$I$89,3,0)*0.475*44/12</f>
        <v>4.8311688184697821E-13</v>
      </c>
      <c r="AX124" s="21">
        <f t="shared" si="60"/>
        <v>2.1841545502588171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553.99999999999955</v>
      </c>
      <c r="BE124" s="13">
        <f>BD124*VLOOKUP('Données projet'!$B$11,Paramètres!$A$1:$I$89,3,0)*VLOOKUP('Données projet'!$B$11,Paramètres!$A$1:$I$89,5,0)</f>
        <v>331.29199999999975</v>
      </c>
      <c r="BF124" s="13">
        <f t="shared" si="91"/>
        <v>77.698110787752</v>
      </c>
      <c r="BG124" s="20">
        <f t="shared" si="61"/>
        <v>712.32444295533423</v>
      </c>
      <c r="BH124" s="59">
        <f t="shared" si="62"/>
        <v>1005.6577762886675</v>
      </c>
      <c r="BI124" s="59">
        <f ca="1">AVERAGE(OFFSET($BH$3,0,0,'Données projet'!$E$11+1,1))-AVERAGE(OFFSET($H$3,0,0,'Données projet'!$E$11+1,1))</f>
        <v>316.58509520829671</v>
      </c>
      <c r="BJ124" s="59">
        <f t="shared" si="92"/>
        <v>240.71332110643596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0.418044403915596</v>
      </c>
      <c r="BQ124" s="21">
        <f>EXP(-LN(2)/25)*BQ123+(1-EXP(-LN(2)/25))/(LN(2)/25)*Calculateur!BL124*Calculateur!BN124*VLOOKUP('Données projet'!$B$11,Paramètres!$A$1:$I$89,3,0)*0.475*44/12</f>
        <v>1.2247032847065615</v>
      </c>
      <c r="BR124" s="21">
        <f>EXP(-LN(2)/2)*BR123+(1-EXP(-LN(2)/2))/(LN(2)/2)*BL124*BO124*VLOOKUP('Données projet'!$B$11,Paramètres!$A$1:$I$89,3,0)*0.475*44/12</f>
        <v>4.4091900291717656E-13</v>
      </c>
      <c r="BS124" s="22">
        <f t="shared" si="63"/>
        <v>1.6427476886225985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497</v>
      </c>
      <c r="BZ124" s="13">
        <f>BY124*VLOOKUP('Données projet'!$B$12,Paramètres!$A$1:$I$89,3,0)*VLOOKUP('Données projet'!$B$12,Paramètres!$A$1:$I$89,5,0)</f>
        <v>297.20600000000002</v>
      </c>
      <c r="CA124" s="13">
        <f t="shared" si="93"/>
        <v>70.590415164571112</v>
      </c>
      <c r="CB124" s="20">
        <f t="shared" si="64"/>
        <v>640.57875641162809</v>
      </c>
      <c r="CC124" s="59">
        <f t="shared" si="65"/>
        <v>933.91208974496135</v>
      </c>
      <c r="CD124" s="59">
        <f ca="1">AVERAGE(OFFSET($CC$3,0,0,'Données projet'!$E$12+1,1))-AVERAGE(OFFSET($H$3,0,0,'Données projet'!$E$12+1,1))</f>
        <v>270.30888762640245</v>
      </c>
      <c r="CE124" s="59">
        <f t="shared" si="94"/>
        <v>202.23783851977691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0.35327696105543305</v>
      </c>
      <c r="CL124" s="21">
        <f>EXP(-LN(2)/25)*CL123+(1-EXP(-LN(2)/25))/(LN(2)/25)*Calculateur!CG124*Calculateur!CI124*VLOOKUP('Données projet'!$B$12,Paramètres!$A$1:$I$89,3,0)*0.475*44/12</f>
        <v>0.98624928651130239</v>
      </c>
      <c r="CM124" s="21">
        <f>EXP(-LN(2)/2)*CM123+(1-EXP(-LN(2)/2))/(LN(2)/2)*CG124*CJ124*VLOOKUP('Données projet'!$B$12,Paramètres!$A$1:$I$89,3,0)*0.475*44/12</f>
        <v>3.7164934762234533E-13</v>
      </c>
      <c r="CN124" s="22">
        <f t="shared" si="66"/>
        <v>1.339526247567107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-5.1159076974727213E-13</v>
      </c>
      <c r="CU124" s="17">
        <f>CT124*VLOOKUP('Données projet'!$B$13,Paramètres!$A$1:$I$89,3,0)*VLOOKUP('Données projet'!$B$13,Paramètres!$A$1:$I$89,5,0)</f>
        <v>-3.4317508834647017E-13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207.93042467236967</v>
      </c>
      <c r="CZ124" s="59">
        <f t="shared" si="96"/>
        <v>250.70954318710835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0.4537703188178196</v>
      </c>
      <c r="DG124" s="21">
        <f>EXP(-LN(2)/25)*DG123+(1-EXP(-LN(2)/25))/(LN(2)/25)*Calculateur!DB124*Calculateur!DD124*VLOOKUP('Données projet'!$B$13,Paramètres!$A$1:$I$89,3,0)*0.475*44/12</f>
        <v>1.3877717529686204</v>
      </c>
      <c r="DH124" s="21">
        <f>EXP(-LN(2)/2)*DH123+(1-EXP(-LN(2)/2))/(LN(2)/2)*DB124*DE124*VLOOKUP('Données projet'!$B$13,Paramètres!$A$1:$I$89,3,0)*0.475*44/12</f>
        <v>4.0733384155725612E-13</v>
      </c>
      <c r="DI124" s="22">
        <f t="shared" si="69"/>
        <v>1.8415420717868471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5.6843418860808015E-14</v>
      </c>
      <c r="DP124" s="17">
        <f>DO124*VLOOKUP('Données projet'!$B$14,Paramètres!$A$1:$I$89,3,0)*VLOOKUP('Données projet'!$B$14,Paramètres!$A$1:$I$89,5,0)</f>
        <v>3.813056537183002E-14</v>
      </c>
      <c r="DQ124" s="13">
        <f t="shared" si="97"/>
        <v>6.4086286045526829E-13</v>
      </c>
      <c r="DR124" s="20">
        <f t="shared" si="70"/>
        <v>1.1825802166488628E-12</v>
      </c>
      <c r="DS124" s="59">
        <f t="shared" si="71"/>
        <v>293.33333333333451</v>
      </c>
      <c r="DT124" s="59">
        <f ca="1">AVERAGE(OFFSET($DS$3,0,0,'Données projet'!$E$14+1,1))-AVERAGE(OFFSET($H$3,0,0,'Données projet'!$E$14+1,1))</f>
        <v>156.63226020379989</v>
      </c>
      <c r="DU124" s="59">
        <f t="shared" si="98"/>
        <v>196.0481096619543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0.69545324400679343</v>
      </c>
      <c r="EC124" s="21">
        <f>EXP(-LN(2)/2)*EC123+(1-EXP(-LN(2)/2))/(LN(2)/2)*DW124*DZ124*VLOOKUP('Données projet'!$B$14,Paramètres!$A$1:$I$89,3,0)*0.475*44/12</f>
        <v>1.8235120743048679E-13</v>
      </c>
      <c r="ED124" s="22">
        <f t="shared" si="72"/>
        <v>0.69545324400697572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5.3066239316239274</v>
      </c>
      <c r="EJ124" s="12">
        <f>IF('Données projet'!$A$192&gt;35,EJ123+EI124-ER123,IF(A124&lt;'Données projet'!$A$192,$EG$205^A124,IF(A124='Données projet'!$A$192,'Données projet'!$B$192,EJ123+EI124-ER123)))</f>
        <v>257.0683760683757</v>
      </c>
      <c r="EK124" s="17">
        <f>EJ124*VLOOKUP('Données projet'!$B$15,Paramètres!$A$1:$I$89,3,0)*VLOOKUP('Données projet'!$B$15,Paramètres!$A$1:$I$89,5,0)</f>
        <v>260.66733333333298</v>
      </c>
      <c r="EL124" s="13">
        <f t="shared" si="99"/>
        <v>62.864605226466139</v>
      </c>
      <c r="EM124" s="20">
        <f t="shared" si="73"/>
        <v>563.48479299165012</v>
      </c>
      <c r="EN124" s="59">
        <f t="shared" si="74"/>
        <v>856.8181263249835</v>
      </c>
      <c r="EO124" s="59">
        <f ca="1">AVERAGE(OFFSET($EN$3,0,0,'Données projet'!$E$15+1,1))-AVERAGE(OFFSET($H$3,0,0,'Données projet'!$E$15+1,1))</f>
        <v>190.21499310415584</v>
      </c>
      <c r="EP124" s="59">
        <f t="shared" si="100"/>
        <v>136.15730566500173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0.9958333333333329</v>
      </c>
      <c r="FE124" s="12">
        <f>IF('Données projet'!$A$218&gt;35,FE123+FD124-FM123,IF(A124&lt;'Données projet'!$A$218,$FB$205^A124,IF(A124='Données projet'!$A$218,'Données projet'!$B$218,FE123+FD124-FM123)))</f>
        <v>84.20416666666668</v>
      </c>
      <c r="FF124" s="17">
        <f>FE124*VLOOKUP('Données projet'!$B$16,Paramètres!$A$1:$I$89,3,0)*VLOOKUP('Données projet'!$B$16,Paramètres!$A$1:$I$89,5,0)</f>
        <v>97.003200000000007</v>
      </c>
      <c r="FG124" s="13">
        <f t="shared" si="101"/>
        <v>26.246791941466267</v>
      </c>
      <c r="FH124" s="20">
        <f t="shared" si="76"/>
        <v>214.66040263138709</v>
      </c>
      <c r="FI124" s="59">
        <f t="shared" si="77"/>
        <v>507.99373596472037</v>
      </c>
      <c r="FJ124" s="59">
        <f ca="1">AVERAGE(OFFSET($FI$3,0,0,'Données projet'!$E$16+1,1))-AVERAGE(OFFSET($H$3,0,0,'Données projet'!$E$16+1,1))</f>
        <v>14.847345852478327</v>
      </c>
      <c r="FK124" s="59">
        <f t="shared" si="102"/>
        <v>46.764428272166299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0.14236189768221691</v>
      </c>
      <c r="FS124" s="21">
        <f>EXP(-LN(2)/2)*FS123+(1-EXP(-LN(2)/2))/(LN(2)/2)*FM124*FP124*VLOOKUP('Données projet'!$B$16,Paramètres!$A$1:$I$89,3,0)*0.475*44/12</f>
        <v>3.965165243507415E-14</v>
      </c>
      <c r="FT124" s="22">
        <f t="shared" si="78"/>
        <v>0.14236189768225657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3.8301282051282044</v>
      </c>
      <c r="N125" s="13">
        <f>IF('Données projet'!$A$36&gt;35,N124+M125-V124,IF(A125&lt;'Données projet'!$A$36,$K$205^A125,IF(A125='Données projet'!$A$36,'Données projet'!$B$36,N124+M125-V124)))</f>
        <v>218.80448717948755</v>
      </c>
      <c r="O125" s="13">
        <f>N125*VLOOKUP('Données projet'!$B$9,Paramètres!$A$1:$I$89,3,0)*VLOOKUP('Données projet'!$B$9,Paramètres!$A$1:$I$89,5,0)</f>
        <v>197.97430000000034</v>
      </c>
      <c r="P125" s="13">
        <f t="shared" si="87"/>
        <v>49.29871675417845</v>
      </c>
      <c r="Q125" s="20">
        <f t="shared" si="107"/>
        <v>430.66717084686138</v>
      </c>
      <c r="R125" s="59">
        <f t="shared" si="55"/>
        <v>724.00050418019464</v>
      </c>
      <c r="S125" s="59">
        <f ca="1">AVERAGE(OFFSET($R$3,0,0,'Données projet'!$E$9+1,1))-AVERAGE(OFFSET($H$3,0,0,'Données projet'!$E$9+1,1))</f>
        <v>221.7429870520005</v>
      </c>
      <c r="T125" s="59">
        <f t="shared" si="88"/>
        <v>182.2029938397186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-5.1159076974727213E-13</v>
      </c>
      <c r="AJ125" s="13">
        <f>AI125*VLOOKUP('Données projet'!$B$10,Paramètres!$A$1:$I$89,3,0)*VLOOKUP('Données projet'!$B$10,Paramètres!$A$1:$I$89,5,0)</f>
        <v>-4.0702161641092972E-13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260.20517190557814</v>
      </c>
      <c r="AO125" s="59">
        <f t="shared" si="90"/>
        <v>307.22009971147133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0.5276390730594599</v>
      </c>
      <c r="AV125" s="21">
        <f>EXP(-LN(2)/25)*AV124+(1-EXP(-LN(2)/25))/(LN(2)/25)*Calculateur!AQ125*Calculateur!AS125*VLOOKUP('Données projet'!$B$10,Paramètres!$A$1:$I$89,3,0)*0.475*44/12</f>
        <v>1.6009529332930532</v>
      </c>
      <c r="AW125" s="21">
        <f>EXP(-LN(2)/2)*AW124+(1-EXP(-LN(2)/2))/(LN(2)/2)*AQ125*AT125*VLOOKUP('Données projet'!$B$10,Paramètres!$A$1:$I$89,3,0)*0.475*44/12</f>
        <v>3.4161522325969836E-13</v>
      </c>
      <c r="AX125" s="21">
        <f t="shared" si="60"/>
        <v>2.1285920063528545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553.99999999999955</v>
      </c>
      <c r="BE125" s="13">
        <f>BD125*VLOOKUP('Données projet'!$B$11,Paramètres!$A$1:$I$89,3,0)*VLOOKUP('Données projet'!$B$11,Paramètres!$A$1:$I$89,5,0)</f>
        <v>331.29199999999975</v>
      </c>
      <c r="BF125" s="13">
        <f t="shared" si="91"/>
        <v>77.698110787752</v>
      </c>
      <c r="BG125" s="20">
        <f t="shared" si="61"/>
        <v>712.32444295533423</v>
      </c>
      <c r="BH125" s="59">
        <f t="shared" si="62"/>
        <v>1005.6577762886675</v>
      </c>
      <c r="BI125" s="59">
        <f ca="1">AVERAGE(OFFSET($BH$3,0,0,'Données projet'!$E$11+1,1))-AVERAGE(OFFSET($H$3,0,0,'Données projet'!$E$11+1,1))</f>
        <v>316.58509520829671</v>
      </c>
      <c r="BJ125" s="59">
        <f t="shared" si="92"/>
        <v>240.71332110643596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0.4098468081367202</v>
      </c>
      <c r="BQ125" s="21">
        <f>EXP(-LN(2)/25)*BQ124+(1-EXP(-LN(2)/25))/(LN(2)/25)*Calculateur!BL125*Calculateur!BN125*VLOOKUP('Données projet'!$B$11,Paramètres!$A$1:$I$89,3,0)*0.475*44/12</f>
        <v>1.1912137089819139</v>
      </c>
      <c r="BR125" s="21">
        <f>EXP(-LN(2)/2)*BR124+(1-EXP(-LN(2)/2))/(LN(2)/2)*BL125*BO125*VLOOKUP('Données projet'!$B$11,Paramètres!$A$1:$I$89,3,0)*0.475*44/12</f>
        <v>3.1177681691674667E-13</v>
      </c>
      <c r="BS125" s="22">
        <f t="shared" si="63"/>
        <v>1.6010605171189458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497</v>
      </c>
      <c r="BZ125" s="13">
        <f>BY125*VLOOKUP('Données projet'!$B$12,Paramètres!$A$1:$I$89,3,0)*VLOOKUP('Données projet'!$B$12,Paramètres!$A$1:$I$89,5,0)</f>
        <v>297.20600000000002</v>
      </c>
      <c r="CA125" s="13">
        <f t="shared" si="93"/>
        <v>70.590415164571112</v>
      </c>
      <c r="CB125" s="20">
        <f t="shared" si="64"/>
        <v>640.57875641162809</v>
      </c>
      <c r="CC125" s="59">
        <f t="shared" si="65"/>
        <v>933.91208974496135</v>
      </c>
      <c r="CD125" s="59">
        <f ca="1">AVERAGE(OFFSET($CC$3,0,0,'Données projet'!$E$12+1,1))-AVERAGE(OFFSET($H$3,0,0,'Données projet'!$E$12+1,1))</f>
        <v>270.30888762640245</v>
      </c>
      <c r="CE125" s="59">
        <f t="shared" si="94"/>
        <v>202.23783851977691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0.34634941532680558</v>
      </c>
      <c r="CL125" s="21">
        <f>EXP(-LN(2)/25)*CL124+(1-EXP(-LN(2)/25))/(LN(2)/25)*Calculateur!CG125*Calculateur!CI125*VLOOKUP('Données projet'!$B$12,Paramètres!$A$1:$I$89,3,0)*0.475*44/12</f>
        <v>0.95928024790705491</v>
      </c>
      <c r="CM125" s="21">
        <f>EXP(-LN(2)/2)*CM124+(1-EXP(-LN(2)/2))/(LN(2)/2)*CG125*CJ125*VLOOKUP('Données projet'!$B$12,Paramètres!$A$1:$I$89,3,0)*0.475*44/12</f>
        <v>2.6279577392731687E-13</v>
      </c>
      <c r="CN125" s="22">
        <f t="shared" si="66"/>
        <v>1.3056296632341233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-5.1159076974727213E-13</v>
      </c>
      <c r="CU125" s="17">
        <f>CT125*VLOOKUP('Données projet'!$B$13,Paramètres!$A$1:$I$89,3,0)*VLOOKUP('Données projet'!$B$13,Paramètres!$A$1:$I$89,5,0)</f>
        <v>-3.4317508834647017E-13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207.93042467236967</v>
      </c>
      <c r="CZ125" s="59">
        <f t="shared" si="96"/>
        <v>250.70954318710835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0.44487215963836763</v>
      </c>
      <c r="DG125" s="21">
        <f>EXP(-LN(2)/25)*DG124+(1-EXP(-LN(2)/25))/(LN(2)/25)*Calculateur!DB125*Calculateur!DD125*VLOOKUP('Données projet'!$B$13,Paramètres!$A$1:$I$89,3,0)*0.475*44/12</f>
        <v>1.3498230614039488</v>
      </c>
      <c r="DH125" s="21">
        <f>EXP(-LN(2)/2)*DH124+(1-EXP(-LN(2)/2))/(LN(2)/2)*DB125*DE125*VLOOKUP('Données projet'!$B$13,Paramètres!$A$1:$I$89,3,0)*0.475*44/12</f>
        <v>2.8802852157190252E-13</v>
      </c>
      <c r="DI125" s="22">
        <f t="shared" si="69"/>
        <v>1.7946952210426044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5.6843418860808015E-14</v>
      </c>
      <c r="DP125" s="17">
        <f>DO125*VLOOKUP('Données projet'!$B$14,Paramètres!$A$1:$I$89,3,0)*VLOOKUP('Données projet'!$B$14,Paramètres!$A$1:$I$89,5,0)</f>
        <v>3.813056537183002E-14</v>
      </c>
      <c r="DQ125" s="13">
        <f t="shared" si="97"/>
        <v>6.4086286045526829E-13</v>
      </c>
      <c r="DR125" s="20">
        <f t="shared" si="70"/>
        <v>1.1825802166488628E-12</v>
      </c>
      <c r="DS125" s="59">
        <f t="shared" si="71"/>
        <v>293.33333333333451</v>
      </c>
      <c r="DT125" s="59">
        <f ca="1">AVERAGE(OFFSET($DS$3,0,0,'Données projet'!$E$14+1,1))-AVERAGE(OFFSET($H$3,0,0,'Données projet'!$E$14+1,1))</f>
        <v>156.63226020379989</v>
      </c>
      <c r="DU125" s="59">
        <f t="shared" si="98"/>
        <v>196.0481096619543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0.67643603847713107</v>
      </c>
      <c r="EC125" s="21">
        <f>EXP(-LN(2)/2)*EC124+(1-EXP(-LN(2)/2))/(LN(2)/2)*DW125*DZ125*VLOOKUP('Données projet'!$B$14,Paramètres!$A$1:$I$89,3,0)*0.475*44/12</f>
        <v>1.2894177533165196E-13</v>
      </c>
      <c r="ED125" s="22">
        <f t="shared" si="72"/>
        <v>0.67643603847725997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5.3066239316239274</v>
      </c>
      <c r="EJ125" s="12">
        <f>IF('Données projet'!$A$192&gt;35,EJ124+EI125-ER124,IF(A125&lt;'Données projet'!$A$192,$EG$205^A125,IF(A125='Données projet'!$A$192,'Données projet'!$B$192,EJ124+EI125-ER124)))</f>
        <v>262.3749999999996</v>
      </c>
      <c r="EK125" s="17">
        <f>EJ125*VLOOKUP('Données projet'!$B$15,Paramètres!$A$1:$I$89,3,0)*VLOOKUP('Données projet'!$B$15,Paramètres!$A$1:$I$89,5,0)</f>
        <v>266.04824999999965</v>
      </c>
      <c r="EL125" s="13">
        <f t="shared" si="99"/>
        <v>64.009889891284331</v>
      </c>
      <c r="EM125" s="20">
        <f t="shared" si="73"/>
        <v>574.85126031065295</v>
      </c>
      <c r="EN125" s="59">
        <f t="shared" si="74"/>
        <v>868.18459364398632</v>
      </c>
      <c r="EO125" s="59">
        <f ca="1">AVERAGE(OFFSET($EN$3,0,0,'Données projet'!$E$15+1,1))-AVERAGE(OFFSET($H$3,0,0,'Données projet'!$E$15+1,1))</f>
        <v>190.21499310415584</v>
      </c>
      <c r="EP125" s="59">
        <f t="shared" si="100"/>
        <v>136.15730566500173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0.9958333333333329</v>
      </c>
      <c r="FE125" s="12">
        <f>IF('Données projet'!$A$218&gt;35,FE124+FD125-FM124,IF(A125&lt;'Données projet'!$A$218,$FB$205^A125,IF(A125='Données projet'!$A$218,'Données projet'!$B$218,FE124+FD125-FM124)))</f>
        <v>85.200000000000017</v>
      </c>
      <c r="FF125" s="17">
        <f>FE125*VLOOKUP('Données projet'!$B$16,Paramètres!$A$1:$I$89,3,0)*VLOOKUP('Données projet'!$B$16,Paramètres!$A$1:$I$89,5,0)</f>
        <v>98.150400000000019</v>
      </c>
      <c r="FG125" s="13">
        <f t="shared" si="101"/>
        <v>26.520878220209799</v>
      </c>
      <c r="FH125" s="20">
        <f t="shared" si="76"/>
        <v>217.13580956686542</v>
      </c>
      <c r="FI125" s="59">
        <f t="shared" si="77"/>
        <v>510.46914290019873</v>
      </c>
      <c r="FJ125" s="59">
        <f ca="1">AVERAGE(OFFSET($FI$3,0,0,'Données projet'!$E$16+1,1))-AVERAGE(OFFSET($H$3,0,0,'Données projet'!$E$16+1,1))</f>
        <v>14.847345852478327</v>
      </c>
      <c r="FK125" s="59">
        <f t="shared" si="102"/>
        <v>46.764428272166299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0.13846900410360985</v>
      </c>
      <c r="FS125" s="21">
        <f>EXP(-LN(2)/2)*FS124+(1-EXP(-LN(2)/2))/(LN(2)/2)*FM125*FP125*VLOOKUP('Données projet'!$B$16,Paramètres!$A$1:$I$89,3,0)*0.475*44/12</f>
        <v>2.8037952322093014E-14</v>
      </c>
      <c r="FT125" s="22">
        <f t="shared" si="78"/>
        <v>0.13846900410363788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222.63461538461539</v>
      </c>
      <c r="L126" s="12">
        <f>VLOOKUP(A126,'Données projet'!$A$35:$I$55,9,0)</f>
        <v>3.8301282051282044</v>
      </c>
      <c r="M126" s="12">
        <f t="array" ref="M126">INDEX(L:L,MIN(IF(ISNUMBER(L126:L322),ROW(L126:L322),"")))</f>
        <v>3.8301282051282044</v>
      </c>
      <c r="N126" s="13">
        <f>IF('Données projet'!$A$36&gt;35,N125+M126-V125,IF(A126&lt;'Données projet'!$A$36,$K$205^A126,IF(A126='Données projet'!$A$36,'Données projet'!$B$36,N125+M126-V125)))</f>
        <v>222.63461538461576</v>
      </c>
      <c r="O126" s="13">
        <f>N126*VLOOKUP('Données projet'!$B$9,Paramètres!$A$1:$I$89,3,0)*VLOOKUP('Données projet'!$B$9,Paramètres!$A$1:$I$89,5,0)</f>
        <v>201.4398000000003</v>
      </c>
      <c r="P126" s="13">
        <f t="shared" si="87"/>
        <v>50.06045996470457</v>
      </c>
      <c r="Q126" s="20">
        <f t="shared" si="107"/>
        <v>438.02961943852762</v>
      </c>
      <c r="R126" s="59">
        <f t="shared" si="55"/>
        <v>731.36295277186093</v>
      </c>
      <c r="S126" s="59">
        <f ca="1">AVERAGE(OFFSET($R$3,0,0,'Données projet'!$E$9+1,1))-AVERAGE(OFFSET($H$3,0,0,'Données projet'!$E$9+1,1))</f>
        <v>221.7429870520005</v>
      </c>
      <c r="T126" s="59">
        <f t="shared" si="88"/>
        <v>182.2029938397186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77.17307692307692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-5.1159076974727213E-13</v>
      </c>
      <c r="AJ126" s="13">
        <f>AI126*VLOOKUP('Données projet'!$B$10,Paramètres!$A$1:$I$89,3,0)*VLOOKUP('Données projet'!$B$10,Paramètres!$A$1:$I$89,5,0)</f>
        <v>-4.0702161641092972E-13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260.20517190557814</v>
      </c>
      <c r="AO126" s="59">
        <f t="shared" si="90"/>
        <v>307.22009971147133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0.51729239266482052</v>
      </c>
      <c r="AV126" s="21">
        <f>EXP(-LN(2)/25)*AV125+(1-EXP(-LN(2)/25))/(LN(2)/25)*Calculateur!AQ126*Calculateur!AS126*VLOOKUP('Données projet'!$B$10,Paramètres!$A$1:$I$89,3,0)*0.475*44/12</f>
        <v>1.5571747911416989</v>
      </c>
      <c r="AW126" s="21">
        <f>EXP(-LN(2)/2)*AW125+(1-EXP(-LN(2)/2))/(LN(2)/2)*AQ126*AT126*VLOOKUP('Données projet'!$B$10,Paramètres!$A$1:$I$89,3,0)*0.475*44/12</f>
        <v>2.415584409234891E-13</v>
      </c>
      <c r="AX126" s="21">
        <f t="shared" si="60"/>
        <v>2.0744671838067612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553.99999999999955</v>
      </c>
      <c r="BE126" s="13">
        <f>BD126*VLOOKUP('Données projet'!$B$11,Paramètres!$A$1:$I$89,3,0)*VLOOKUP('Données projet'!$B$11,Paramètres!$A$1:$I$89,5,0)</f>
        <v>331.29199999999975</v>
      </c>
      <c r="BF126" s="13">
        <f t="shared" si="91"/>
        <v>77.698110787752</v>
      </c>
      <c r="BG126" s="20">
        <f t="shared" si="61"/>
        <v>712.32444295533423</v>
      </c>
      <c r="BH126" s="59">
        <f t="shared" si="62"/>
        <v>1005.6577762886675</v>
      </c>
      <c r="BI126" s="59">
        <f ca="1">AVERAGE(OFFSET($BH$3,0,0,'Données projet'!$E$11+1,1))-AVERAGE(OFFSET($H$3,0,0,'Données projet'!$E$11+1,1))</f>
        <v>316.58509520829671</v>
      </c>
      <c r="BJ126" s="59">
        <f t="shared" si="92"/>
        <v>240.71332110643596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0.40180996221102844</v>
      </c>
      <c r="BQ126" s="21">
        <f>EXP(-LN(2)/25)*BQ125+(1-EXP(-LN(2)/25))/(LN(2)/25)*Calculateur!BL126*Calculateur!BN126*VLOOKUP('Données projet'!$B$11,Paramètres!$A$1:$I$89,3,0)*0.475*44/12</f>
        <v>1.1586399074665972</v>
      </c>
      <c r="BR126" s="21">
        <f>EXP(-LN(2)/2)*BR125+(1-EXP(-LN(2)/2))/(LN(2)/2)*BL126*BO126*VLOOKUP('Données projet'!$B$11,Paramètres!$A$1:$I$89,3,0)*0.475*44/12</f>
        <v>2.2045950145858828E-13</v>
      </c>
      <c r="BS126" s="22">
        <f t="shared" si="63"/>
        <v>1.5604498696778462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497</v>
      </c>
      <c r="BZ126" s="13">
        <f>BY126*VLOOKUP('Données projet'!$B$12,Paramètres!$A$1:$I$89,3,0)*VLOOKUP('Données projet'!$B$12,Paramètres!$A$1:$I$89,5,0)</f>
        <v>297.20600000000002</v>
      </c>
      <c r="CA126" s="13">
        <f t="shared" si="93"/>
        <v>70.590415164571112</v>
      </c>
      <c r="CB126" s="20">
        <f t="shared" si="64"/>
        <v>640.57875641162809</v>
      </c>
      <c r="CC126" s="59">
        <f t="shared" si="65"/>
        <v>933.91208974496135</v>
      </c>
      <c r="CD126" s="59">
        <f ca="1">AVERAGE(OFFSET($CC$3,0,0,'Données projet'!$E$12+1,1))-AVERAGE(OFFSET($H$3,0,0,'Données projet'!$E$12+1,1))</f>
        <v>270.30888762640245</v>
      </c>
      <c r="CE126" s="59">
        <f t="shared" si="94"/>
        <v>202.23783851977691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0.33955771454453082</v>
      </c>
      <c r="CL126" s="21">
        <f>EXP(-LN(2)/25)*CL125+(1-EXP(-LN(2)/25))/(LN(2)/25)*Calculateur!CG126*Calculateur!CI126*VLOOKUP('Données projet'!$B$12,Paramètres!$A$1:$I$89,3,0)*0.475*44/12</f>
        <v>0.93304867908168077</v>
      </c>
      <c r="CM126" s="21">
        <f>EXP(-LN(2)/2)*CM125+(1-EXP(-LN(2)/2))/(LN(2)/2)*CG126*CJ126*VLOOKUP('Données projet'!$B$12,Paramètres!$A$1:$I$89,3,0)*0.475*44/12</f>
        <v>1.8582467381117266E-13</v>
      </c>
      <c r="CN126" s="22">
        <f t="shared" si="66"/>
        <v>1.2726063936263974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-5.1159076974727213E-13</v>
      </c>
      <c r="CU126" s="17">
        <f>CT126*VLOOKUP('Données projet'!$B$13,Paramètres!$A$1:$I$89,3,0)*VLOOKUP('Données projet'!$B$13,Paramètres!$A$1:$I$89,5,0)</f>
        <v>-3.4317508834647017E-13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207.93042467236967</v>
      </c>
      <c r="CZ126" s="59">
        <f t="shared" si="96"/>
        <v>250.70954318710835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0.43614848793308347</v>
      </c>
      <c r="DG126" s="21">
        <f>EXP(-LN(2)/25)*DG125+(1-EXP(-LN(2)/25))/(LN(2)/25)*Calculateur!DB126*Calculateur!DD126*VLOOKUP('Données projet'!$B$13,Paramètres!$A$1:$I$89,3,0)*0.475*44/12</f>
        <v>1.312912078805748</v>
      </c>
      <c r="DH126" s="21">
        <f>EXP(-LN(2)/2)*DH125+(1-EXP(-LN(2)/2))/(LN(2)/2)*DB126*DE126*VLOOKUP('Données projet'!$B$13,Paramètres!$A$1:$I$89,3,0)*0.475*44/12</f>
        <v>2.0366692077862806E-13</v>
      </c>
      <c r="DI126" s="22">
        <f t="shared" si="69"/>
        <v>1.7490605667390351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5.6843418860808015E-14</v>
      </c>
      <c r="DP126" s="17">
        <f>DO126*VLOOKUP('Données projet'!$B$14,Paramètres!$A$1:$I$89,3,0)*VLOOKUP('Données projet'!$B$14,Paramètres!$A$1:$I$89,5,0)</f>
        <v>3.813056537183002E-14</v>
      </c>
      <c r="DQ126" s="13">
        <f t="shared" si="97"/>
        <v>6.4086286045526829E-13</v>
      </c>
      <c r="DR126" s="20">
        <f t="shared" si="70"/>
        <v>1.1825802166488628E-12</v>
      </c>
      <c r="DS126" s="59">
        <f t="shared" si="71"/>
        <v>293.33333333333451</v>
      </c>
      <c r="DT126" s="59">
        <f ca="1">AVERAGE(OFFSET($DS$3,0,0,'Données projet'!$E$14+1,1))-AVERAGE(OFFSET($H$3,0,0,'Données projet'!$E$14+1,1))</f>
        <v>156.63226020379989</v>
      </c>
      <c r="DU126" s="59">
        <f t="shared" si="98"/>
        <v>196.0481096619543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0.65793885943274866</v>
      </c>
      <c r="EC126" s="21">
        <f>EXP(-LN(2)/2)*EC125+(1-EXP(-LN(2)/2))/(LN(2)/2)*DW126*DZ126*VLOOKUP('Données projet'!$B$14,Paramètres!$A$1:$I$89,3,0)*0.475*44/12</f>
        <v>9.1175603715243395E-14</v>
      </c>
      <c r="ED126" s="22">
        <f t="shared" si="72"/>
        <v>0.65793885943283981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5.3066239316239274</v>
      </c>
      <c r="EJ126" s="12">
        <f>IF('Données projet'!$A$192&gt;35,EJ125+EI126-ER125,IF(A126&lt;'Données projet'!$A$192,$EG$205^A126,IF(A126='Données projet'!$A$192,'Données projet'!$B$192,EJ125+EI126-ER125)))</f>
        <v>267.68162393162351</v>
      </c>
      <c r="EK126" s="17">
        <f>EJ126*VLOOKUP('Données projet'!$B$15,Paramètres!$A$1:$I$89,3,0)*VLOOKUP('Données projet'!$B$15,Paramètres!$A$1:$I$89,5,0)</f>
        <v>271.42916666666628</v>
      </c>
      <c r="EL126" s="13">
        <f t="shared" si="99"/>
        <v>65.152481270117946</v>
      </c>
      <c r="EM126" s="20">
        <f t="shared" si="73"/>
        <v>586.21303682323253</v>
      </c>
      <c r="EN126" s="59">
        <f t="shared" si="74"/>
        <v>879.5463701565659</v>
      </c>
      <c r="EO126" s="59">
        <f ca="1">AVERAGE(OFFSET($EN$3,0,0,'Données projet'!$E$15+1,1))-AVERAGE(OFFSET($H$3,0,0,'Données projet'!$E$15+1,1))</f>
        <v>190.21499310415584</v>
      </c>
      <c r="EP126" s="59">
        <f t="shared" si="100"/>
        <v>136.15730566500173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0.9958333333333329</v>
      </c>
      <c r="FE126" s="12">
        <f>IF('Données projet'!$A$218&gt;35,FE125+FD126-FM125,IF(A126&lt;'Données projet'!$A$218,$FB$205^A126,IF(A126='Données projet'!$A$218,'Données projet'!$B$218,FE125+FD126-FM125)))</f>
        <v>86.195833333333354</v>
      </c>
      <c r="FF126" s="17">
        <f>FE126*VLOOKUP('Données projet'!$B$16,Paramètres!$A$1:$I$89,3,0)*VLOOKUP('Données projet'!$B$16,Paramètres!$A$1:$I$89,5,0)</f>
        <v>99.297600000000017</v>
      </c>
      <c r="FG126" s="13">
        <f t="shared" si="101"/>
        <v>26.794591847859593</v>
      </c>
      <c r="FH126" s="20">
        <f t="shared" si="76"/>
        <v>219.61056746835547</v>
      </c>
      <c r="FI126" s="59">
        <f t="shared" si="77"/>
        <v>512.94390080168876</v>
      </c>
      <c r="FJ126" s="59">
        <f ca="1">AVERAGE(OFFSET($FI$3,0,0,'Données projet'!$E$16+1,1))-AVERAGE(OFFSET($H$3,0,0,'Données projet'!$E$16+1,1))</f>
        <v>14.847345852478327</v>
      </c>
      <c r="FK126" s="59">
        <f t="shared" si="102"/>
        <v>46.764428272166299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0.13468256190462818</v>
      </c>
      <c r="FS126" s="21">
        <f>EXP(-LN(2)/2)*FS125+(1-EXP(-LN(2)/2))/(LN(2)/2)*FM126*FP126*VLOOKUP('Données projet'!$B$16,Paramètres!$A$1:$I$89,3,0)*0.475*44/12</f>
        <v>1.9825826217537078E-14</v>
      </c>
      <c r="FT126" s="22">
        <f t="shared" si="78"/>
        <v>0.134682561904648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2.3349358974358978</v>
      </c>
      <c r="N127" s="13">
        <f>IF('Données projet'!$A$36&gt;35,N126+M127-V126,IF(A127&lt;'Données projet'!$A$36,$K$205^A127,IF(A127='Données projet'!$A$36,'Données projet'!$B$36,N126+M127-V126)))</f>
        <v>147.79647435897476</v>
      </c>
      <c r="O127" s="13">
        <f>N127*VLOOKUP('Données projet'!$B$9,Paramètres!$A$1:$I$89,3,0)*VLOOKUP('Données projet'!$B$9,Paramètres!$A$1:$I$89,5,0)</f>
        <v>133.72625000000036</v>
      </c>
      <c r="P127" s="13">
        <f t="shared" si="87"/>
        <v>34.855965018185714</v>
      </c>
      <c r="Q127" s="20">
        <f t="shared" si="107"/>
        <v>293.61402449000741</v>
      </c>
      <c r="R127" s="59">
        <f t="shared" si="55"/>
        <v>586.94735782334078</v>
      </c>
      <c r="S127" s="59">
        <f ca="1">AVERAGE(OFFSET($R$3,0,0,'Données projet'!$E$9+1,1))-AVERAGE(OFFSET($H$3,0,0,'Données projet'!$E$9+1,1))</f>
        <v>221.7429870520005</v>
      </c>
      <c r="T127" s="59">
        <f t="shared" si="88"/>
        <v>182.2029938397186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-5.1159076974727213E-13</v>
      </c>
      <c r="AJ127" s="13">
        <f>AI127*VLOOKUP('Données projet'!$B$10,Paramètres!$A$1:$I$89,3,0)*VLOOKUP('Données projet'!$B$10,Paramètres!$A$1:$I$89,5,0)</f>
        <v>-4.0702161641092972E-13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260.20517190557814</v>
      </c>
      <c r="AO127" s="59">
        <f t="shared" si="90"/>
        <v>307.22009971147133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0.50714860436186815</v>
      </c>
      <c r="AV127" s="21">
        <f>EXP(-LN(2)/25)*AV126+(1-EXP(-LN(2)/25))/(LN(2)/25)*Calculateur!AQ127*Calculateur!AS127*VLOOKUP('Données projet'!$B$10,Paramètres!$A$1:$I$89,3,0)*0.475*44/12</f>
        <v>1.5145937645896659</v>
      </c>
      <c r="AW127" s="21">
        <f>EXP(-LN(2)/2)*AW126+(1-EXP(-LN(2)/2))/(LN(2)/2)*AQ127*AT127*VLOOKUP('Données projet'!$B$10,Paramètres!$A$1:$I$89,3,0)*0.475*44/12</f>
        <v>1.7080761162984918E-13</v>
      </c>
      <c r="AX127" s="21">
        <f t="shared" si="60"/>
        <v>2.0217423689517049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553.99999999999955</v>
      </c>
      <c r="BE127" s="13">
        <f>BD127*VLOOKUP('Données projet'!$B$11,Paramètres!$A$1:$I$89,3,0)*VLOOKUP('Données projet'!$B$11,Paramètres!$A$1:$I$89,5,0)</f>
        <v>331.29199999999975</v>
      </c>
      <c r="BF127" s="13">
        <f t="shared" si="91"/>
        <v>77.698110787752</v>
      </c>
      <c r="BG127" s="20">
        <f t="shared" si="61"/>
        <v>712.32444295533423</v>
      </c>
      <c r="BH127" s="59">
        <f t="shared" si="62"/>
        <v>1005.6577762886675</v>
      </c>
      <c r="BI127" s="59">
        <f ca="1">AVERAGE(OFFSET($BH$3,0,0,'Données projet'!$E$11+1,1))-AVERAGE(OFFSET($H$3,0,0,'Données projet'!$E$11+1,1))</f>
        <v>316.58509520829671</v>
      </c>
      <c r="BJ127" s="59">
        <f t="shared" si="92"/>
        <v>240.71332110643596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0.39393071393194751</v>
      </c>
      <c r="BQ127" s="21">
        <f>EXP(-LN(2)/25)*BQ126+(1-EXP(-LN(2)/25))/(LN(2)/25)*Calculateur!BL127*Calculateur!BN127*VLOOKUP('Données projet'!$B$11,Paramètres!$A$1:$I$89,3,0)*0.475*44/12</f>
        <v>1.1269568382666983</v>
      </c>
      <c r="BR127" s="21">
        <f>EXP(-LN(2)/2)*BR126+(1-EXP(-LN(2)/2))/(LN(2)/2)*BL127*BO127*VLOOKUP('Données projet'!$B$11,Paramètres!$A$1:$I$89,3,0)*0.475*44/12</f>
        <v>1.5588840845837334E-13</v>
      </c>
      <c r="BS127" s="22">
        <f t="shared" si="63"/>
        <v>1.5208875521988017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497</v>
      </c>
      <c r="BZ127" s="13">
        <f>BY127*VLOOKUP('Données projet'!$B$12,Paramètres!$A$1:$I$89,3,0)*VLOOKUP('Données projet'!$B$12,Paramètres!$A$1:$I$89,5,0)</f>
        <v>297.20600000000002</v>
      </c>
      <c r="CA127" s="13">
        <f t="shared" si="93"/>
        <v>70.590415164571112</v>
      </c>
      <c r="CB127" s="20">
        <f t="shared" si="64"/>
        <v>640.57875641162809</v>
      </c>
      <c r="CC127" s="59">
        <f t="shared" si="65"/>
        <v>933.91208974496135</v>
      </c>
      <c r="CD127" s="59">
        <f ca="1">AVERAGE(OFFSET($CC$3,0,0,'Données projet'!$E$12+1,1))-AVERAGE(OFFSET($H$3,0,0,'Données projet'!$E$12+1,1))</f>
        <v>270.30888762640245</v>
      </c>
      <c r="CE127" s="59">
        <f t="shared" si="94"/>
        <v>202.23783851977691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0.33289919487206804</v>
      </c>
      <c r="CL127" s="21">
        <f>EXP(-LN(2)/25)*CL126+(1-EXP(-LN(2)/25))/(LN(2)/25)*Calculateur!CG127*Calculateur!CI127*VLOOKUP('Données projet'!$B$12,Paramètres!$A$1:$I$89,3,0)*0.475*44/12</f>
        <v>0.90753441388529466</v>
      </c>
      <c r="CM127" s="21">
        <f>EXP(-LN(2)/2)*CM126+(1-EXP(-LN(2)/2))/(LN(2)/2)*CG127*CJ127*VLOOKUP('Données projet'!$B$12,Paramètres!$A$1:$I$89,3,0)*0.475*44/12</f>
        <v>1.3139788696365844E-13</v>
      </c>
      <c r="CN127" s="22">
        <f t="shared" si="66"/>
        <v>1.2404336087574941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-5.1159076974727213E-13</v>
      </c>
      <c r="CU127" s="17">
        <f>CT127*VLOOKUP('Données projet'!$B$13,Paramètres!$A$1:$I$89,3,0)*VLOOKUP('Données projet'!$B$13,Paramètres!$A$1:$I$89,5,0)</f>
        <v>-3.4317508834647017E-13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207.93042467236967</v>
      </c>
      <c r="CZ127" s="59">
        <f t="shared" si="96"/>
        <v>250.70954318710835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0.4275958821090256</v>
      </c>
      <c r="DG127" s="21">
        <f>EXP(-LN(2)/25)*DG126+(1-EXP(-LN(2)/25))/(LN(2)/25)*Calculateur!DB127*Calculateur!DD127*VLOOKUP('Données projet'!$B$13,Paramètres!$A$1:$I$89,3,0)*0.475*44/12</f>
        <v>1.2770104289677593</v>
      </c>
      <c r="DH127" s="21">
        <f>EXP(-LN(2)/2)*DH126+(1-EXP(-LN(2)/2))/(LN(2)/2)*DB127*DE127*VLOOKUP('Données projet'!$B$13,Paramètres!$A$1:$I$89,3,0)*0.475*44/12</f>
        <v>1.4401426078595126E-13</v>
      </c>
      <c r="DI127" s="22">
        <f t="shared" si="69"/>
        <v>1.7046063110769289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5.6843418860808015E-14</v>
      </c>
      <c r="DP127" s="17">
        <f>DO127*VLOOKUP('Données projet'!$B$14,Paramètres!$A$1:$I$89,3,0)*VLOOKUP('Données projet'!$B$14,Paramètres!$A$1:$I$89,5,0)</f>
        <v>3.813056537183002E-14</v>
      </c>
      <c r="DQ127" s="13">
        <f t="shared" si="97"/>
        <v>6.4086286045526829E-13</v>
      </c>
      <c r="DR127" s="20">
        <f t="shared" si="70"/>
        <v>1.1825802166488628E-12</v>
      </c>
      <c r="DS127" s="59">
        <f t="shared" si="71"/>
        <v>293.33333333333451</v>
      </c>
      <c r="DT127" s="59">
        <f ca="1">AVERAGE(OFFSET($DS$3,0,0,'Données projet'!$E$14+1,1))-AVERAGE(OFFSET($H$3,0,0,'Données projet'!$E$14+1,1))</f>
        <v>156.63226020379989</v>
      </c>
      <c r="DU127" s="59">
        <f t="shared" si="98"/>
        <v>196.0481096619543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0.63994748672205926</v>
      </c>
      <c r="EC127" s="21">
        <f>EXP(-LN(2)/2)*EC126+(1-EXP(-LN(2)/2))/(LN(2)/2)*DW127*DZ127*VLOOKUP('Données projet'!$B$14,Paramètres!$A$1:$I$89,3,0)*0.475*44/12</f>
        <v>6.4470887665825981E-14</v>
      </c>
      <c r="ED127" s="22">
        <f t="shared" si="72"/>
        <v>0.63994748672212376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5.3066239316239274</v>
      </c>
      <c r="EJ127" s="12">
        <f>IF('Données projet'!$A$192&gt;35,EJ126+EI127-ER126,IF(A127&lt;'Données projet'!$A$192,$EG$205^A127,IF(A127='Données projet'!$A$192,'Données projet'!$B$192,EJ126+EI127-ER126)))</f>
        <v>272.98824786324741</v>
      </c>
      <c r="EK127" s="17">
        <f>EJ127*VLOOKUP('Données projet'!$B$15,Paramètres!$A$1:$I$89,3,0)*VLOOKUP('Données projet'!$B$15,Paramètres!$A$1:$I$89,5,0)</f>
        <v>276.8100833333329</v>
      </c>
      <c r="EL127" s="13">
        <f t="shared" si="99"/>
        <v>66.292438909774205</v>
      </c>
      <c r="EM127" s="20">
        <f t="shared" si="73"/>
        <v>597.57022624007823</v>
      </c>
      <c r="EN127" s="59">
        <f t="shared" si="74"/>
        <v>890.90355957341148</v>
      </c>
      <c r="EO127" s="59">
        <f ca="1">AVERAGE(OFFSET($EN$3,0,0,'Données projet'!$E$15+1,1))-AVERAGE(OFFSET($H$3,0,0,'Données projet'!$E$15+1,1))</f>
        <v>190.21499310415584</v>
      </c>
      <c r="EP127" s="59">
        <f t="shared" si="100"/>
        <v>136.15730566500173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0.9958333333333329</v>
      </c>
      <c r="FE127" s="12">
        <f>IF('Données projet'!$A$218&gt;35,FE126+FD127-FM126,IF(A127&lt;'Données projet'!$A$218,$FB$205^A127,IF(A127='Données projet'!$A$218,'Données projet'!$B$218,FE126+FD127-FM126)))</f>
        <v>87.191666666666691</v>
      </c>
      <c r="FF127" s="17">
        <f>FE127*VLOOKUP('Données projet'!$B$16,Paramètres!$A$1:$I$89,3,0)*VLOOKUP('Données projet'!$B$16,Paramètres!$A$1:$I$89,5,0)</f>
        <v>100.44480000000003</v>
      </c>
      <c r="FG127" s="13">
        <f t="shared" si="101"/>
        <v>27.067937627829998</v>
      </c>
      <c r="FH127" s="20">
        <f t="shared" si="76"/>
        <v>222.08468470180398</v>
      </c>
      <c r="FI127" s="59">
        <f t="shared" si="77"/>
        <v>515.41801803513727</v>
      </c>
      <c r="FJ127" s="59">
        <f ca="1">AVERAGE(OFFSET($FI$3,0,0,'Données projet'!$E$16+1,1))-AVERAGE(OFFSET($H$3,0,0,'Données projet'!$E$16+1,1))</f>
        <v>14.847345852478327</v>
      </c>
      <c r="FK127" s="59">
        <f t="shared" si="102"/>
        <v>46.764428272166299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0.13099966016669801</v>
      </c>
      <c r="FS127" s="21">
        <f>EXP(-LN(2)/2)*FS126+(1-EXP(-LN(2)/2))/(LN(2)/2)*FM127*FP127*VLOOKUP('Données projet'!$B$16,Paramètres!$A$1:$I$89,3,0)*0.475*44/12</f>
        <v>1.4018976161046509E-14</v>
      </c>
      <c r="FT127" s="22">
        <f t="shared" si="78"/>
        <v>0.13099966016671202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2.3349358974358978</v>
      </c>
      <c r="N128" s="13">
        <f>IF('Données projet'!$A$36&gt;35,N127+M128-V127,IF(A128&lt;'Données projet'!$A$36,$K$205^A128,IF(A128='Données projet'!$A$36,'Données projet'!$B$36,N127+M128-V127)))</f>
        <v>150.13141025641067</v>
      </c>
      <c r="O128" s="13">
        <f>N128*VLOOKUP('Données projet'!$B$9,Paramètres!$A$1:$I$89,3,0)*VLOOKUP('Données projet'!$B$9,Paramètres!$A$1:$I$89,5,0)</f>
        <v>135.83890000000036</v>
      </c>
      <c r="P128" s="13">
        <f t="shared" si="87"/>
        <v>35.342088427890417</v>
      </c>
      <c r="Q128" s="20">
        <f t="shared" si="107"/>
        <v>298.14022151190977</v>
      </c>
      <c r="R128" s="59">
        <f t="shared" si="55"/>
        <v>591.47355484524314</v>
      </c>
      <c r="S128" s="59">
        <f ca="1">AVERAGE(OFFSET($R$3,0,0,'Données projet'!$E$9+1,1))-AVERAGE(OFFSET($H$3,0,0,'Données projet'!$E$9+1,1))</f>
        <v>221.7429870520005</v>
      </c>
      <c r="T128" s="59">
        <f t="shared" si="88"/>
        <v>182.2029938397186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-5.1159076974727213E-13</v>
      </c>
      <c r="AJ128" s="13">
        <f>AI128*VLOOKUP('Données projet'!$B$10,Paramètres!$A$1:$I$89,3,0)*VLOOKUP('Données projet'!$B$10,Paramètres!$A$1:$I$89,5,0)</f>
        <v>-4.0702161641092972E-13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260.20517190557814</v>
      </c>
      <c r="AO128" s="59">
        <f t="shared" si="90"/>
        <v>307.22009971147133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0.49720372956043679</v>
      </c>
      <c r="AV128" s="21">
        <f>EXP(-LN(2)/25)*AV127+(1-EXP(-LN(2)/25))/(LN(2)/25)*Calculateur!AQ128*Calculateur!AS128*VLOOKUP('Données projet'!$B$10,Paramètres!$A$1:$I$89,3,0)*0.475*44/12</f>
        <v>1.473177118447937</v>
      </c>
      <c r="AW128" s="21">
        <f>EXP(-LN(2)/2)*AW127+(1-EXP(-LN(2)/2))/(LN(2)/2)*AQ128*AT128*VLOOKUP('Données projet'!$B$10,Paramètres!$A$1:$I$89,3,0)*0.475*44/12</f>
        <v>1.2077922046174455E-13</v>
      </c>
      <c r="AX128" s="21">
        <f t="shared" si="60"/>
        <v>1.9703808480084946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553.99999999999955</v>
      </c>
      <c r="BE128" s="13">
        <f>BD128*VLOOKUP('Données projet'!$B$11,Paramètres!$A$1:$I$89,3,0)*VLOOKUP('Données projet'!$B$11,Paramètres!$A$1:$I$89,5,0)</f>
        <v>331.29199999999975</v>
      </c>
      <c r="BF128" s="13">
        <f t="shared" si="91"/>
        <v>77.698110787752</v>
      </c>
      <c r="BG128" s="20">
        <f t="shared" si="61"/>
        <v>712.32444295533423</v>
      </c>
      <c r="BH128" s="59">
        <f t="shared" si="62"/>
        <v>1005.6577762886675</v>
      </c>
      <c r="BI128" s="59">
        <f ca="1">AVERAGE(OFFSET($BH$3,0,0,'Données projet'!$E$11+1,1))-AVERAGE(OFFSET($H$3,0,0,'Données projet'!$E$11+1,1))</f>
        <v>316.58509520829671</v>
      </c>
      <c r="BJ128" s="59">
        <f t="shared" si="92"/>
        <v>240.71332110643596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0.38620597290575243</v>
      </c>
      <c r="BQ128" s="21">
        <f>EXP(-LN(2)/25)*BQ127+(1-EXP(-LN(2)/25))/(LN(2)/25)*Calculateur!BL128*Calculateur!BN128*VLOOKUP('Données projet'!$B$11,Paramètres!$A$1:$I$89,3,0)*0.475*44/12</f>
        <v>1.096140144260211</v>
      </c>
      <c r="BR128" s="21">
        <f>EXP(-LN(2)/2)*BR127+(1-EXP(-LN(2)/2))/(LN(2)/2)*BL128*BO128*VLOOKUP('Données projet'!$B$11,Paramètres!$A$1:$I$89,3,0)*0.475*44/12</f>
        <v>1.1022975072929414E-13</v>
      </c>
      <c r="BS128" s="22">
        <f t="shared" si="63"/>
        <v>1.4823461171660735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497</v>
      </c>
      <c r="BZ128" s="13">
        <f>BY128*VLOOKUP('Données projet'!$B$12,Paramètres!$A$1:$I$89,3,0)*VLOOKUP('Données projet'!$B$12,Paramètres!$A$1:$I$89,5,0)</f>
        <v>297.20600000000002</v>
      </c>
      <c r="CA128" s="13">
        <f t="shared" si="93"/>
        <v>70.590415164571112</v>
      </c>
      <c r="CB128" s="20">
        <f t="shared" si="64"/>
        <v>640.57875641162809</v>
      </c>
      <c r="CC128" s="59">
        <f t="shared" si="65"/>
        <v>933.91208974496135</v>
      </c>
      <c r="CD128" s="59">
        <f ca="1">AVERAGE(OFFSET($CC$3,0,0,'Données projet'!$E$12+1,1))-AVERAGE(OFFSET($H$3,0,0,'Données projet'!$E$12+1,1))</f>
        <v>270.30888762640245</v>
      </c>
      <c r="CE128" s="59">
        <f t="shared" si="94"/>
        <v>202.23783851977691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0.32637124470908629</v>
      </c>
      <c r="CL128" s="21">
        <f>EXP(-LN(2)/25)*CL127+(1-EXP(-LN(2)/25))/(LN(2)/25)*Calculateur!CG128*Calculateur!CI128*VLOOKUP('Données projet'!$B$12,Paramètres!$A$1:$I$89,3,0)*0.475*44/12</f>
        <v>0.8827178376124406</v>
      </c>
      <c r="CM128" s="21">
        <f>EXP(-LN(2)/2)*CM127+(1-EXP(-LN(2)/2))/(LN(2)/2)*CG128*CJ128*VLOOKUP('Données projet'!$B$12,Paramètres!$A$1:$I$89,3,0)*0.475*44/12</f>
        <v>9.2912336905586332E-14</v>
      </c>
      <c r="CN128" s="22">
        <f t="shared" si="66"/>
        <v>1.2090890823216198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-5.1159076974727213E-13</v>
      </c>
      <c r="CU128" s="17">
        <f>CT128*VLOOKUP('Données projet'!$B$13,Paramètres!$A$1:$I$89,3,0)*VLOOKUP('Données projet'!$B$13,Paramètres!$A$1:$I$89,5,0)</f>
        <v>-3.4317508834647017E-13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207.93042467236967</v>
      </c>
      <c r="CZ128" s="59">
        <f t="shared" si="96"/>
        <v>250.70954318710835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0.4192109876686031</v>
      </c>
      <c r="DG128" s="21">
        <f>EXP(-LN(2)/25)*DG127+(1-EXP(-LN(2)/25))/(LN(2)/25)*Calculateur!DB128*Calculateur!DD128*VLOOKUP('Données projet'!$B$13,Paramètres!$A$1:$I$89,3,0)*0.475*44/12</f>
        <v>1.242090511632576</v>
      </c>
      <c r="DH128" s="21">
        <f>EXP(-LN(2)/2)*DH127+(1-EXP(-LN(2)/2))/(LN(2)/2)*DB128*DE128*VLOOKUP('Données projet'!$B$13,Paramètres!$A$1:$I$89,3,0)*0.475*44/12</f>
        <v>1.0183346038931403E-13</v>
      </c>
      <c r="DI128" s="22">
        <f t="shared" si="69"/>
        <v>1.6613014993012809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5.6843418860808015E-14</v>
      </c>
      <c r="DP128" s="17">
        <f>DO128*VLOOKUP('Données projet'!$B$14,Paramètres!$A$1:$I$89,3,0)*VLOOKUP('Données projet'!$B$14,Paramètres!$A$1:$I$89,5,0)</f>
        <v>3.813056537183002E-14</v>
      </c>
      <c r="DQ128" s="13">
        <f t="shared" si="97"/>
        <v>6.4086286045526829E-13</v>
      </c>
      <c r="DR128" s="20">
        <f t="shared" si="70"/>
        <v>1.1825802166488628E-12</v>
      </c>
      <c r="DS128" s="59">
        <f t="shared" si="71"/>
        <v>293.33333333333451</v>
      </c>
      <c r="DT128" s="59">
        <f ca="1">AVERAGE(OFFSET($DS$3,0,0,'Données projet'!$E$14+1,1))-AVERAGE(OFFSET($H$3,0,0,'Données projet'!$E$14+1,1))</f>
        <v>156.63226020379989</v>
      </c>
      <c r="DU128" s="59">
        <f t="shared" si="98"/>
        <v>196.0481096619543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0.62244808904426885</v>
      </c>
      <c r="EC128" s="21">
        <f>EXP(-LN(2)/2)*EC127+(1-EXP(-LN(2)/2))/(LN(2)/2)*DW128*DZ128*VLOOKUP('Données projet'!$B$14,Paramètres!$A$1:$I$89,3,0)*0.475*44/12</f>
        <v>4.5587801857621697E-14</v>
      </c>
      <c r="ED128" s="22">
        <f t="shared" si="72"/>
        <v>0.62244808904431448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>
        <f>VLOOKUP(A128,'Données projet'!$A$191:$I$211,2,0)</f>
        <v>278.29487179487177</v>
      </c>
      <c r="EH128" s="12">
        <f>VLOOKUP(A128,'Données projet'!$A$191:$I$211,9,0)</f>
        <v>5.3066239316239274</v>
      </c>
      <c r="EI128" s="12">
        <f t="array" ref="EI128">INDEX(EH:EH,MIN(IF(ISNUMBER(EH128:EH324),ROW(EH128:EH324),"")))</f>
        <v>5.3066239316239274</v>
      </c>
      <c r="EJ128" s="12">
        <f>IF('Données projet'!$A$192&gt;35,EJ127+EI128-ER127,IF(A128&lt;'Données projet'!$A$192,$EG$205^A128,IF(A128='Données projet'!$A$192,'Données projet'!$B$192,EJ127+EI128-ER127)))</f>
        <v>278.29487179487131</v>
      </c>
      <c r="EK128" s="17">
        <f>EJ128*VLOOKUP('Données projet'!$B$15,Paramètres!$A$1:$I$89,3,0)*VLOOKUP('Données projet'!$B$15,Paramètres!$A$1:$I$89,5,0)</f>
        <v>282.19099999999952</v>
      </c>
      <c r="EL128" s="13">
        <f t="shared" si="99"/>
        <v>67.429819909567854</v>
      </c>
      <c r="EM128" s="20">
        <f t="shared" si="73"/>
        <v>608.92292800916312</v>
      </c>
      <c r="EN128" s="59">
        <f t="shared" si="74"/>
        <v>902.25626134249637</v>
      </c>
      <c r="EO128" s="59">
        <f ca="1">AVERAGE(OFFSET($EN$3,0,0,'Données projet'!$E$15+1,1))-AVERAGE(OFFSET($H$3,0,0,'Données projet'!$E$15+1,1))</f>
        <v>190.21499310415584</v>
      </c>
      <c r="EP128" s="59">
        <f t="shared" si="100"/>
        <v>136.15730566500173</v>
      </c>
      <c r="EQ128" s="15">
        <f>IF(ISNA(VLOOKUP(A128,'Données projet'!$A$191:$I$211,3,0)),0,VLOOKUP(A128,'Données projet'!$A$191:$I$211,3,0))</f>
        <v>10</v>
      </c>
      <c r="ER128" s="15">
        <f>IF(ISNA(VLOOKUP(A128,'Données projet'!$A$191:$I$211,4,0)),0,VLOOKUP(A128,'Données projet'!$A$191:$I$211,4,0))</f>
        <v>48.160256410256409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0.9958333333333329</v>
      </c>
      <c r="FE128" s="12">
        <f>IF('Données projet'!$A$218&gt;35,FE127+FD128-FM127,IF(A128&lt;'Données projet'!$A$218,$FB$205^A128,IF(A128='Données projet'!$A$218,'Données projet'!$B$218,FE127+FD128-FM127)))</f>
        <v>88.187500000000028</v>
      </c>
      <c r="FF128" s="17">
        <f>FE128*VLOOKUP('Données projet'!$B$16,Paramètres!$A$1:$I$89,3,0)*VLOOKUP('Données projet'!$B$16,Paramètres!$A$1:$I$89,5,0)</f>
        <v>101.59200000000003</v>
      </c>
      <c r="FG128" s="13">
        <f t="shared" si="101"/>
        <v>27.340920247497809</v>
      </c>
      <c r="FH128" s="20">
        <f t="shared" si="76"/>
        <v>224.5581694310587</v>
      </c>
      <c r="FI128" s="59">
        <f t="shared" si="77"/>
        <v>517.89150276439204</v>
      </c>
      <c r="FJ128" s="59">
        <f ca="1">AVERAGE(OFFSET($FI$3,0,0,'Données projet'!$E$16+1,1))-AVERAGE(OFFSET($H$3,0,0,'Données projet'!$E$16+1,1))</f>
        <v>14.847345852478327</v>
      </c>
      <c r="FK128" s="59">
        <f t="shared" si="102"/>
        <v>46.764428272166299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0.12741746757046693</v>
      </c>
      <c r="FS128" s="21">
        <f>EXP(-LN(2)/2)*FS127+(1-EXP(-LN(2)/2))/(LN(2)/2)*FM128*FP128*VLOOKUP('Données projet'!$B$16,Paramètres!$A$1:$I$89,3,0)*0.475*44/12</f>
        <v>9.9129131087685406E-15</v>
      </c>
      <c r="FT128" s="22">
        <f t="shared" si="78"/>
        <v>0.12741746757047684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2.3349358974358978</v>
      </c>
      <c r="N129" s="13">
        <f>IF('Données projet'!$A$36&gt;35,N128+M129-V128,IF(A129&lt;'Données projet'!$A$36,$K$205^A129,IF(A129='Données projet'!$A$36,'Données projet'!$B$36,N128+M129-V128)))</f>
        <v>152.46634615384659</v>
      </c>
      <c r="O129" s="13">
        <f>N129*VLOOKUP('Données projet'!$B$9,Paramètres!$A$1:$I$89,3,0)*VLOOKUP('Données projet'!$B$9,Paramètres!$A$1:$I$89,5,0)</f>
        <v>137.9515500000004</v>
      </c>
      <c r="P129" s="13">
        <f t="shared" si="87"/>
        <v>35.827332555199952</v>
      </c>
      <c r="Q129" s="20">
        <f t="shared" si="107"/>
        <v>302.66488711697389</v>
      </c>
      <c r="R129" s="59">
        <f t="shared" si="55"/>
        <v>595.99822045030714</v>
      </c>
      <c r="S129" s="59">
        <f ca="1">AVERAGE(OFFSET($R$3,0,0,'Données projet'!$E$9+1,1))-AVERAGE(OFFSET($H$3,0,0,'Données projet'!$E$9+1,1))</f>
        <v>221.7429870520005</v>
      </c>
      <c r="T129" s="59">
        <f t="shared" si="88"/>
        <v>182.2029938397186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-5.1159076974727213E-13</v>
      </c>
      <c r="AJ129" s="13">
        <f>AI129*VLOOKUP('Données projet'!$B$10,Paramètres!$A$1:$I$89,3,0)*VLOOKUP('Données projet'!$B$10,Paramètres!$A$1:$I$89,5,0)</f>
        <v>-4.0702161641092972E-13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260.20517190557814</v>
      </c>
      <c r="AO129" s="59">
        <f t="shared" si="90"/>
        <v>307.22009971147133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0.48745386768808679</v>
      </c>
      <c r="AV129" s="21">
        <f>EXP(-LN(2)/25)*AV128+(1-EXP(-LN(2)/25))/(LN(2)/25)*Calculateur!AQ129*Calculateur!AS129*VLOOKUP('Données projet'!$B$10,Paramètres!$A$1:$I$89,3,0)*0.475*44/12</f>
        <v>1.4328930126729604</v>
      </c>
      <c r="AW129" s="21">
        <f>EXP(-LN(2)/2)*AW128+(1-EXP(-LN(2)/2))/(LN(2)/2)*AQ129*AT129*VLOOKUP('Données projet'!$B$10,Paramètres!$A$1:$I$89,3,0)*0.475*44/12</f>
        <v>8.5403805814924589E-14</v>
      </c>
      <c r="AX129" s="21">
        <f t="shared" si="60"/>
        <v>1.9203468803611328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553.99999999999955</v>
      </c>
      <c r="BE129" s="13">
        <f>BD129*VLOOKUP('Données projet'!$B$11,Paramètres!$A$1:$I$89,3,0)*VLOOKUP('Données projet'!$B$11,Paramètres!$A$1:$I$89,5,0)</f>
        <v>331.29199999999975</v>
      </c>
      <c r="BF129" s="13">
        <f t="shared" si="91"/>
        <v>77.698110787752</v>
      </c>
      <c r="BG129" s="20">
        <f t="shared" si="61"/>
        <v>712.32444295533423</v>
      </c>
      <c r="BH129" s="59">
        <f t="shared" si="62"/>
        <v>1005.6577762886675</v>
      </c>
      <c r="BI129" s="59">
        <f ca="1">AVERAGE(OFFSET($BH$3,0,0,'Données projet'!$E$11+1,1))-AVERAGE(OFFSET($H$3,0,0,'Données projet'!$E$11+1,1))</f>
        <v>316.58509520829671</v>
      </c>
      <c r="BJ129" s="59">
        <f t="shared" si="92"/>
        <v>240.71332110643596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0.37863270933945425</v>
      </c>
      <c r="BQ129" s="21">
        <f>EXP(-LN(2)/25)*BQ128+(1-EXP(-LN(2)/25))/(LN(2)/25)*Calculateur!BL129*Calculateur!BN129*VLOOKUP('Données projet'!$B$11,Paramètres!$A$1:$I$89,3,0)*0.475*44/12</f>
        <v>1.0661661343719107</v>
      </c>
      <c r="BR129" s="21">
        <f>EXP(-LN(2)/2)*BR128+(1-EXP(-LN(2)/2))/(LN(2)/2)*BL129*BO129*VLOOKUP('Données projet'!$B$11,Paramètres!$A$1:$I$89,3,0)*0.475*44/12</f>
        <v>7.7944204229186668E-14</v>
      </c>
      <c r="BS129" s="22">
        <f t="shared" si="63"/>
        <v>1.4447988437114427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497</v>
      </c>
      <c r="BZ129" s="13">
        <f>BY129*VLOOKUP('Données projet'!$B$12,Paramètres!$A$1:$I$89,3,0)*VLOOKUP('Données projet'!$B$12,Paramètres!$A$1:$I$89,5,0)</f>
        <v>297.20600000000002</v>
      </c>
      <c r="CA129" s="13">
        <f t="shared" si="93"/>
        <v>70.590415164571112</v>
      </c>
      <c r="CB129" s="20">
        <f t="shared" si="64"/>
        <v>640.57875641162809</v>
      </c>
      <c r="CC129" s="59">
        <f t="shared" si="65"/>
        <v>933.91208974496135</v>
      </c>
      <c r="CD129" s="59">
        <f ca="1">AVERAGE(OFFSET($CC$3,0,0,'Données projet'!$E$12+1,1))-AVERAGE(OFFSET($H$3,0,0,'Données projet'!$E$12+1,1))</f>
        <v>270.30888762640245</v>
      </c>
      <c r="CE129" s="59">
        <f t="shared" si="94"/>
        <v>202.23783851977691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0.31997130366714416</v>
      </c>
      <c r="CL129" s="21">
        <f>EXP(-LN(2)/25)*CL128+(1-EXP(-LN(2)/25))/(LN(2)/25)*Calculateur!CG129*Calculateur!CI129*VLOOKUP('Données projet'!$B$12,Paramètres!$A$1:$I$89,3,0)*0.475*44/12</f>
        <v>0.85857987192281482</v>
      </c>
      <c r="CM129" s="21">
        <f>EXP(-LN(2)/2)*CM128+(1-EXP(-LN(2)/2))/(LN(2)/2)*CG129*CJ129*VLOOKUP('Données projet'!$B$12,Paramètres!$A$1:$I$89,3,0)*0.475*44/12</f>
        <v>6.5698943481829218E-14</v>
      </c>
      <c r="CN129" s="22">
        <f t="shared" si="66"/>
        <v>1.1785511755900246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-5.1159076974727213E-13</v>
      </c>
      <c r="CU129" s="17">
        <f>CT129*VLOOKUP('Données projet'!$B$13,Paramètres!$A$1:$I$89,3,0)*VLOOKUP('Données projet'!$B$13,Paramètres!$A$1:$I$89,5,0)</f>
        <v>-3.4317508834647017E-13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207.93042467236967</v>
      </c>
      <c r="CZ129" s="59">
        <f t="shared" si="96"/>
        <v>250.70954318710835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0.41099051589387664</v>
      </c>
      <c r="DG129" s="21">
        <f>EXP(-LN(2)/25)*DG128+(1-EXP(-LN(2)/25))/(LN(2)/25)*Calculateur!DB129*Calculateur!DD129*VLOOKUP('Données projet'!$B$13,Paramètres!$A$1:$I$89,3,0)*0.475*44/12</f>
        <v>1.208125481273282</v>
      </c>
      <c r="DH129" s="21">
        <f>EXP(-LN(2)/2)*DH128+(1-EXP(-LN(2)/2))/(LN(2)/2)*DB129*DE129*VLOOKUP('Données projet'!$B$13,Paramètres!$A$1:$I$89,3,0)*0.475*44/12</f>
        <v>7.2007130392975629E-14</v>
      </c>
      <c r="DI129" s="22">
        <f t="shared" si="69"/>
        <v>1.6191159971672306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5.6843418860808015E-14</v>
      </c>
      <c r="DP129" s="17">
        <f>DO129*VLOOKUP('Données projet'!$B$14,Paramètres!$A$1:$I$89,3,0)*VLOOKUP('Données projet'!$B$14,Paramètres!$A$1:$I$89,5,0)</f>
        <v>3.813056537183002E-14</v>
      </c>
      <c r="DQ129" s="13">
        <f t="shared" si="97"/>
        <v>6.4086286045526829E-13</v>
      </c>
      <c r="DR129" s="20">
        <f t="shared" si="70"/>
        <v>1.1825802166488628E-12</v>
      </c>
      <c r="DS129" s="59">
        <f t="shared" si="71"/>
        <v>293.33333333333451</v>
      </c>
      <c r="DT129" s="59">
        <f ca="1">AVERAGE(OFFSET($DS$3,0,0,'Données projet'!$E$14+1,1))-AVERAGE(OFFSET($H$3,0,0,'Données projet'!$E$14+1,1))</f>
        <v>156.63226020379989</v>
      </c>
      <c r="DU129" s="59">
        <f t="shared" si="98"/>
        <v>196.0481096619543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0.60542721331623095</v>
      </c>
      <c r="EC129" s="21">
        <f>EXP(-LN(2)/2)*EC128+(1-EXP(-LN(2)/2))/(LN(2)/2)*DW129*DZ129*VLOOKUP('Données projet'!$B$14,Paramètres!$A$1:$I$89,3,0)*0.475*44/12</f>
        <v>3.223544383291299E-14</v>
      </c>
      <c r="ED129" s="22">
        <f t="shared" si="72"/>
        <v>0.60542721331626315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5.2446581196581219</v>
      </c>
      <c r="EJ129" s="12">
        <f>IF('Données projet'!$A$192&gt;35,EJ128+EI129-ER128,IF(A129&lt;'Données projet'!$A$192,$EG$205^A129,IF(A129='Données projet'!$A$192,'Données projet'!$B$192,EJ128+EI129-ER128)))</f>
        <v>235.37927350427304</v>
      </c>
      <c r="EK129" s="17">
        <f>EJ129*VLOOKUP('Données projet'!$B$15,Paramètres!$A$1:$I$89,3,0)*VLOOKUP('Données projet'!$B$15,Paramètres!$A$1:$I$89,5,0)</f>
        <v>238.67458333333289</v>
      </c>
      <c r="EL129" s="13">
        <f t="shared" si="99"/>
        <v>58.154268783384175</v>
      </c>
      <c r="EM129" s="20">
        <f t="shared" si="73"/>
        <v>516.97691743661551</v>
      </c>
      <c r="EN129" s="59">
        <f t="shared" si="74"/>
        <v>810.31025076994888</v>
      </c>
      <c r="EO129" s="59">
        <f ca="1">AVERAGE(OFFSET($EN$3,0,0,'Données projet'!$E$15+1,1))-AVERAGE(OFFSET($H$3,0,0,'Données projet'!$E$15+1,1))</f>
        <v>190.21499310415584</v>
      </c>
      <c r="EP129" s="59">
        <f t="shared" si="100"/>
        <v>136.15730566500173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0.9958333333333329</v>
      </c>
      <c r="FE129" s="12">
        <f>IF('Données projet'!$A$218&gt;35,FE128+FD129-FM128,IF(A129&lt;'Données projet'!$A$218,$FB$205^A129,IF(A129='Données projet'!$A$218,'Données projet'!$B$218,FE128+FD129-FM128)))</f>
        <v>89.183333333333366</v>
      </c>
      <c r="FF129" s="17">
        <f>FE129*VLOOKUP('Données projet'!$B$16,Paramètres!$A$1:$I$89,3,0)*VLOOKUP('Données projet'!$B$16,Paramètres!$A$1:$I$89,5,0)</f>
        <v>102.73920000000003</v>
      </c>
      <c r="FG129" s="13">
        <f t="shared" si="101"/>
        <v>27.613544282283179</v>
      </c>
      <c r="FH129" s="20">
        <f t="shared" si="76"/>
        <v>227.03102962497655</v>
      </c>
      <c r="FI129" s="59">
        <f t="shared" si="77"/>
        <v>520.36436295830981</v>
      </c>
      <c r="FJ129" s="59">
        <f ca="1">AVERAGE(OFFSET($FI$3,0,0,'Données projet'!$E$16+1,1))-AVERAGE(OFFSET($H$3,0,0,'Données projet'!$E$16+1,1))</f>
        <v>14.847345852478327</v>
      </c>
      <c r="FK129" s="59">
        <f t="shared" si="102"/>
        <v>46.764428272166299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0.12393323021915911</v>
      </c>
      <c r="FS129" s="21">
        <f>EXP(-LN(2)/2)*FS128+(1-EXP(-LN(2)/2))/(LN(2)/2)*FM129*FP129*VLOOKUP('Données projet'!$B$16,Paramètres!$A$1:$I$89,3,0)*0.475*44/12</f>
        <v>7.0094880805232552E-15</v>
      </c>
      <c r="FT129" s="22">
        <f t="shared" si="78"/>
        <v>0.12393323021916612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154.80128205128204</v>
      </c>
      <c r="L130" s="12">
        <f>VLOOKUP(A130,'Données projet'!$A$35:$I$55,9,0)</f>
        <v>2.3349358974358978</v>
      </c>
      <c r="M130" s="12">
        <f t="array" ref="M130">INDEX(L:L,MIN(IF(ISNUMBER(L130:L326),ROW(L130:L326),"")))</f>
        <v>2.3349358974358978</v>
      </c>
      <c r="N130" s="13">
        <f>IF('Données projet'!$A$36&gt;35,N129+M130-V129,IF(A130&lt;'Données projet'!$A$36,$K$205^A130,IF(A130='Données projet'!$A$36,'Données projet'!$B$36,N129+M130-V129)))</f>
        <v>154.8012820512825</v>
      </c>
      <c r="O130" s="13">
        <f>N130*VLOOKUP('Données projet'!$B$9,Paramètres!$A$1:$I$89,3,0)*VLOOKUP('Données projet'!$B$9,Paramètres!$A$1:$I$89,5,0)</f>
        <v>140.0642000000004</v>
      </c>
      <c r="P130" s="13">
        <f t="shared" si="87"/>
        <v>36.311712421027494</v>
      </c>
      <c r="Q130" s="20">
        <f t="shared" si="107"/>
        <v>307.18804746662357</v>
      </c>
      <c r="R130" s="59">
        <f t="shared" si="55"/>
        <v>600.52138079995689</v>
      </c>
      <c r="S130" s="59">
        <f ca="1">AVERAGE(OFFSET($R$3,0,0,'Données projet'!$E$9+1,1))-AVERAGE(OFFSET($H$3,0,0,'Données projet'!$E$9+1,1))</f>
        <v>221.7429870520005</v>
      </c>
      <c r="T130" s="59">
        <f t="shared" si="88"/>
        <v>182.2029938397186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49.916666666666671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-5.1159076974727213E-13</v>
      </c>
      <c r="AJ130" s="13">
        <f>AI130*VLOOKUP('Données projet'!$B$10,Paramètres!$A$1:$I$89,3,0)*VLOOKUP('Données projet'!$B$10,Paramètres!$A$1:$I$89,5,0)</f>
        <v>-4.0702161641092972E-13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260.20517190557814</v>
      </c>
      <c r="AO130" s="59">
        <f t="shared" si="90"/>
        <v>307.22009971147133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0.47789519466022506</v>
      </c>
      <c r="AV130" s="21">
        <f>EXP(-LN(2)/25)*AV129+(1-EXP(-LN(2)/25))/(LN(2)/25)*Calculateur!AQ130*Calculateur!AS130*VLOOKUP('Données projet'!$B$10,Paramètres!$A$1:$I$89,3,0)*0.475*44/12</f>
        <v>1.3937104778888496</v>
      </c>
      <c r="AW130" s="21">
        <f>EXP(-LN(2)/2)*AW129+(1-EXP(-LN(2)/2))/(LN(2)/2)*AQ130*AT130*VLOOKUP('Données projet'!$B$10,Paramètres!$A$1:$I$89,3,0)*0.475*44/12</f>
        <v>6.0389610230872276E-14</v>
      </c>
      <c r="AX130" s="21">
        <f t="shared" si="60"/>
        <v>1.871605672549135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553.99999999999955</v>
      </c>
      <c r="BE130" s="13">
        <f>BD130*VLOOKUP('Données projet'!$B$11,Paramètres!$A$1:$I$89,3,0)*VLOOKUP('Données projet'!$B$11,Paramètres!$A$1:$I$89,5,0)</f>
        <v>331.29199999999975</v>
      </c>
      <c r="BF130" s="13">
        <f t="shared" si="91"/>
        <v>77.698110787752</v>
      </c>
      <c r="BG130" s="20">
        <f t="shared" si="61"/>
        <v>712.32444295533423</v>
      </c>
      <c r="BH130" s="59">
        <f t="shared" si="62"/>
        <v>1005.6577762886675</v>
      </c>
      <c r="BI130" s="59">
        <f ca="1">AVERAGE(OFFSET($BH$3,0,0,'Données projet'!$E$11+1,1))-AVERAGE(OFFSET($H$3,0,0,'Données projet'!$E$11+1,1))</f>
        <v>316.58509520829671</v>
      </c>
      <c r="BJ130" s="59">
        <f t="shared" si="92"/>
        <v>240.71332110643596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0.3712079528524565</v>
      </c>
      <c r="BQ130" s="21">
        <f>EXP(-LN(2)/25)*BQ129+(1-EXP(-LN(2)/25))/(LN(2)/25)*Calculateur!BL130*Calculateur!BN130*VLOOKUP('Données projet'!$B$11,Paramètres!$A$1:$I$89,3,0)*0.475*44/12</f>
        <v>1.0370117653602704</v>
      </c>
      <c r="BR130" s="21">
        <f>EXP(-LN(2)/2)*BR129+(1-EXP(-LN(2)/2))/(LN(2)/2)*BL130*BO130*VLOOKUP('Données projet'!$B$11,Paramètres!$A$1:$I$89,3,0)*0.475*44/12</f>
        <v>5.511487536464707E-14</v>
      </c>
      <c r="BS130" s="22">
        <f t="shared" si="63"/>
        <v>1.408219718212782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497</v>
      </c>
      <c r="BZ130" s="13">
        <f>BY130*VLOOKUP('Données projet'!$B$12,Paramètres!$A$1:$I$89,3,0)*VLOOKUP('Données projet'!$B$12,Paramètres!$A$1:$I$89,5,0)</f>
        <v>297.20600000000002</v>
      </c>
      <c r="CA130" s="13">
        <f t="shared" si="93"/>
        <v>70.590415164571112</v>
      </c>
      <c r="CB130" s="20">
        <f t="shared" si="64"/>
        <v>640.57875641162809</v>
      </c>
      <c r="CC130" s="59">
        <f t="shared" si="65"/>
        <v>933.91208974496135</v>
      </c>
      <c r="CD130" s="59">
        <f ca="1">AVERAGE(OFFSET($CC$3,0,0,'Données projet'!$E$12+1,1))-AVERAGE(OFFSET($H$3,0,0,'Données projet'!$E$12+1,1))</f>
        <v>270.30888762640245</v>
      </c>
      <c r="CE130" s="59">
        <f t="shared" si="94"/>
        <v>202.23783851977691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0.31369686156545595</v>
      </c>
      <c r="CL130" s="21">
        <f>EXP(-LN(2)/25)*CL129+(1-EXP(-LN(2)/25))/(LN(2)/25)*Calculateur!CG130*Calculateur!CI130*VLOOKUP('Données projet'!$B$12,Paramètres!$A$1:$I$89,3,0)*0.475*44/12</f>
        <v>0.83510196017433225</v>
      </c>
      <c r="CM130" s="21">
        <f>EXP(-LN(2)/2)*CM129+(1-EXP(-LN(2)/2))/(LN(2)/2)*CG130*CJ130*VLOOKUP('Données projet'!$B$12,Paramètres!$A$1:$I$89,3,0)*0.475*44/12</f>
        <v>4.6456168452793166E-14</v>
      </c>
      <c r="CN130" s="22">
        <f t="shared" si="66"/>
        <v>1.1487988217398346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-5.1159076974727213E-13</v>
      </c>
      <c r="CU130" s="17">
        <f>CT130*VLOOKUP('Données projet'!$B$13,Paramètres!$A$1:$I$89,3,0)*VLOOKUP('Données projet'!$B$13,Paramètres!$A$1:$I$89,5,0)</f>
        <v>-3.4317508834647017E-13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207.93042467236967</v>
      </c>
      <c r="CZ130" s="59">
        <f t="shared" si="96"/>
        <v>250.70954318710835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0.40293124255665985</v>
      </c>
      <c r="DG130" s="21">
        <f>EXP(-LN(2)/25)*DG129+(1-EXP(-LN(2)/25))/(LN(2)/25)*Calculateur!DB130*Calculateur!DD130*VLOOKUP('Données projet'!$B$13,Paramètres!$A$1:$I$89,3,0)*0.475*44/12</f>
        <v>1.1750892264553063</v>
      </c>
      <c r="DH130" s="21">
        <f>EXP(-LN(2)/2)*DH129+(1-EXP(-LN(2)/2))/(LN(2)/2)*DB130*DE130*VLOOKUP('Données projet'!$B$13,Paramètres!$A$1:$I$89,3,0)*0.475*44/12</f>
        <v>5.0916730194657014E-14</v>
      </c>
      <c r="DI130" s="22">
        <f t="shared" si="69"/>
        <v>1.578020469012017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5.6843418860808015E-14</v>
      </c>
      <c r="DP130" s="17">
        <f>DO130*VLOOKUP('Données projet'!$B$14,Paramètres!$A$1:$I$89,3,0)*VLOOKUP('Données projet'!$B$14,Paramètres!$A$1:$I$89,5,0)</f>
        <v>3.813056537183002E-14</v>
      </c>
      <c r="DQ130" s="13">
        <f t="shared" si="97"/>
        <v>6.4086286045526829E-13</v>
      </c>
      <c r="DR130" s="20">
        <f t="shared" si="70"/>
        <v>1.1825802166488628E-12</v>
      </c>
      <c r="DS130" s="59">
        <f t="shared" si="71"/>
        <v>293.33333333333451</v>
      </c>
      <c r="DT130" s="59">
        <f ca="1">AVERAGE(OFFSET($DS$3,0,0,'Données projet'!$E$14+1,1))-AVERAGE(OFFSET($H$3,0,0,'Données projet'!$E$14+1,1))</f>
        <v>156.63226020379989</v>
      </c>
      <c r="DU130" s="59">
        <f t="shared" si="98"/>
        <v>196.0481096619543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0.58887177433006521</v>
      </c>
      <c r="EC130" s="21">
        <f>EXP(-LN(2)/2)*EC129+(1-EXP(-LN(2)/2))/(LN(2)/2)*DW130*DZ130*VLOOKUP('Données projet'!$B$14,Paramètres!$A$1:$I$89,3,0)*0.475*44/12</f>
        <v>2.2793900928810849E-14</v>
      </c>
      <c r="ED130" s="22">
        <f t="shared" si="72"/>
        <v>0.58887177433008797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5.2446581196581219</v>
      </c>
      <c r="EJ130" s="12">
        <f>IF('Données projet'!$A$192&gt;35,EJ129+EI130-ER129,IF(A130&lt;'Données projet'!$A$192,$EG$205^A130,IF(A130='Données projet'!$A$192,'Données projet'!$B$192,EJ129+EI130-ER129)))</f>
        <v>240.62393162393116</v>
      </c>
      <c r="EK130" s="17">
        <f>EJ130*VLOOKUP('Données projet'!$B$15,Paramètres!$A$1:$I$89,3,0)*VLOOKUP('Données projet'!$B$15,Paramètres!$A$1:$I$89,5,0)</f>
        <v>243.9926666666662</v>
      </c>
      <c r="EL130" s="13">
        <f t="shared" si="99"/>
        <v>59.297745526958636</v>
      </c>
      <c r="EM130" s="20">
        <f t="shared" si="73"/>
        <v>528.23080123722991</v>
      </c>
      <c r="EN130" s="59">
        <f t="shared" si="74"/>
        <v>821.56413457056328</v>
      </c>
      <c r="EO130" s="59">
        <f ca="1">AVERAGE(OFFSET($EN$3,0,0,'Données projet'!$E$15+1,1))-AVERAGE(OFFSET($H$3,0,0,'Données projet'!$E$15+1,1))</f>
        <v>190.21499310415584</v>
      </c>
      <c r="EP130" s="59">
        <f t="shared" si="100"/>
        <v>136.15730566500173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0.9958333333333329</v>
      </c>
      <c r="FE130" s="12">
        <f>IF('Données projet'!$A$218&gt;35,FE129+FD130-FM129,IF(A130&lt;'Données projet'!$A$218,$FB$205^A130,IF(A130='Données projet'!$A$218,'Données projet'!$B$218,FE129+FD130-FM129)))</f>
        <v>90.179166666666703</v>
      </c>
      <c r="FF130" s="17">
        <f>FE130*VLOOKUP('Données projet'!$B$16,Paramètres!$A$1:$I$89,3,0)*VLOOKUP('Données projet'!$B$16,Paramètres!$A$1:$I$89,5,0)</f>
        <v>103.88640000000004</v>
      </c>
      <c r="FG130" s="13">
        <f t="shared" si="101"/>
        <v>27.885814199543574</v>
      </c>
      <c r="FH130" s="20">
        <f t="shared" si="76"/>
        <v>229.5032730642051</v>
      </c>
      <c r="FI130" s="59">
        <f t="shared" si="77"/>
        <v>522.83660639753839</v>
      </c>
      <c r="FJ130" s="59">
        <f ca="1">AVERAGE(OFFSET($FI$3,0,0,'Données projet'!$E$16+1,1))-AVERAGE(OFFSET($H$3,0,0,'Données projet'!$E$16+1,1))</f>
        <v>14.847345852478327</v>
      </c>
      <c r="FK130" s="59">
        <f t="shared" si="102"/>
        <v>46.764428272166299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0.12054426952145088</v>
      </c>
      <c r="FS130" s="21">
        <f>EXP(-LN(2)/2)*FS129+(1-EXP(-LN(2)/2))/(LN(2)/2)*FM130*FP130*VLOOKUP('Données projet'!$B$16,Paramètres!$A$1:$I$89,3,0)*0.475*44/12</f>
        <v>4.9564565543842711E-15</v>
      </c>
      <c r="FT130" s="22">
        <f t="shared" si="78"/>
        <v>0.12054426952145583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1.5064102564102591</v>
      </c>
      <c r="N131" s="13">
        <f>IF('Données projet'!$A$36&gt;35,N130+M131-V130,IF(A131&lt;'Données projet'!$A$36,$K$205^A131,IF(A131='Données projet'!$A$36,'Données projet'!$B$36,N130+M131-V130)))</f>
        <v>106.39102564102608</v>
      </c>
      <c r="O131" s="13">
        <f>N131*VLOOKUP('Données projet'!$B$9,Paramètres!$A$1:$I$89,3,0)*VLOOKUP('Données projet'!$B$9,Paramètres!$A$1:$I$89,5,0)</f>
        <v>96.26260000000039</v>
      </c>
      <c r="P131" s="13">
        <f t="shared" si="87"/>
        <v>26.069649320395914</v>
      </c>
      <c r="Q131" s="20">
        <f t="shared" ref="Q131:Q153" si="108">(O131+P131)*0.475*44/12</f>
        <v>213.06200089969022</v>
      </c>
      <c r="R131" s="59">
        <f t="shared" ref="R131:R194" si="109">Q131+(I131+J131)*44/12</f>
        <v>506.3953342330235</v>
      </c>
      <c r="S131" s="59">
        <f ca="1">AVERAGE(OFFSET($R$3,0,0,'Données projet'!$E$9+1,1))-AVERAGE(OFFSET($H$3,0,0,'Données projet'!$E$9+1,1))</f>
        <v>221.7429870520005</v>
      </c>
      <c r="T131" s="59">
        <f t="shared" si="88"/>
        <v>182.2029938397186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-5.1159076974727213E-13</v>
      </c>
      <c r="AJ131" s="13">
        <f>AI131*VLOOKUP('Données projet'!$B$10,Paramètres!$A$1:$I$89,3,0)*VLOOKUP('Données projet'!$B$10,Paramètres!$A$1:$I$89,5,0)</f>
        <v>-4.0702161641092972E-13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260.20517190557814</v>
      </c>
      <c r="AO131" s="59">
        <f t="shared" si="90"/>
        <v>307.22009971147133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0.46852396138022484</v>
      </c>
      <c r="AV131" s="21">
        <f>EXP(-LN(2)/25)*AV130+(1-EXP(-LN(2)/25))/(LN(2)/25)*Calculateur!AQ131*Calculateur!AS131*VLOOKUP('Données projet'!$B$10,Paramètres!$A$1:$I$89,3,0)*0.475*44/12</f>
        <v>1.3555993915789304</v>
      </c>
      <c r="AW131" s="21">
        <f>EXP(-LN(2)/2)*AW130+(1-EXP(-LN(2)/2))/(LN(2)/2)*AQ131*AT131*VLOOKUP('Données projet'!$B$10,Paramètres!$A$1:$I$89,3,0)*0.475*44/12</f>
        <v>4.2701902907462295E-14</v>
      </c>
      <c r="AX131" s="21">
        <f t="shared" si="60"/>
        <v>1.8241233529591978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553.99999999999955</v>
      </c>
      <c r="BE131" s="13">
        <f>BD131*VLOOKUP('Données projet'!$B$11,Paramètres!$A$1:$I$89,3,0)*VLOOKUP('Données projet'!$B$11,Paramètres!$A$1:$I$89,5,0)</f>
        <v>331.29199999999975</v>
      </c>
      <c r="BF131" s="13">
        <f t="shared" si="91"/>
        <v>77.698110787752</v>
      </c>
      <c r="BG131" s="20">
        <f t="shared" si="61"/>
        <v>712.32444295533423</v>
      </c>
      <c r="BH131" s="59">
        <f t="shared" si="62"/>
        <v>1005.6577762886675</v>
      </c>
      <c r="BI131" s="59">
        <f ca="1">AVERAGE(OFFSET($BH$3,0,0,'Données projet'!$E$11+1,1))-AVERAGE(OFFSET($H$3,0,0,'Données projet'!$E$11+1,1))</f>
        <v>316.58509520829671</v>
      </c>
      <c r="BJ131" s="59">
        <f t="shared" si="92"/>
        <v>240.71332110643596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0.36392879131151451</v>
      </c>
      <c r="BQ131" s="21">
        <f>EXP(-LN(2)/25)*BQ130+(1-EXP(-LN(2)/25))/(LN(2)/25)*Calculateur!BL131*Calculateur!BN131*VLOOKUP('Données projet'!$B$11,Paramètres!$A$1:$I$89,3,0)*0.475*44/12</f>
        <v>1.0086546241024152</v>
      </c>
      <c r="BR131" s="21">
        <f>EXP(-LN(2)/2)*BR130+(1-EXP(-LN(2)/2))/(LN(2)/2)*BL131*BO131*VLOOKUP('Données projet'!$B$11,Paramètres!$A$1:$I$89,3,0)*0.475*44/12</f>
        <v>3.8972102114593334E-14</v>
      </c>
      <c r="BS131" s="22">
        <f t="shared" si="63"/>
        <v>1.3725834154139689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497</v>
      </c>
      <c r="BZ131" s="13">
        <f>BY131*VLOOKUP('Données projet'!$B$12,Paramètres!$A$1:$I$89,3,0)*VLOOKUP('Données projet'!$B$12,Paramètres!$A$1:$I$89,5,0)</f>
        <v>297.20600000000002</v>
      </c>
      <c r="CA131" s="13">
        <f t="shared" si="93"/>
        <v>70.590415164571112</v>
      </c>
      <c r="CB131" s="20">
        <f t="shared" si="64"/>
        <v>640.57875641162809</v>
      </c>
      <c r="CC131" s="59">
        <f t="shared" si="65"/>
        <v>933.91208974496135</v>
      </c>
      <c r="CD131" s="59">
        <f ca="1">AVERAGE(OFFSET($CC$3,0,0,'Données projet'!$E$12+1,1))-AVERAGE(OFFSET($H$3,0,0,'Données projet'!$E$12+1,1))</f>
        <v>270.30888762640245</v>
      </c>
      <c r="CE131" s="59">
        <f t="shared" si="94"/>
        <v>202.23783851977691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0.30754545744635003</v>
      </c>
      <c r="CL131" s="21">
        <f>EXP(-LN(2)/25)*CL130+(1-EXP(-LN(2)/25))/(LN(2)/25)*Calculateur!CG131*Calculateur!CI131*VLOOKUP('Données projet'!$B$12,Paramètres!$A$1:$I$89,3,0)*0.475*44/12</f>
        <v>0.81226605315726175</v>
      </c>
      <c r="CM131" s="21">
        <f>EXP(-LN(2)/2)*CM130+(1-EXP(-LN(2)/2))/(LN(2)/2)*CG131*CJ131*VLOOKUP('Données projet'!$B$12,Paramètres!$A$1:$I$89,3,0)*0.475*44/12</f>
        <v>3.2849471740914609E-14</v>
      </c>
      <c r="CN131" s="22">
        <f t="shared" si="66"/>
        <v>1.1198115106036446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-5.1159076974727213E-13</v>
      </c>
      <c r="CU131" s="17">
        <f>CT131*VLOOKUP('Données projet'!$B$13,Paramètres!$A$1:$I$89,3,0)*VLOOKUP('Données projet'!$B$13,Paramètres!$A$1:$I$89,5,0)</f>
        <v>-3.4317508834647017E-13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207.93042467236967</v>
      </c>
      <c r="CZ131" s="59">
        <f t="shared" si="96"/>
        <v>250.70954318710835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0.39503000665391458</v>
      </c>
      <c r="DG131" s="21">
        <f>EXP(-LN(2)/25)*DG130+(1-EXP(-LN(2)/25))/(LN(2)/25)*Calculateur!DB131*Calculateur!DD131*VLOOKUP('Données projet'!$B$13,Paramètres!$A$1:$I$89,3,0)*0.475*44/12</f>
        <v>1.1429563497626292</v>
      </c>
      <c r="DH131" s="21">
        <f>EXP(-LN(2)/2)*DH130+(1-EXP(-LN(2)/2))/(LN(2)/2)*DB131*DE131*VLOOKUP('Données projet'!$B$13,Paramètres!$A$1:$I$89,3,0)*0.475*44/12</f>
        <v>3.6003565196487814E-14</v>
      </c>
      <c r="DI131" s="22">
        <f t="shared" si="69"/>
        <v>1.5379863564165797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5.6843418860808015E-14</v>
      </c>
      <c r="DP131" s="17">
        <f>DO131*VLOOKUP('Données projet'!$B$14,Paramètres!$A$1:$I$89,3,0)*VLOOKUP('Données projet'!$B$14,Paramètres!$A$1:$I$89,5,0)</f>
        <v>3.813056537183002E-14</v>
      </c>
      <c r="DQ131" s="13">
        <f t="shared" si="97"/>
        <v>6.4086286045526829E-13</v>
      </c>
      <c r="DR131" s="20">
        <f t="shared" si="70"/>
        <v>1.1825802166488628E-12</v>
      </c>
      <c r="DS131" s="59">
        <f t="shared" si="71"/>
        <v>293.33333333333451</v>
      </c>
      <c r="DT131" s="59">
        <f ca="1">AVERAGE(OFFSET($DS$3,0,0,'Données projet'!$E$14+1,1))-AVERAGE(OFFSET($H$3,0,0,'Données projet'!$E$14+1,1))</f>
        <v>156.63226020379989</v>
      </c>
      <c r="DU131" s="59">
        <f t="shared" si="98"/>
        <v>196.0481096619543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0.5727690446935888</v>
      </c>
      <c r="EC131" s="21">
        <f>EXP(-LN(2)/2)*EC130+(1-EXP(-LN(2)/2))/(LN(2)/2)*DW131*DZ131*VLOOKUP('Données projet'!$B$14,Paramètres!$A$1:$I$89,3,0)*0.475*44/12</f>
        <v>1.6117721916456495E-14</v>
      </c>
      <c r="ED131" s="22">
        <f t="shared" si="72"/>
        <v>0.5727690446936049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5.2446581196581219</v>
      </c>
      <c r="EJ131" s="12">
        <f>IF('Données projet'!$A$192&gt;35,EJ130+EI131-ER130,IF(A131&lt;'Données projet'!$A$192,$EG$205^A131,IF(A131='Données projet'!$A$192,'Données projet'!$B$192,EJ130+EI131-ER130)))</f>
        <v>245.86858974358927</v>
      </c>
      <c r="EK131" s="17">
        <f>EJ131*VLOOKUP('Données projet'!$B$15,Paramètres!$A$1:$I$89,3,0)*VLOOKUP('Données projet'!$B$15,Paramètres!$A$1:$I$89,5,0)</f>
        <v>249.31074999999953</v>
      </c>
      <c r="EL131" s="13">
        <f t="shared" si="99"/>
        <v>60.438324631862308</v>
      </c>
      <c r="EM131" s="20">
        <f t="shared" si="73"/>
        <v>539.47963831715936</v>
      </c>
      <c r="EN131" s="59">
        <f t="shared" si="74"/>
        <v>832.81297165049273</v>
      </c>
      <c r="EO131" s="59">
        <f ca="1">AVERAGE(OFFSET($EN$3,0,0,'Données projet'!$E$15+1,1))-AVERAGE(OFFSET($H$3,0,0,'Données projet'!$E$15+1,1))</f>
        <v>190.21499310415584</v>
      </c>
      <c r="EP131" s="59">
        <f t="shared" si="100"/>
        <v>136.15730566500173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0.9958333333333329</v>
      </c>
      <c r="FE131" s="12">
        <f>IF('Données projet'!$A$218&gt;35,FE130+FD131-FM130,IF(A131&lt;'Données projet'!$A$218,$FB$205^A131,IF(A131='Données projet'!$A$218,'Données projet'!$B$218,FE130+FD131-FM130)))</f>
        <v>91.17500000000004</v>
      </c>
      <c r="FF131" s="17">
        <f>FE131*VLOOKUP('Données projet'!$B$16,Paramètres!$A$1:$I$89,3,0)*VLOOKUP('Données projet'!$B$16,Paramètres!$A$1:$I$89,5,0)</f>
        <v>105.03360000000004</v>
      </c>
      <c r="FG131" s="13">
        <f t="shared" si="101"/>
        <v>28.157734362290316</v>
      </c>
      <c r="FH131" s="20">
        <f t="shared" si="76"/>
        <v>231.97490734765566</v>
      </c>
      <c r="FI131" s="59">
        <f t="shared" si="77"/>
        <v>525.308240680989</v>
      </c>
      <c r="FJ131" s="59">
        <f ca="1">AVERAGE(OFFSET($FI$3,0,0,'Données projet'!$E$16+1,1))-AVERAGE(OFFSET($H$3,0,0,'Données projet'!$E$16+1,1))</f>
        <v>14.847345852478327</v>
      </c>
      <c r="FK131" s="59">
        <f t="shared" si="102"/>
        <v>46.764428272166299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0.11724798013223918</v>
      </c>
      <c r="FS131" s="21">
        <f>EXP(-LN(2)/2)*FS130+(1-EXP(-LN(2)/2))/(LN(2)/2)*FM131*FP131*VLOOKUP('Données projet'!$B$16,Paramètres!$A$1:$I$89,3,0)*0.475*44/12</f>
        <v>3.5047440402616284E-15</v>
      </c>
      <c r="FT131" s="22">
        <f t="shared" si="78"/>
        <v>0.11724798013224269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1.5064102564102591</v>
      </c>
      <c r="N132" s="13">
        <f>IF('Données projet'!$A$36&gt;35,N131+M132-V131,IF(A132&lt;'Données projet'!$A$36,$K$205^A132,IF(A132='Données projet'!$A$36,'Données projet'!$B$36,N131+M132-V131)))</f>
        <v>107.89743589743634</v>
      </c>
      <c r="O132" s="13">
        <f>N132*VLOOKUP('Données projet'!$B$9,Paramètres!$A$1:$I$89,3,0)*VLOOKUP('Données projet'!$B$9,Paramètres!$A$1:$I$89,5,0)</f>
        <v>97.625600000000389</v>
      </c>
      <c r="P132" s="13">
        <f t="shared" si="87"/>
        <v>26.395540798282429</v>
      </c>
      <c r="Q132" s="20">
        <f t="shared" si="108"/>
        <v>216.00348689034254</v>
      </c>
      <c r="R132" s="59">
        <f t="shared" si="109"/>
        <v>509.33682022367589</v>
      </c>
      <c r="S132" s="59">
        <f ca="1">AVERAGE(OFFSET($R$3,0,0,'Données projet'!$E$9+1,1))-AVERAGE(OFFSET($H$3,0,0,'Données projet'!$E$9+1,1))</f>
        <v>221.7429870520005</v>
      </c>
      <c r="T132" s="59">
        <f t="shared" si="88"/>
        <v>182.2029938397186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-5.1159076974727213E-13</v>
      </c>
      <c r="AJ132" s="13">
        <f>AI132*VLOOKUP('Données projet'!$B$10,Paramètres!$A$1:$I$89,3,0)*VLOOKUP('Données projet'!$B$10,Paramètres!$A$1:$I$89,5,0)</f>
        <v>-4.0702161641092972E-13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260.20517190557814</v>
      </c>
      <c r="AO132" s="59">
        <f t="shared" si="90"/>
        <v>307.22009971147133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0.45933649226895751</v>
      </c>
      <c r="AV132" s="21">
        <f>EXP(-LN(2)/25)*AV131+(1-EXP(-LN(2)/25))/(LN(2)/25)*Calculateur!AQ132*Calculateur!AS132*VLOOKUP('Données projet'!$B$10,Paramètres!$A$1:$I$89,3,0)*0.475*44/12</f>
        <v>1.3185304549283308</v>
      </c>
      <c r="AW132" s="21">
        <f>EXP(-LN(2)/2)*AW131+(1-EXP(-LN(2)/2))/(LN(2)/2)*AQ132*AT132*VLOOKUP('Données projet'!$B$10,Paramètres!$A$1:$I$89,3,0)*0.475*44/12</f>
        <v>3.0194805115436138E-14</v>
      </c>
      <c r="AX132" s="21">
        <f t="shared" ref="AX132:AX153" si="114">SUM(AU132:AW132)</f>
        <v>1.7778669471973185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553.99999999999955</v>
      </c>
      <c r="BE132" s="13">
        <f>BD132*VLOOKUP('Données projet'!$B$11,Paramètres!$A$1:$I$89,3,0)*VLOOKUP('Données projet'!$B$11,Paramètres!$A$1:$I$89,5,0)</f>
        <v>331.29199999999975</v>
      </c>
      <c r="BF132" s="13">
        <f t="shared" si="91"/>
        <v>77.698110787752</v>
      </c>
      <c r="BG132" s="20">
        <f t="shared" ref="BG132:BG153" si="115">(BE132+BF132)*0.475*44/12</f>
        <v>712.32444295533423</v>
      </c>
      <c r="BH132" s="59">
        <f t="shared" ref="BH132:BH195" si="116">BG132+(AY132+AZ132)*44/12</f>
        <v>1005.6577762886675</v>
      </c>
      <c r="BI132" s="59">
        <f ca="1">AVERAGE(OFFSET($BH$3,0,0,'Données projet'!$E$11+1,1))-AVERAGE(OFFSET($H$3,0,0,'Données projet'!$E$11+1,1))</f>
        <v>316.58509520829671</v>
      </c>
      <c r="BJ132" s="59">
        <f t="shared" si="92"/>
        <v>240.71332110643596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0.35679236968854022</v>
      </c>
      <c r="BQ132" s="21">
        <f>EXP(-LN(2)/25)*BQ131+(1-EXP(-LN(2)/25))/(LN(2)/25)*Calculateur!BL132*Calculateur!BN132*VLOOKUP('Données projet'!$B$11,Paramètres!$A$1:$I$89,3,0)*0.475*44/12</f>
        <v>0.98107291036349331</v>
      </c>
      <c r="BR132" s="21">
        <f>EXP(-LN(2)/2)*BR131+(1-EXP(-LN(2)/2))/(LN(2)/2)*BL132*BO132*VLOOKUP('Données projet'!$B$11,Paramètres!$A$1:$I$89,3,0)*0.475*44/12</f>
        <v>2.7557437682323535E-14</v>
      </c>
      <c r="BS132" s="22">
        <f t="shared" ref="BS132:BS153" si="117">SUM(BP132:BR132)</f>
        <v>1.337865280052061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497</v>
      </c>
      <c r="BZ132" s="13">
        <f>BY132*VLOOKUP('Données projet'!$B$12,Paramètres!$A$1:$I$89,3,0)*VLOOKUP('Données projet'!$B$12,Paramètres!$A$1:$I$89,5,0)</f>
        <v>297.20600000000002</v>
      </c>
      <c r="CA132" s="13">
        <f t="shared" si="93"/>
        <v>70.590415164571112</v>
      </c>
      <c r="CB132" s="20">
        <f t="shared" ref="CB132:CB153" si="118">(BZ132+CA132)*0.475*44/12</f>
        <v>640.57875641162809</v>
      </c>
      <c r="CC132" s="59">
        <f t="shared" ref="CC132:CC195" si="119">CB132+(BT132+BU132)*44/12</f>
        <v>933.91208974496135</v>
      </c>
      <c r="CD132" s="59">
        <f ca="1">AVERAGE(OFFSET($CC$3,0,0,'Données projet'!$E$12+1,1))-AVERAGE(OFFSET($H$3,0,0,'Données projet'!$E$12+1,1))</f>
        <v>270.30888762640245</v>
      </c>
      <c r="CE132" s="59">
        <f t="shared" si="94"/>
        <v>202.23783851977691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0.30151467861003373</v>
      </c>
      <c r="CL132" s="21">
        <f>EXP(-LN(2)/25)*CL131+(1-EXP(-LN(2)/25))/(LN(2)/25)*Calculateur!CG132*Calculateur!CI132*VLOOKUP('Données projet'!$B$12,Paramètres!$A$1:$I$89,3,0)*0.475*44/12</f>
        <v>0.79005459521846111</v>
      </c>
      <c r="CM132" s="21">
        <f>EXP(-LN(2)/2)*CM131+(1-EXP(-LN(2)/2))/(LN(2)/2)*CG132*CJ132*VLOOKUP('Données projet'!$B$12,Paramètres!$A$1:$I$89,3,0)*0.475*44/12</f>
        <v>2.3228084226396583E-14</v>
      </c>
      <c r="CN132" s="22">
        <f t="shared" ref="CN132:CN153" si="120">SUM(CK132:CM132)</f>
        <v>1.0915692738285181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-5.1159076974727213E-13</v>
      </c>
      <c r="CU132" s="17">
        <f>CT132*VLOOKUP('Données projet'!$B$13,Paramètres!$A$1:$I$89,3,0)*VLOOKUP('Données projet'!$B$13,Paramètres!$A$1:$I$89,5,0)</f>
        <v>-3.4317508834647017E-13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207.93042467236967</v>
      </c>
      <c r="CZ132" s="59">
        <f t="shared" si="96"/>
        <v>250.70954318710835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0.38728370916794408</v>
      </c>
      <c r="DG132" s="21">
        <f>EXP(-LN(2)/25)*DG131+(1-EXP(-LN(2)/25))/(LN(2)/25)*Calculateur!DB132*Calculateur!DD132*VLOOKUP('Données projet'!$B$13,Paramètres!$A$1:$I$89,3,0)*0.475*44/12</f>
        <v>1.1117021482729079</v>
      </c>
      <c r="DH132" s="21">
        <f>EXP(-LN(2)/2)*DH131+(1-EXP(-LN(2)/2))/(LN(2)/2)*DB132*DE132*VLOOKUP('Données projet'!$B$13,Paramètres!$A$1:$I$89,3,0)*0.475*44/12</f>
        <v>2.5458365097328507E-14</v>
      </c>
      <c r="DI132" s="22">
        <f t="shared" ref="DI132:DI153" si="123">SUM(DF132:DH132)</f>
        <v>1.4989858574408774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5.6843418860808015E-14</v>
      </c>
      <c r="DP132" s="17">
        <f>DO132*VLOOKUP('Données projet'!$B$14,Paramètres!$A$1:$I$89,3,0)*VLOOKUP('Données projet'!$B$14,Paramètres!$A$1:$I$89,5,0)</f>
        <v>3.813056537183002E-14</v>
      </c>
      <c r="DQ132" s="13">
        <f t="shared" si="97"/>
        <v>6.4086286045526829E-13</v>
      </c>
      <c r="DR132" s="20">
        <f t="shared" ref="DR132:DR153" si="124">(DP132+DQ132)*0.475*44/12</f>
        <v>1.1825802166488628E-12</v>
      </c>
      <c r="DS132" s="59">
        <f t="shared" ref="DS132:DS195" si="125">DR132+(DJ132+DK132)*44/12</f>
        <v>293.33333333333451</v>
      </c>
      <c r="DT132" s="59">
        <f ca="1">AVERAGE(OFFSET($DS$3,0,0,'Données projet'!$E$14+1,1))-AVERAGE(OFFSET($H$3,0,0,'Données projet'!$E$14+1,1))</f>
        <v>156.63226020379989</v>
      </c>
      <c r="DU132" s="59">
        <f t="shared" si="98"/>
        <v>196.0481096619543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0.55710664504582763</v>
      </c>
      <c r="EC132" s="21">
        <f>EXP(-LN(2)/2)*EC131+(1-EXP(-LN(2)/2))/(LN(2)/2)*DW132*DZ132*VLOOKUP('Données projet'!$B$14,Paramètres!$A$1:$I$89,3,0)*0.475*44/12</f>
        <v>1.1396950464405424E-14</v>
      </c>
      <c r="ED132" s="22">
        <f t="shared" ref="ED132:ED153" si="126">SUM(EA132:EC132)</f>
        <v>0.55710664504583907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5.2446581196581219</v>
      </c>
      <c r="EJ132" s="12">
        <f>IF('Données projet'!$A$192&gt;35,EJ131+EI132-ER131,IF(A132&lt;'Données projet'!$A$192,$EG$205^A132,IF(A132='Données projet'!$A$192,'Données projet'!$B$192,EJ131+EI132-ER131)))</f>
        <v>251.11324786324738</v>
      </c>
      <c r="EK132" s="17">
        <f>EJ132*VLOOKUP('Données projet'!$B$15,Paramètres!$A$1:$I$89,3,0)*VLOOKUP('Données projet'!$B$15,Paramètres!$A$1:$I$89,5,0)</f>
        <v>254.62883333333286</v>
      </c>
      <c r="EL132" s="13">
        <f t="shared" si="99"/>
        <v>61.576075027678748</v>
      </c>
      <c r="EM132" s="20">
        <f t="shared" ref="EM132:EM153" si="127">(EK132+EL132)*0.475*44/12</f>
        <v>550.7235487287619</v>
      </c>
      <c r="EN132" s="59">
        <f t="shared" ref="EN132:EN195" si="128">EM132+(EE132+EF132)*44/12</f>
        <v>844.05688206209516</v>
      </c>
      <c r="EO132" s="59">
        <f ca="1">AVERAGE(OFFSET($EN$3,0,0,'Données projet'!$E$15+1,1))-AVERAGE(OFFSET($H$3,0,0,'Données projet'!$E$15+1,1))</f>
        <v>190.21499310415584</v>
      </c>
      <c r="EP132" s="59">
        <f t="shared" si="100"/>
        <v>136.15730566500173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0.9958333333333329</v>
      </c>
      <c r="FE132" s="12">
        <f>IF('Données projet'!$A$218&gt;35,FE131+FD132-FM131,IF(A132&lt;'Données projet'!$A$218,$FB$205^A132,IF(A132='Données projet'!$A$218,'Données projet'!$B$218,FE131+FD132-FM131)))</f>
        <v>92.170833333333377</v>
      </c>
      <c r="FF132" s="17">
        <f>FE132*VLOOKUP('Données projet'!$B$16,Paramètres!$A$1:$I$89,3,0)*VLOOKUP('Données projet'!$B$16,Paramètres!$A$1:$I$89,5,0)</f>
        <v>106.18080000000005</v>
      </c>
      <c r="FG132" s="13">
        <f t="shared" si="101"/>
        <v>28.429309032738459</v>
      </c>
      <c r="FH132" s="20">
        <f t="shared" ref="FH132:FH153" si="130">(FF132+FG132)*0.475*44/12</f>
        <v>234.44593989868622</v>
      </c>
      <c r="FI132" s="59">
        <f t="shared" ref="FI132:FI195" si="131">FH132+(EZ132+FA132)*44/12</f>
        <v>527.77927323201948</v>
      </c>
      <c r="FJ132" s="59">
        <f ca="1">AVERAGE(OFFSET($FI$3,0,0,'Données projet'!$E$16+1,1))-AVERAGE(OFFSET($H$3,0,0,'Données projet'!$E$16+1,1))</f>
        <v>14.847345852478327</v>
      </c>
      <c r="FK132" s="59">
        <f t="shared" si="102"/>
        <v>46.764428272166299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0.1140418279497198</v>
      </c>
      <c r="FS132" s="21">
        <f>EXP(-LN(2)/2)*FS131+(1-EXP(-LN(2)/2))/(LN(2)/2)*FM132*FP132*VLOOKUP('Données projet'!$B$16,Paramètres!$A$1:$I$89,3,0)*0.475*44/12</f>
        <v>2.4782282771921359E-15</v>
      </c>
      <c r="FT132" s="22">
        <f t="shared" ref="FT132:FT153" si="132">SUM(FQ132:FS132)</f>
        <v>0.11404182794972229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1.5064102564102591</v>
      </c>
      <c r="N133" s="13">
        <f>IF('Données projet'!$A$36&gt;35,N132+M133-V132,IF(A133&lt;'Données projet'!$A$36,$K$205^A133,IF(A133='Données projet'!$A$36,'Données projet'!$B$36,N132+M133-V132)))</f>
        <v>109.4038461538466</v>
      </c>
      <c r="O133" s="13">
        <f>N133*VLOOKUP('Données projet'!$B$9,Paramètres!$A$1:$I$89,3,0)*VLOOKUP('Données projet'!$B$9,Paramètres!$A$1:$I$89,5,0)</f>
        <v>98.988600000000403</v>
      </c>
      <c r="P133" s="13">
        <f t="shared" ref="P133:P196" si="141">EXP(-1.0587+0.8836*LN(O133)+0.284)</f>
        <v>26.720903075724081</v>
      </c>
      <c r="Q133" s="20">
        <f t="shared" si="108"/>
        <v>218.94405119022016</v>
      </c>
      <c r="R133" s="59">
        <f t="shared" si="109"/>
        <v>512.27738452355345</v>
      </c>
      <c r="S133" s="59">
        <f ca="1">AVERAGE(OFFSET($R$3,0,0,'Données projet'!$E$9+1,1))-AVERAGE(OFFSET($H$3,0,0,'Données projet'!$E$9+1,1))</f>
        <v>221.7429870520005</v>
      </c>
      <c r="T133" s="59">
        <f t="shared" ref="T133:T196" si="142">$T$3</f>
        <v>182.2029938397186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-5.1159076974727213E-13</v>
      </c>
      <c r="AJ133" s="13">
        <f>AI133*VLOOKUP('Données projet'!$B$10,Paramètres!$A$1:$I$89,3,0)*VLOOKUP('Données projet'!$B$10,Paramètres!$A$1:$I$89,5,0)</f>
        <v>-4.0702161641092972E-13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260.20517190557814</v>
      </c>
      <c r="AO133" s="59">
        <f t="shared" ref="AO133:AO196" si="144">$AO$3</f>
        <v>307.22009971147133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0.45032918382315928</v>
      </c>
      <c r="AV133" s="21">
        <f>EXP(-LN(2)/25)*AV132+(1-EXP(-LN(2)/25))/(LN(2)/25)*Calculateur!AQ133*Calculateur!AS133*VLOOKUP('Données projet'!$B$10,Paramètres!$A$1:$I$89,3,0)*0.475*44/12</f>
        <v>1.2824751702998125</v>
      </c>
      <c r="AW133" s="21">
        <f>EXP(-LN(2)/2)*AW132+(1-EXP(-LN(2)/2))/(LN(2)/2)*AQ133*AT133*VLOOKUP('Données projet'!$B$10,Paramètres!$A$1:$I$89,3,0)*0.475*44/12</f>
        <v>2.1350951453731147E-14</v>
      </c>
      <c r="AX133" s="21">
        <f t="shared" si="114"/>
        <v>1.7328043541229932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553.99999999999955</v>
      </c>
      <c r="BE133" s="13">
        <f>BD133*VLOOKUP('Données projet'!$B$11,Paramètres!$A$1:$I$89,3,0)*VLOOKUP('Données projet'!$B$11,Paramètres!$A$1:$I$89,5,0)</f>
        <v>331.29199999999975</v>
      </c>
      <c r="BF133" s="13">
        <f t="shared" ref="BF133:BF153" si="145">EXP(-1.0587+0.8836*LN(BE133)+0.284)</f>
        <v>77.698110787752</v>
      </c>
      <c r="BG133" s="20">
        <f t="shared" si="115"/>
        <v>712.32444295533423</v>
      </c>
      <c r="BH133" s="59">
        <f t="shared" si="116"/>
        <v>1005.6577762886675</v>
      </c>
      <c r="BI133" s="59">
        <f ca="1">AVERAGE(OFFSET($BH$3,0,0,'Données projet'!$E$11+1,1))-AVERAGE(OFFSET($H$3,0,0,'Données projet'!$E$11+1,1))</f>
        <v>316.58509520829671</v>
      </c>
      <c r="BJ133" s="59">
        <f t="shared" ref="BJ133:BJ196" si="146">$BJ$3</f>
        <v>240.71332110643596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0.3497958889408051</v>
      </c>
      <c r="BQ133" s="21">
        <f>EXP(-LN(2)/25)*BQ132+(1-EXP(-LN(2)/25))/(LN(2)/25)*Calculateur!BL133*Calculateur!BN133*VLOOKUP('Données projet'!$B$11,Paramètres!$A$1:$I$89,3,0)*0.475*44/12</f>
        <v>0.95424542003722146</v>
      </c>
      <c r="BR133" s="21">
        <f>EXP(-LN(2)/2)*BR132+(1-EXP(-LN(2)/2))/(LN(2)/2)*BL133*BO133*VLOOKUP('Données projet'!$B$11,Paramètres!$A$1:$I$89,3,0)*0.475*44/12</f>
        <v>1.9486051057296667E-14</v>
      </c>
      <c r="BS133" s="22">
        <f t="shared" si="117"/>
        <v>1.304041308978046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497</v>
      </c>
      <c r="BZ133" s="13">
        <f>BY133*VLOOKUP('Données projet'!$B$12,Paramètres!$A$1:$I$89,3,0)*VLOOKUP('Données projet'!$B$12,Paramètres!$A$1:$I$89,5,0)</f>
        <v>297.20600000000002</v>
      </c>
      <c r="CA133" s="13">
        <f t="shared" ref="CA133:CA153" si="147">EXP(-1.0587+0.8836*LN(BZ133)+0.284)</f>
        <v>70.590415164571112</v>
      </c>
      <c r="CB133" s="20">
        <f t="shared" si="118"/>
        <v>640.57875641162809</v>
      </c>
      <c r="CC133" s="59">
        <f t="shared" si="119"/>
        <v>933.91208974496135</v>
      </c>
      <c r="CD133" s="59">
        <f ca="1">AVERAGE(OFFSET($CC$3,0,0,'Données projet'!$E$12+1,1))-AVERAGE(OFFSET($H$3,0,0,'Données projet'!$E$12+1,1))</f>
        <v>270.30888762640245</v>
      </c>
      <c r="CE133" s="59">
        <f t="shared" ref="CE133:CE196" si="148">$CE$3</f>
        <v>202.23783851977691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0.29560215966828574</v>
      </c>
      <c r="CL133" s="21">
        <f>EXP(-LN(2)/25)*CL132+(1-EXP(-LN(2)/25))/(LN(2)/25)*Calculateur!CG133*Calculateur!CI133*VLOOKUP('Données projet'!$B$12,Paramètres!$A$1:$I$89,3,0)*0.475*44/12</f>
        <v>0.76845051076504678</v>
      </c>
      <c r="CM133" s="21">
        <f>EXP(-LN(2)/2)*CM132+(1-EXP(-LN(2)/2))/(LN(2)/2)*CG133*CJ133*VLOOKUP('Données projet'!$B$12,Paramètres!$A$1:$I$89,3,0)*0.475*44/12</f>
        <v>1.6424735870457305E-14</v>
      </c>
      <c r="CN133" s="22">
        <f t="shared" si="120"/>
        <v>1.0640526704333491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-5.1159076974727213E-13</v>
      </c>
      <c r="CU133" s="17">
        <f>CT133*VLOOKUP('Données projet'!$B$13,Paramètres!$A$1:$I$89,3,0)*VLOOKUP('Données projet'!$B$13,Paramètres!$A$1:$I$89,5,0)</f>
        <v>-3.4317508834647017E-13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207.93042467236967</v>
      </c>
      <c r="CZ133" s="59">
        <f t="shared" ref="CZ133:CZ196" si="150">$CZ$3</f>
        <v>250.70954318710835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0.37968931185089855</v>
      </c>
      <c r="DG133" s="21">
        <f>EXP(-LN(2)/25)*DG132+(1-EXP(-LN(2)/25))/(LN(2)/25)*Calculateur!DB133*Calculateur!DD133*VLOOKUP('Données projet'!$B$13,Paramètres!$A$1:$I$89,3,0)*0.475*44/12</f>
        <v>1.08130259456651</v>
      </c>
      <c r="DH133" s="21">
        <f>EXP(-LN(2)/2)*DH132+(1-EXP(-LN(2)/2))/(LN(2)/2)*DB133*DE133*VLOOKUP('Données projet'!$B$13,Paramètres!$A$1:$I$89,3,0)*0.475*44/12</f>
        <v>1.8001782598243907E-14</v>
      </c>
      <c r="DI133" s="22">
        <f t="shared" si="123"/>
        <v>1.4609919064174266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5.6843418860808015E-14</v>
      </c>
      <c r="DP133" s="17">
        <f>DO133*VLOOKUP('Données projet'!$B$14,Paramètres!$A$1:$I$89,3,0)*VLOOKUP('Données projet'!$B$14,Paramètres!$A$1:$I$89,5,0)</f>
        <v>3.813056537183002E-14</v>
      </c>
      <c r="DQ133" s="13">
        <f t="shared" ref="DQ133:DQ153" si="151">EXP(-1.0587+0.8836*LN(DP133)+0.284)</f>
        <v>6.4086286045526829E-13</v>
      </c>
      <c r="DR133" s="20">
        <f t="shared" si="124"/>
        <v>1.1825802166488628E-12</v>
      </c>
      <c r="DS133" s="59">
        <f t="shared" si="125"/>
        <v>293.33333333333451</v>
      </c>
      <c r="DT133" s="59">
        <f ca="1">AVERAGE(OFFSET($DS$3,0,0,'Données projet'!$E$14+1,1))-AVERAGE(OFFSET($H$3,0,0,'Données projet'!$E$14+1,1))</f>
        <v>156.63226020379989</v>
      </c>
      <c r="DU133" s="59">
        <f t="shared" ref="DU133:DU196" si="152">$DU$3</f>
        <v>196.0481096619543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0.54187253454008433</v>
      </c>
      <c r="EC133" s="21">
        <f>EXP(-LN(2)/2)*EC132+(1-EXP(-LN(2)/2))/(LN(2)/2)*DW133*DZ133*VLOOKUP('Données projet'!$B$14,Paramètres!$A$1:$I$89,3,0)*0.475*44/12</f>
        <v>8.0588609582282476E-15</v>
      </c>
      <c r="ED133" s="22">
        <f t="shared" si="126"/>
        <v>0.54187253454009243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5.2446581196581219</v>
      </c>
      <c r="EJ133" s="12">
        <f>IF('Données projet'!$A$192&gt;35,EJ132+EI133-ER132,IF(A133&lt;'Données projet'!$A$192,$EG$205^A133,IF(A133='Données projet'!$A$192,'Données projet'!$B$192,EJ132+EI133-ER132)))</f>
        <v>256.35790598290549</v>
      </c>
      <c r="EK133" s="17">
        <f>EJ133*VLOOKUP('Données projet'!$B$15,Paramètres!$A$1:$I$89,3,0)*VLOOKUP('Données projet'!$B$15,Paramètres!$A$1:$I$89,5,0)</f>
        <v>259.9469166666662</v>
      </c>
      <c r="EL133" s="13">
        <f t="shared" ref="EL133:EL153" si="153">EXP(-1.0587+0.8836*LN(EK133)+0.284)</f>
        <v>62.71106260017865</v>
      </c>
      <c r="EM133" s="20">
        <f t="shared" si="127"/>
        <v>561.96264722308808</v>
      </c>
      <c r="EN133" s="59">
        <f t="shared" si="128"/>
        <v>855.29598055642145</v>
      </c>
      <c r="EO133" s="59">
        <f ca="1">AVERAGE(OFFSET($EN$3,0,0,'Données projet'!$E$15+1,1))-AVERAGE(OFFSET($H$3,0,0,'Données projet'!$E$15+1,1))</f>
        <v>190.21499310415584</v>
      </c>
      <c r="EP133" s="59">
        <f t="shared" ref="EP133:EP196" si="154">$EP$3</f>
        <v>136.15730566500173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>
        <f>VLOOKUP(A133,'Données projet'!$A$217:$I$237,2,0)</f>
        <v>93.166666666666671</v>
      </c>
      <c r="FC133" s="12">
        <f>VLOOKUP(A133,'Données projet'!$A$217:$I$237,9,0)</f>
        <v>0.9958333333333329</v>
      </c>
      <c r="FD133" s="12">
        <f t="array" ref="FD133">INDEX(FC:FC,MIN(IF(ISNUMBER(FC133:FC329),ROW(FC133:FC329),"")))</f>
        <v>0.9958333333333329</v>
      </c>
      <c r="FE133" s="12">
        <f>IF('Données projet'!$A$218&gt;35,FE132+FD133-FM132,IF(A133&lt;'Données projet'!$A$218,$FB$205^A133,IF(A133='Données projet'!$A$218,'Données projet'!$B$218,FE132+FD133-FM132)))</f>
        <v>93.166666666666714</v>
      </c>
      <c r="FF133" s="17">
        <f>FE133*VLOOKUP('Données projet'!$B$16,Paramètres!$A$1:$I$89,3,0)*VLOOKUP('Données projet'!$B$16,Paramètres!$A$1:$I$89,5,0)</f>
        <v>107.32800000000005</v>
      </c>
      <c r="FG133" s="13">
        <f t="shared" ref="FG133:FG153" si="155">EXP(-1.0587+0.8836*LN(FF133)+0.284)</f>
        <v>28.700542375698706</v>
      </c>
      <c r="FH133" s="20">
        <f t="shared" si="130"/>
        <v>236.91637797100864</v>
      </c>
      <c r="FI133" s="59">
        <f t="shared" si="131"/>
        <v>530.24971130434199</v>
      </c>
      <c r="FJ133" s="59">
        <f ca="1">AVERAGE(OFFSET($FI$3,0,0,'Données projet'!$E$16+1,1))-AVERAGE(OFFSET($H$3,0,0,'Données projet'!$E$16+1,1))</f>
        <v>14.847345852478327</v>
      </c>
      <c r="FK133" s="59">
        <f t="shared" ref="FK133:FK196" si="156">$FK$3</f>
        <v>46.764428272166299</v>
      </c>
      <c r="FL133" s="15">
        <f>IF(ISNA(VLOOKUP(A133,'Données projet'!$A$217:$I$237,3,0)),0,VLOOKUP(A133,'Données projet'!$A$217:$I$237,3,0))</f>
        <v>13</v>
      </c>
      <c r="FM133" s="15">
        <f>IF(ISNA(VLOOKUP(A133,'Données projet'!$A$217:$I$237,4,0)),0,VLOOKUP(A133,'Données projet'!$A$217:$I$237,4,0))</f>
        <v>7.7083333333333339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0.11092334816723563</v>
      </c>
      <c r="FS133" s="21">
        <f>EXP(-LN(2)/2)*FS132+(1-EXP(-LN(2)/2))/(LN(2)/2)*FM133*FP133*VLOOKUP('Données projet'!$B$16,Paramètres!$A$1:$I$89,3,0)*0.475*44/12</f>
        <v>1.7523720201308144E-15</v>
      </c>
      <c r="FT133" s="22">
        <f t="shared" si="132"/>
        <v>0.11092334816723738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110.91025641025641</v>
      </c>
      <c r="L134" s="12">
        <f>VLOOKUP(A134,'Données projet'!$A$35:$I$55,9,0)</f>
        <v>1.5064102564102591</v>
      </c>
      <c r="M134" s="12">
        <f t="array" ref="M134">INDEX(L:L,MIN(IF(ISNUMBER(L134:L330),ROW(L134:L330),"")))</f>
        <v>1.5064102564102591</v>
      </c>
      <c r="N134" s="13">
        <f>IF('Données projet'!$A$36&gt;35,N133+M134-V133,IF(A134&lt;'Données projet'!$A$36,$K$205^A134,IF(A134='Données projet'!$A$36,'Données projet'!$B$36,N133+M134-V133)))</f>
        <v>110.91025641025686</v>
      </c>
      <c r="O134" s="13">
        <f>N134*VLOOKUP('Données projet'!$B$9,Paramètres!$A$1:$I$89,3,0)*VLOOKUP('Données projet'!$B$9,Paramètres!$A$1:$I$89,5,0)</f>
        <v>100.3516000000004</v>
      </c>
      <c r="P134" s="13">
        <f t="shared" si="141"/>
        <v>27.045744281593805</v>
      </c>
      <c r="Q134" s="20">
        <f t="shared" si="108"/>
        <v>221.88370795710989</v>
      </c>
      <c r="R134" s="59">
        <f t="shared" si="109"/>
        <v>515.21704129044315</v>
      </c>
      <c r="S134" s="59">
        <f ca="1">AVERAGE(OFFSET($R$3,0,0,'Données projet'!$E$9+1,1))-AVERAGE(OFFSET($H$3,0,0,'Données projet'!$E$9+1,1))</f>
        <v>221.7429870520005</v>
      </c>
      <c r="T134" s="59">
        <f t="shared" si="142"/>
        <v>182.2029938397186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110.91025641025641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-5.1159076974727213E-13</v>
      </c>
      <c r="AJ134" s="13">
        <f>AI134*VLOOKUP('Données projet'!$B$10,Paramètres!$A$1:$I$89,3,0)*VLOOKUP('Données projet'!$B$10,Paramètres!$A$1:$I$89,5,0)</f>
        <v>-4.0702161641092972E-13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260.20517190557814</v>
      </c>
      <c r="AO134" s="59">
        <f t="shared" si="144"/>
        <v>307.22009971147133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0.44149850320206752</v>
      </c>
      <c r="AV134" s="21">
        <f>EXP(-LN(2)/25)*AV133+(1-EXP(-LN(2)/25))/(LN(2)/25)*Calculateur!AQ134*Calculateur!AS134*VLOOKUP('Données projet'!$B$10,Paramètres!$A$1:$I$89,3,0)*0.475*44/12</f>
        <v>1.247405819325526</v>
      </c>
      <c r="AW134" s="21">
        <f>EXP(-LN(2)/2)*AW133+(1-EXP(-LN(2)/2))/(LN(2)/2)*AQ134*AT134*VLOOKUP('Données projet'!$B$10,Paramètres!$A$1:$I$89,3,0)*0.475*44/12</f>
        <v>1.5097402557718069E-14</v>
      </c>
      <c r="AX134" s="21">
        <f t="shared" si="114"/>
        <v>1.6889043225276086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553.99999999999955</v>
      </c>
      <c r="BE134" s="13">
        <f>BD134*VLOOKUP('Données projet'!$B$11,Paramètres!$A$1:$I$89,3,0)*VLOOKUP('Données projet'!$B$11,Paramètres!$A$1:$I$89,5,0)</f>
        <v>331.29199999999975</v>
      </c>
      <c r="BF134" s="13">
        <f t="shared" si="145"/>
        <v>77.698110787752</v>
      </c>
      <c r="BG134" s="20">
        <f t="shared" si="115"/>
        <v>712.32444295533423</v>
      </c>
      <c r="BH134" s="59">
        <f t="shared" si="116"/>
        <v>1005.6577762886675</v>
      </c>
      <c r="BI134" s="59">
        <f ca="1">AVERAGE(OFFSET($BH$3,0,0,'Données projet'!$E$11+1,1))-AVERAGE(OFFSET($H$3,0,0,'Données projet'!$E$11+1,1))</f>
        <v>316.58509520829671</v>
      </c>
      <c r="BJ134" s="59">
        <f t="shared" si="146"/>
        <v>240.71332110643596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0.34293660491310118</v>
      </c>
      <c r="BQ134" s="21">
        <f>EXP(-LN(2)/25)*BQ133+(1-EXP(-LN(2)/25))/(LN(2)/25)*Calculateur!BL134*Calculateur!BN134*VLOOKUP('Données projet'!$B$11,Paramètres!$A$1:$I$89,3,0)*0.475*44/12</f>
        <v>0.92815152884471797</v>
      </c>
      <c r="BR134" s="21">
        <f>EXP(-LN(2)/2)*BR133+(1-EXP(-LN(2)/2))/(LN(2)/2)*BL134*BO134*VLOOKUP('Données projet'!$B$11,Paramètres!$A$1:$I$89,3,0)*0.475*44/12</f>
        <v>1.3778718841161767E-14</v>
      </c>
      <c r="BS134" s="22">
        <f t="shared" si="117"/>
        <v>1.271088133757833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497</v>
      </c>
      <c r="BZ134" s="13">
        <f>BY134*VLOOKUP('Données projet'!$B$12,Paramètres!$A$1:$I$89,3,0)*VLOOKUP('Données projet'!$B$12,Paramètres!$A$1:$I$89,5,0)</f>
        <v>297.20600000000002</v>
      </c>
      <c r="CA134" s="13">
        <f t="shared" si="147"/>
        <v>70.590415164571112</v>
      </c>
      <c r="CB134" s="20">
        <f t="shared" si="118"/>
        <v>640.57875641162809</v>
      </c>
      <c r="CC134" s="59">
        <f t="shared" si="119"/>
        <v>933.91208974496135</v>
      </c>
      <c r="CD134" s="59">
        <f ca="1">AVERAGE(OFFSET($CC$3,0,0,'Données projet'!$E$12+1,1))-AVERAGE(OFFSET($H$3,0,0,'Données projet'!$E$12+1,1))</f>
        <v>270.30888762640245</v>
      </c>
      <c r="CE134" s="59">
        <f t="shared" si="148"/>
        <v>202.23783851977691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0.28980558161670494</v>
      </c>
      <c r="CL134" s="21">
        <f>EXP(-LN(2)/25)*CL133+(1-EXP(-LN(2)/25))/(LN(2)/25)*Calculateur!CG134*Calculateur!CI134*VLOOKUP('Données projet'!$B$12,Paramètres!$A$1:$I$89,3,0)*0.475*44/12</f>
        <v>0.74743719113712048</v>
      </c>
      <c r="CM134" s="21">
        <f>EXP(-LN(2)/2)*CM133+(1-EXP(-LN(2)/2))/(LN(2)/2)*CG134*CJ134*VLOOKUP('Données projet'!$B$12,Paramètres!$A$1:$I$89,3,0)*0.475*44/12</f>
        <v>1.1614042113198291E-14</v>
      </c>
      <c r="CN134" s="22">
        <f t="shared" si="120"/>
        <v>1.0372427727538369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-5.1159076974727213E-13</v>
      </c>
      <c r="CU134" s="17">
        <f>CT134*VLOOKUP('Données projet'!$B$13,Paramètres!$A$1:$I$89,3,0)*VLOOKUP('Données projet'!$B$13,Paramètres!$A$1:$I$89,5,0)</f>
        <v>-3.4317508834647017E-13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207.93042467236967</v>
      </c>
      <c r="CZ134" s="59">
        <f t="shared" si="150"/>
        <v>250.70954318710835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0.37224383603311528</v>
      </c>
      <c r="DG134" s="21">
        <f>EXP(-LN(2)/25)*DG133+(1-EXP(-LN(2)/25))/(LN(2)/25)*Calculateur!DB134*Calculateur!DD134*VLOOKUP('Données projet'!$B$13,Paramètres!$A$1:$I$89,3,0)*0.475*44/12</f>
        <v>1.0517343182548566</v>
      </c>
      <c r="DH134" s="21">
        <f>EXP(-LN(2)/2)*DH133+(1-EXP(-LN(2)/2))/(LN(2)/2)*DB134*DE134*VLOOKUP('Données projet'!$B$13,Paramètres!$A$1:$I$89,3,0)*0.475*44/12</f>
        <v>1.2729182548664254E-14</v>
      </c>
      <c r="DI134" s="22">
        <f t="shared" si="123"/>
        <v>1.4239781542879846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5.6843418860808015E-14</v>
      </c>
      <c r="DP134" s="17">
        <f>DO134*VLOOKUP('Données projet'!$B$14,Paramètres!$A$1:$I$89,3,0)*VLOOKUP('Données projet'!$B$14,Paramètres!$A$1:$I$89,5,0)</f>
        <v>3.813056537183002E-14</v>
      </c>
      <c r="DQ134" s="13">
        <f t="shared" si="151"/>
        <v>6.4086286045526829E-13</v>
      </c>
      <c r="DR134" s="20">
        <f t="shared" si="124"/>
        <v>1.1825802166488628E-12</v>
      </c>
      <c r="DS134" s="59">
        <f t="shared" si="125"/>
        <v>293.33333333333451</v>
      </c>
      <c r="DT134" s="59">
        <f ca="1">AVERAGE(OFFSET($DS$3,0,0,'Données projet'!$E$14+1,1))-AVERAGE(OFFSET($H$3,0,0,'Données projet'!$E$14+1,1))</f>
        <v>156.63226020379989</v>
      </c>
      <c r="DU134" s="59">
        <f t="shared" si="152"/>
        <v>196.0481096619543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0.52705500158724761</v>
      </c>
      <c r="EC134" s="21">
        <f>EXP(-LN(2)/2)*EC133+(1-EXP(-LN(2)/2))/(LN(2)/2)*DW134*DZ134*VLOOKUP('Données projet'!$B$14,Paramètres!$A$1:$I$89,3,0)*0.475*44/12</f>
        <v>5.6984752322027122E-15</v>
      </c>
      <c r="ED134" s="22">
        <f t="shared" si="126"/>
        <v>0.52705500158725327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5.2446581196581219</v>
      </c>
      <c r="EJ134" s="12">
        <f>IF('Données projet'!$A$192&gt;35,EJ133+EI134-ER133,IF(A134&lt;'Données projet'!$A$192,$EG$205^A134,IF(A134='Données projet'!$A$192,'Données projet'!$B$192,EJ133+EI134-ER133)))</f>
        <v>261.60256410256363</v>
      </c>
      <c r="EK134" s="17">
        <f>EJ134*VLOOKUP('Données projet'!$B$15,Paramètres!$A$1:$I$89,3,0)*VLOOKUP('Données projet'!$B$15,Paramètres!$A$1:$I$89,5,0)</f>
        <v>265.26499999999953</v>
      </c>
      <c r="EL134" s="13">
        <f t="shared" si="153"/>
        <v>63.843350385205326</v>
      </c>
      <c r="EM134" s="20">
        <f t="shared" si="127"/>
        <v>573.19704358756508</v>
      </c>
      <c r="EN134" s="59">
        <f t="shared" si="128"/>
        <v>866.53037692089833</v>
      </c>
      <c r="EO134" s="59">
        <f ca="1">AVERAGE(OFFSET($EN$3,0,0,'Données projet'!$E$15+1,1))-AVERAGE(OFFSET($H$3,0,0,'Données projet'!$E$15+1,1))</f>
        <v>190.21499310415584</v>
      </c>
      <c r="EP134" s="59">
        <f t="shared" si="154"/>
        <v>136.15730566500173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0.93749999999999856</v>
      </c>
      <c r="FE134" s="12">
        <f>IF('Données projet'!$A$218&gt;35,FE133+FD134-FM133,IF(A134&lt;'Données projet'!$A$218,$FB$205^A134,IF(A134='Données projet'!$A$218,'Données projet'!$B$218,FE133+FD134-FM133)))</f>
        <v>86.395833333333385</v>
      </c>
      <c r="FF134" s="17">
        <f>FE134*VLOOKUP('Données projet'!$B$16,Paramètres!$A$1:$I$89,3,0)*VLOOKUP('Données projet'!$B$16,Paramètres!$A$1:$I$89,5,0)</f>
        <v>99.528000000000048</v>
      </c>
      <c r="FG134" s="13">
        <f t="shared" si="155"/>
        <v>26.849519112903323</v>
      </c>
      <c r="FH134" s="20">
        <f t="shared" si="130"/>
        <v>220.10751245497337</v>
      </c>
      <c r="FI134" s="59">
        <f t="shared" si="131"/>
        <v>513.44084578830666</v>
      </c>
      <c r="FJ134" s="59">
        <f ca="1">AVERAGE(OFFSET($FI$3,0,0,'Données projet'!$E$16+1,1))-AVERAGE(OFFSET($H$3,0,0,'Données projet'!$E$16+1,1))</f>
        <v>14.847345852478327</v>
      </c>
      <c r="FK134" s="59">
        <f t="shared" si="156"/>
        <v>46.764428272166299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0.10789014337839721</v>
      </c>
      <c r="FS134" s="21">
        <f>EXP(-LN(2)/2)*FS133+(1-EXP(-LN(2)/2))/(LN(2)/2)*FM134*FP134*VLOOKUP('Données projet'!$B$16,Paramètres!$A$1:$I$89,3,0)*0.475*44/12</f>
        <v>1.2391141385960682E-15</v>
      </c>
      <c r="FT134" s="22">
        <f t="shared" si="132"/>
        <v>0.10789014337839845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4.1145540308207271E-13</v>
      </c>
      <c r="P135" s="13">
        <f t="shared" si="141"/>
        <v>5.2428527960910789E-12</v>
      </c>
      <c r="Q135" s="20">
        <f t="shared" si="108"/>
        <v>9.8479201135599071E-12</v>
      </c>
      <c r="R135" s="59">
        <f t="shared" si="109"/>
        <v>293.33333333334315</v>
      </c>
      <c r="S135" s="59">
        <f ca="1">AVERAGE(OFFSET($R$3,0,0,'Données projet'!$E$9+1,1))-AVERAGE(OFFSET($H$3,0,0,'Données projet'!$E$9+1,1))</f>
        <v>221.7429870520005</v>
      </c>
      <c r="T135" s="59">
        <f t="shared" si="142"/>
        <v>182.2029938397186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-5.1159076974727213E-13</v>
      </c>
      <c r="AJ135" s="13">
        <f>AI135*VLOOKUP('Données projet'!$B$10,Paramètres!$A$1:$I$89,3,0)*VLOOKUP('Données projet'!$B$10,Paramètres!$A$1:$I$89,5,0)</f>
        <v>-4.0702161641092972E-13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260.20517190557814</v>
      </c>
      <c r="AO135" s="59">
        <f t="shared" si="144"/>
        <v>307.22009971147133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0.43284098684177197</v>
      </c>
      <c r="AV135" s="21">
        <f>EXP(-LN(2)/25)*AV134+(1-EXP(-LN(2)/25))/(LN(2)/25)*Calculateur!AQ135*Calculateur!AS135*VLOOKUP('Données projet'!$B$10,Paramètres!$A$1:$I$89,3,0)*0.475*44/12</f>
        <v>1.2132954415978483</v>
      </c>
      <c r="AW135" s="21">
        <f>EXP(-LN(2)/2)*AW134+(1-EXP(-LN(2)/2))/(LN(2)/2)*AQ135*AT135*VLOOKUP('Données projet'!$B$10,Paramètres!$A$1:$I$89,3,0)*0.475*44/12</f>
        <v>1.0675475726865574E-14</v>
      </c>
      <c r="AX135" s="21">
        <f t="shared" si="114"/>
        <v>1.6461364284396309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553.99999999999955</v>
      </c>
      <c r="BE135" s="13">
        <f>BD135*VLOOKUP('Données projet'!$B$11,Paramètres!$A$1:$I$89,3,0)*VLOOKUP('Données projet'!$B$11,Paramètres!$A$1:$I$89,5,0)</f>
        <v>331.29199999999975</v>
      </c>
      <c r="BF135" s="13">
        <f t="shared" si="145"/>
        <v>77.698110787752</v>
      </c>
      <c r="BG135" s="20">
        <f t="shared" si="115"/>
        <v>712.32444295533423</v>
      </c>
      <c r="BH135" s="59">
        <f t="shared" si="116"/>
        <v>1005.6577762886675</v>
      </c>
      <c r="BI135" s="59">
        <f ca="1">AVERAGE(OFFSET($BH$3,0,0,'Données projet'!$E$11+1,1))-AVERAGE(OFFSET($H$3,0,0,'Données projet'!$E$11+1,1))</f>
        <v>316.58509520829671</v>
      </c>
      <c r="BJ135" s="59">
        <f t="shared" si="146"/>
        <v>240.71332110643596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0.3362118272614304</v>
      </c>
      <c r="BQ135" s="21">
        <f>EXP(-LN(2)/25)*BQ134+(1-EXP(-LN(2)/25))/(LN(2)/25)*Calculateur!BL135*Calculateur!BN135*VLOOKUP('Données projet'!$B$11,Paramètres!$A$1:$I$89,3,0)*0.475*44/12</f>
        <v>0.90277117647909155</v>
      </c>
      <c r="BR135" s="21">
        <f>EXP(-LN(2)/2)*BR134+(1-EXP(-LN(2)/2))/(LN(2)/2)*BL135*BO135*VLOOKUP('Données projet'!$B$11,Paramètres!$A$1:$I$89,3,0)*0.475*44/12</f>
        <v>9.7430255286483335E-15</v>
      </c>
      <c r="BS135" s="22">
        <f t="shared" si="117"/>
        <v>1.2389830037405316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497</v>
      </c>
      <c r="BZ135" s="13">
        <f>BY135*VLOOKUP('Données projet'!$B$12,Paramètres!$A$1:$I$89,3,0)*VLOOKUP('Données projet'!$B$12,Paramètres!$A$1:$I$89,5,0)</f>
        <v>297.20600000000002</v>
      </c>
      <c r="CA135" s="13">
        <f t="shared" si="147"/>
        <v>70.590415164571112</v>
      </c>
      <c r="CB135" s="20">
        <f t="shared" si="118"/>
        <v>640.57875641162809</v>
      </c>
      <c r="CC135" s="59">
        <f t="shared" si="119"/>
        <v>933.91208974496135</v>
      </c>
      <c r="CD135" s="59">
        <f ca="1">AVERAGE(OFFSET($CC$3,0,0,'Données projet'!$E$12+1,1))-AVERAGE(OFFSET($H$3,0,0,'Données projet'!$E$12+1,1))</f>
        <v>270.30888762640245</v>
      </c>
      <c r="CE135" s="59">
        <f t="shared" si="148"/>
        <v>202.23783851977691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0.28412267092515214</v>
      </c>
      <c r="CL135" s="21">
        <f>EXP(-LN(2)/25)*CL134+(1-EXP(-LN(2)/25))/(LN(2)/25)*Calculateur!CG135*Calculateur!CI135*VLOOKUP('Données projet'!$B$12,Paramètres!$A$1:$I$89,3,0)*0.475*44/12</f>
        <v>0.72699848183946236</v>
      </c>
      <c r="CM135" s="21">
        <f>EXP(-LN(2)/2)*CM134+(1-EXP(-LN(2)/2))/(LN(2)/2)*CG135*CJ135*VLOOKUP('Données projet'!$B$12,Paramètres!$A$1:$I$89,3,0)*0.475*44/12</f>
        <v>8.2123679352286523E-15</v>
      </c>
      <c r="CN135" s="22">
        <f t="shared" si="120"/>
        <v>1.0111211527646227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-5.1159076974727213E-13</v>
      </c>
      <c r="CU135" s="17">
        <f>CT135*VLOOKUP('Données projet'!$B$13,Paramètres!$A$1:$I$89,3,0)*VLOOKUP('Données projet'!$B$13,Paramètres!$A$1:$I$89,5,0)</f>
        <v>-3.4317508834647017E-13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207.93042467236967</v>
      </c>
      <c r="CZ135" s="59">
        <f t="shared" si="150"/>
        <v>250.70954318710835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0.36494436145482689</v>
      </c>
      <c r="DG135" s="21">
        <f>EXP(-LN(2)/25)*DG134+(1-EXP(-LN(2)/25))/(LN(2)/25)*Calculateur!DB135*Calculateur!DD135*VLOOKUP('Données projet'!$B$13,Paramètres!$A$1:$I$89,3,0)*0.475*44/12</f>
        <v>1.0229745880138736</v>
      </c>
      <c r="DH135" s="21">
        <f>EXP(-LN(2)/2)*DH134+(1-EXP(-LN(2)/2))/(LN(2)/2)*DB135*DE135*VLOOKUP('Données projet'!$B$13,Paramètres!$A$1:$I$89,3,0)*0.475*44/12</f>
        <v>9.0008912991219536E-15</v>
      </c>
      <c r="DI135" s="22">
        <f t="shared" si="123"/>
        <v>1.3879189494687096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5.6843418860808015E-14</v>
      </c>
      <c r="DP135" s="17">
        <f>DO135*VLOOKUP('Données projet'!$B$14,Paramètres!$A$1:$I$89,3,0)*VLOOKUP('Données projet'!$B$14,Paramètres!$A$1:$I$89,5,0)</f>
        <v>3.813056537183002E-14</v>
      </c>
      <c r="DQ135" s="13">
        <f t="shared" si="151"/>
        <v>6.4086286045526829E-13</v>
      </c>
      <c r="DR135" s="20">
        <f t="shared" si="124"/>
        <v>1.1825802166488628E-12</v>
      </c>
      <c r="DS135" s="59">
        <f t="shared" si="125"/>
        <v>293.33333333333451</v>
      </c>
      <c r="DT135" s="59">
        <f ca="1">AVERAGE(OFFSET($DS$3,0,0,'Données projet'!$E$14+1,1))-AVERAGE(OFFSET($H$3,0,0,'Données projet'!$E$14+1,1))</f>
        <v>156.63226020379989</v>
      </c>
      <c r="DU135" s="59">
        <f t="shared" si="152"/>
        <v>196.0481096619543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0.51264265485222638</v>
      </c>
      <c r="EC135" s="21">
        <f>EXP(-LN(2)/2)*EC134+(1-EXP(-LN(2)/2))/(LN(2)/2)*DW135*DZ135*VLOOKUP('Données projet'!$B$14,Paramètres!$A$1:$I$89,3,0)*0.475*44/12</f>
        <v>4.0294304791141238E-15</v>
      </c>
      <c r="ED135" s="22">
        <f t="shared" si="126"/>
        <v>0.51264265485223037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5.2446581196581219</v>
      </c>
      <c r="EJ135" s="12">
        <f>IF('Données projet'!$A$192&gt;35,EJ134+EI135-ER134,IF(A135&lt;'Données projet'!$A$192,$EG$205^A135,IF(A135='Données projet'!$A$192,'Données projet'!$B$192,EJ134+EI135-ER134)))</f>
        <v>266.84722222222177</v>
      </c>
      <c r="EK135" s="17">
        <f>EJ135*VLOOKUP('Données projet'!$B$15,Paramètres!$A$1:$I$89,3,0)*VLOOKUP('Données projet'!$B$15,Paramètres!$A$1:$I$89,5,0)</f>
        <v>270.58308333333292</v>
      </c>
      <c r="EL135" s="13">
        <f t="shared" si="153"/>
        <v>64.972998746573325</v>
      </c>
      <c r="EM135" s="20">
        <f t="shared" si="127"/>
        <v>584.42684295583661</v>
      </c>
      <c r="EN135" s="59">
        <f t="shared" si="128"/>
        <v>877.76017628916998</v>
      </c>
      <c r="EO135" s="59">
        <f ca="1">AVERAGE(OFFSET($EN$3,0,0,'Données projet'!$E$15+1,1))-AVERAGE(OFFSET($H$3,0,0,'Données projet'!$E$15+1,1))</f>
        <v>190.21499310415584</v>
      </c>
      <c r="EP135" s="59">
        <f t="shared" si="154"/>
        <v>136.15730566500173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0.93749999999999856</v>
      </c>
      <c r="FE135" s="12">
        <f>IF('Données projet'!$A$218&gt;35,FE134+FD135-FM134,IF(A135&lt;'Données projet'!$A$218,$FB$205^A135,IF(A135='Données projet'!$A$218,'Données projet'!$B$218,FE134+FD135-FM134)))</f>
        <v>87.333333333333385</v>
      </c>
      <c r="FF135" s="17">
        <f>FE135*VLOOKUP('Données projet'!$B$16,Paramètres!$A$1:$I$89,3,0)*VLOOKUP('Données projet'!$B$16,Paramètres!$A$1:$I$89,5,0)</f>
        <v>100.60800000000005</v>
      </c>
      <c r="FG135" s="13">
        <f t="shared" si="155"/>
        <v>27.106794024634929</v>
      </c>
      <c r="FH135" s="20">
        <f t="shared" si="130"/>
        <v>222.43659959290594</v>
      </c>
      <c r="FI135" s="59">
        <f t="shared" si="131"/>
        <v>515.76993292623922</v>
      </c>
      <c r="FJ135" s="59">
        <f ca="1">AVERAGE(OFFSET($FI$3,0,0,'Données projet'!$E$16+1,1))-AVERAGE(OFFSET($H$3,0,0,'Données projet'!$E$16+1,1))</f>
        <v>14.847345852478327</v>
      </c>
      <c r="FK135" s="59">
        <f t="shared" si="156"/>
        <v>46.764428272166299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0.10493988173401889</v>
      </c>
      <c r="FS135" s="21">
        <f>EXP(-LN(2)/2)*FS134+(1-EXP(-LN(2)/2))/(LN(2)/2)*FM135*FP135*VLOOKUP('Données projet'!$B$16,Paramètres!$A$1:$I$89,3,0)*0.475*44/12</f>
        <v>8.7618601006540739E-16</v>
      </c>
      <c r="FT135" s="22">
        <f t="shared" si="132"/>
        <v>0.10493988173401976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4.1145540308207271E-13</v>
      </c>
      <c r="P136" s="13">
        <f t="shared" si="141"/>
        <v>5.2428527960910789E-12</v>
      </c>
      <c r="Q136" s="20">
        <f t="shared" si="108"/>
        <v>9.8479201135599071E-12</v>
      </c>
      <c r="R136" s="59">
        <f t="shared" si="109"/>
        <v>293.33333333334315</v>
      </c>
      <c r="S136" s="59">
        <f ca="1">AVERAGE(OFFSET($R$3,0,0,'Données projet'!$E$9+1,1))-AVERAGE(OFFSET($H$3,0,0,'Données projet'!$E$9+1,1))</f>
        <v>221.7429870520005</v>
      </c>
      <c r="T136" s="59">
        <f t="shared" si="142"/>
        <v>182.2029938397186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-5.1159076974727213E-13</v>
      </c>
      <c r="AJ136" s="13">
        <f>AI136*VLOOKUP('Données projet'!$B$10,Paramètres!$A$1:$I$89,3,0)*VLOOKUP('Données projet'!$B$10,Paramètres!$A$1:$I$89,5,0)</f>
        <v>-4.0702161641092972E-13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260.20517190557814</v>
      </c>
      <c r="AO136" s="59">
        <f t="shared" si="144"/>
        <v>307.22009971147133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0.42435323909673828</v>
      </c>
      <c r="AV136" s="21">
        <f>EXP(-LN(2)/25)*AV135+(1-EXP(-LN(2)/25))/(LN(2)/25)*Calculateur!AQ136*Calculateur!AS136*VLOOKUP('Données projet'!$B$10,Paramètres!$A$1:$I$89,3,0)*0.475*44/12</f>
        <v>1.1801178139429209</v>
      </c>
      <c r="AW136" s="21">
        <f>EXP(-LN(2)/2)*AW135+(1-EXP(-LN(2)/2))/(LN(2)/2)*AQ136*AT136*VLOOKUP('Données projet'!$B$10,Paramètres!$A$1:$I$89,3,0)*0.475*44/12</f>
        <v>7.5487012788590345E-15</v>
      </c>
      <c r="AX136" s="21">
        <f t="shared" si="114"/>
        <v>1.6044710530396666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553.99999999999955</v>
      </c>
      <c r="BE136" s="13">
        <f>BD136*VLOOKUP('Données projet'!$B$11,Paramètres!$A$1:$I$89,3,0)*VLOOKUP('Données projet'!$B$11,Paramètres!$A$1:$I$89,5,0)</f>
        <v>331.29199999999975</v>
      </c>
      <c r="BF136" s="13">
        <f t="shared" si="145"/>
        <v>77.698110787752</v>
      </c>
      <c r="BG136" s="20">
        <f t="shared" si="115"/>
        <v>712.32444295533423</v>
      </c>
      <c r="BH136" s="59">
        <f t="shared" si="116"/>
        <v>1005.6577762886675</v>
      </c>
      <c r="BI136" s="59">
        <f ca="1">AVERAGE(OFFSET($BH$3,0,0,'Données projet'!$E$11+1,1))-AVERAGE(OFFSET($H$3,0,0,'Données projet'!$E$11+1,1))</f>
        <v>316.58509520829671</v>
      </c>
      <c r="BJ136" s="59">
        <f t="shared" si="146"/>
        <v>240.71332110643596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0.3296189183977995</v>
      </c>
      <c r="BQ136" s="21">
        <f>EXP(-LN(2)/25)*BQ135+(1-EXP(-LN(2)/25))/(LN(2)/25)*Calculateur!BL136*Calculateur!BN136*VLOOKUP('Données projet'!$B$11,Paramètres!$A$1:$I$89,3,0)*0.475*44/12</f>
        <v>0.87808485118359791</v>
      </c>
      <c r="BR136" s="21">
        <f>EXP(-LN(2)/2)*BR135+(1-EXP(-LN(2)/2))/(LN(2)/2)*BL136*BO136*VLOOKUP('Données projet'!$B$11,Paramètres!$A$1:$I$89,3,0)*0.475*44/12</f>
        <v>6.8893594205808837E-15</v>
      </c>
      <c r="BS136" s="22">
        <f t="shared" si="117"/>
        <v>1.2077037695814044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497</v>
      </c>
      <c r="BZ136" s="13">
        <f>BY136*VLOOKUP('Données projet'!$B$12,Paramètres!$A$1:$I$89,3,0)*VLOOKUP('Données projet'!$B$12,Paramètres!$A$1:$I$89,5,0)</f>
        <v>297.20600000000002</v>
      </c>
      <c r="CA136" s="13">
        <f t="shared" si="147"/>
        <v>70.590415164571112</v>
      </c>
      <c r="CB136" s="20">
        <f t="shared" si="118"/>
        <v>640.57875641162809</v>
      </c>
      <c r="CC136" s="59">
        <f t="shared" si="119"/>
        <v>933.91208974496135</v>
      </c>
      <c r="CD136" s="59">
        <f ca="1">AVERAGE(OFFSET($CC$3,0,0,'Données projet'!$E$12+1,1))-AVERAGE(OFFSET($H$3,0,0,'Données projet'!$E$12+1,1))</f>
        <v>270.30888762640245</v>
      </c>
      <c r="CE136" s="59">
        <f t="shared" si="148"/>
        <v>202.23783851977691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0.27855119864602745</v>
      </c>
      <c r="CL136" s="21">
        <f>EXP(-LN(2)/25)*CL135+(1-EXP(-LN(2)/25))/(LN(2)/25)*Calculateur!CG136*Calculateur!CI136*VLOOKUP('Données projet'!$B$12,Paramètres!$A$1:$I$89,3,0)*0.475*44/12</f>
        <v>0.70711867012237373</v>
      </c>
      <c r="CM136" s="21">
        <f>EXP(-LN(2)/2)*CM135+(1-EXP(-LN(2)/2))/(LN(2)/2)*CG136*CJ136*VLOOKUP('Données projet'!$B$12,Paramètres!$A$1:$I$89,3,0)*0.475*44/12</f>
        <v>5.8070210565991457E-15</v>
      </c>
      <c r="CN136" s="22">
        <f t="shared" si="120"/>
        <v>0.9856698687684069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-5.1159076974727213E-13</v>
      </c>
      <c r="CU136" s="17">
        <f>CT136*VLOOKUP('Données projet'!$B$13,Paramètres!$A$1:$I$89,3,0)*VLOOKUP('Données projet'!$B$13,Paramètres!$A$1:$I$89,5,0)</f>
        <v>-3.4317508834647017E-13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207.93042467236967</v>
      </c>
      <c r="CZ136" s="59">
        <f t="shared" si="150"/>
        <v>250.70954318710835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0.3577880251207789</v>
      </c>
      <c r="DG136" s="21">
        <f>EXP(-LN(2)/25)*DG135+(1-EXP(-LN(2)/25))/(LN(2)/25)*Calculateur!DB136*Calculateur!DD136*VLOOKUP('Données projet'!$B$13,Paramètres!$A$1:$I$89,3,0)*0.475*44/12</f>
        <v>0.99500129410873872</v>
      </c>
      <c r="DH136" s="21">
        <f>EXP(-LN(2)/2)*DH135+(1-EXP(-LN(2)/2))/(LN(2)/2)*DB136*DE136*VLOOKUP('Données projet'!$B$13,Paramètres!$A$1:$I$89,3,0)*0.475*44/12</f>
        <v>6.3645912743321268E-15</v>
      </c>
      <c r="DI136" s="22">
        <f t="shared" si="123"/>
        <v>1.3527893192295239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5.6843418860808015E-14</v>
      </c>
      <c r="DP136" s="17">
        <f>DO136*VLOOKUP('Données projet'!$B$14,Paramètres!$A$1:$I$89,3,0)*VLOOKUP('Données projet'!$B$14,Paramètres!$A$1:$I$89,5,0)</f>
        <v>3.813056537183002E-14</v>
      </c>
      <c r="DQ136" s="13">
        <f t="shared" si="151"/>
        <v>6.4086286045526829E-13</v>
      </c>
      <c r="DR136" s="20">
        <f t="shared" si="124"/>
        <v>1.1825802166488628E-12</v>
      </c>
      <c r="DS136" s="59">
        <f t="shared" si="125"/>
        <v>293.33333333333451</v>
      </c>
      <c r="DT136" s="59">
        <f ca="1">AVERAGE(OFFSET($DS$3,0,0,'Données projet'!$E$14+1,1))-AVERAGE(OFFSET($H$3,0,0,'Données projet'!$E$14+1,1))</f>
        <v>156.63226020379989</v>
      </c>
      <c r="DU136" s="59">
        <f t="shared" si="152"/>
        <v>196.0481096619543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0.49862441449658668</v>
      </c>
      <c r="EC136" s="21">
        <f>EXP(-LN(2)/2)*EC135+(1-EXP(-LN(2)/2))/(LN(2)/2)*DW136*DZ136*VLOOKUP('Données projet'!$B$14,Paramètres!$A$1:$I$89,3,0)*0.475*44/12</f>
        <v>2.8492376161013561E-15</v>
      </c>
      <c r="ED136" s="22">
        <f t="shared" si="126"/>
        <v>0.49862441449658951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5.2446581196581219</v>
      </c>
      <c r="EJ136" s="12">
        <f>IF('Données projet'!$A$192&gt;35,EJ135+EI136-ER135,IF(A136&lt;'Données projet'!$A$192,$EG$205^A136,IF(A136='Données projet'!$A$192,'Données projet'!$B$192,EJ135+EI136-ER135)))</f>
        <v>272.09188034187991</v>
      </c>
      <c r="EK136" s="17">
        <f>EJ136*VLOOKUP('Données projet'!$B$15,Paramètres!$A$1:$I$89,3,0)*VLOOKUP('Données projet'!$B$15,Paramètres!$A$1:$I$89,5,0)</f>
        <v>275.90116666666626</v>
      </c>
      <c r="EL136" s="13">
        <f t="shared" si="153"/>
        <v>66.100065539585671</v>
      </c>
      <c r="EM136" s="20">
        <f t="shared" si="127"/>
        <v>595.65214609255543</v>
      </c>
      <c r="EN136" s="59">
        <f t="shared" si="128"/>
        <v>888.9854794258888</v>
      </c>
      <c r="EO136" s="59">
        <f ca="1">AVERAGE(OFFSET($EN$3,0,0,'Données projet'!$E$15+1,1))-AVERAGE(OFFSET($H$3,0,0,'Données projet'!$E$15+1,1))</f>
        <v>190.21499310415584</v>
      </c>
      <c r="EP136" s="59">
        <f t="shared" si="154"/>
        <v>136.15730566500173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0.93749999999999856</v>
      </c>
      <c r="FE136" s="12">
        <f>IF('Données projet'!$A$218&gt;35,FE135+FD136-FM135,IF(A136&lt;'Données projet'!$A$218,$FB$205^A136,IF(A136='Données projet'!$A$218,'Données projet'!$B$218,FE135+FD136-FM135)))</f>
        <v>88.270833333333385</v>
      </c>
      <c r="FF136" s="17">
        <f>FE136*VLOOKUP('Données projet'!$B$16,Paramètres!$A$1:$I$89,3,0)*VLOOKUP('Données projet'!$B$16,Paramètres!$A$1:$I$89,5,0)</f>
        <v>101.68800000000006</v>
      </c>
      <c r="FG136" s="13">
        <f t="shared" si="155"/>
        <v>27.363747659705918</v>
      </c>
      <c r="FH136" s="20">
        <f t="shared" si="130"/>
        <v>224.76512717398791</v>
      </c>
      <c r="FI136" s="59">
        <f t="shared" si="131"/>
        <v>518.09846050732119</v>
      </c>
      <c r="FJ136" s="59">
        <f ca="1">AVERAGE(OFFSET($FI$3,0,0,'Données projet'!$E$16+1,1))-AVERAGE(OFFSET($H$3,0,0,'Données projet'!$E$16+1,1))</f>
        <v>14.847345852478327</v>
      </c>
      <c r="FK136" s="59">
        <f t="shared" si="156"/>
        <v>46.764428272166299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0.10207029514945361</v>
      </c>
      <c r="FS136" s="21">
        <f>EXP(-LN(2)/2)*FS135+(1-EXP(-LN(2)/2))/(LN(2)/2)*FM136*FP136*VLOOKUP('Données projet'!$B$16,Paramètres!$A$1:$I$89,3,0)*0.475*44/12</f>
        <v>6.1955706929803418E-16</v>
      </c>
      <c r="FT136" s="22">
        <f t="shared" si="132"/>
        <v>0.10207029514945423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4.1145540308207271E-13</v>
      </c>
      <c r="P137" s="13">
        <f t="shared" si="141"/>
        <v>5.2428527960910789E-12</v>
      </c>
      <c r="Q137" s="20">
        <f t="shared" si="108"/>
        <v>9.8479201135599071E-12</v>
      </c>
      <c r="R137" s="59">
        <f t="shared" si="109"/>
        <v>293.33333333334315</v>
      </c>
      <c r="S137" s="59">
        <f ca="1">AVERAGE(OFFSET($R$3,0,0,'Données projet'!$E$9+1,1))-AVERAGE(OFFSET($H$3,0,0,'Données projet'!$E$9+1,1))</f>
        <v>221.7429870520005</v>
      </c>
      <c r="T137" s="59">
        <f t="shared" si="142"/>
        <v>182.2029938397186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-5.1159076974727213E-13</v>
      </c>
      <c r="AJ137" s="13">
        <f>AI137*VLOOKUP('Données projet'!$B$10,Paramètres!$A$1:$I$89,3,0)*VLOOKUP('Données projet'!$B$10,Paramètres!$A$1:$I$89,5,0)</f>
        <v>-4.0702161641092972E-13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260.20517190557814</v>
      </c>
      <c r="AO137" s="59">
        <f t="shared" si="144"/>
        <v>307.22009971147133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0.41603193090796975</v>
      </c>
      <c r="AV137" s="21">
        <f>EXP(-LN(2)/25)*AV136+(1-EXP(-LN(2)/25))/(LN(2)/25)*Calculateur!AQ137*Calculateur!AS137*VLOOKUP('Données projet'!$B$10,Paramètres!$A$1:$I$89,3,0)*0.475*44/12</f>
        <v>1.1478474302609531</v>
      </c>
      <c r="AW137" s="21">
        <f>EXP(-LN(2)/2)*AW136+(1-EXP(-LN(2)/2))/(LN(2)/2)*AQ137*AT137*VLOOKUP('Données projet'!$B$10,Paramètres!$A$1:$I$89,3,0)*0.475*44/12</f>
        <v>5.3377378634327868E-15</v>
      </c>
      <c r="AX137" s="21">
        <f t="shared" si="114"/>
        <v>1.5638793611689281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553.99999999999955</v>
      </c>
      <c r="BE137" s="13">
        <f>BD137*VLOOKUP('Données projet'!$B$11,Paramètres!$A$1:$I$89,3,0)*VLOOKUP('Données projet'!$B$11,Paramètres!$A$1:$I$89,5,0)</f>
        <v>331.29199999999975</v>
      </c>
      <c r="BF137" s="13">
        <f t="shared" si="145"/>
        <v>77.698110787752</v>
      </c>
      <c r="BG137" s="20">
        <f t="shared" si="115"/>
        <v>712.32444295533423</v>
      </c>
      <c r="BH137" s="59">
        <f t="shared" si="116"/>
        <v>1005.6577762886675</v>
      </c>
      <c r="BI137" s="59">
        <f ca="1">AVERAGE(OFFSET($BH$3,0,0,'Données projet'!$E$11+1,1))-AVERAGE(OFFSET($H$3,0,0,'Données projet'!$E$11+1,1))</f>
        <v>316.58509520829671</v>
      </c>
      <c r="BJ137" s="59">
        <f t="shared" si="146"/>
        <v>240.71332110643596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0.32315529245570707</v>
      </c>
      <c r="BQ137" s="21">
        <f>EXP(-LN(2)/25)*BQ136+(1-EXP(-LN(2)/25))/(LN(2)/25)*Calculateur!BL137*Calculateur!BN137*VLOOKUP('Données projet'!$B$11,Paramètres!$A$1:$I$89,3,0)*0.475*44/12</f>
        <v>0.85407357475150703</v>
      </c>
      <c r="BR137" s="21">
        <f>EXP(-LN(2)/2)*BR136+(1-EXP(-LN(2)/2))/(LN(2)/2)*BL137*BO137*VLOOKUP('Données projet'!$B$11,Paramètres!$A$1:$I$89,3,0)*0.475*44/12</f>
        <v>4.8715127643241667E-15</v>
      </c>
      <c r="BS137" s="22">
        <f t="shared" si="117"/>
        <v>1.1772288672072189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497</v>
      </c>
      <c r="BZ137" s="13">
        <f>BY137*VLOOKUP('Données projet'!$B$12,Paramètres!$A$1:$I$89,3,0)*VLOOKUP('Données projet'!$B$12,Paramètres!$A$1:$I$89,5,0)</f>
        <v>297.20600000000002</v>
      </c>
      <c r="CA137" s="13">
        <f t="shared" si="147"/>
        <v>70.590415164571112</v>
      </c>
      <c r="CB137" s="20">
        <f t="shared" si="118"/>
        <v>640.57875641162809</v>
      </c>
      <c r="CC137" s="59">
        <f t="shared" si="119"/>
        <v>933.91208974496135</v>
      </c>
      <c r="CD137" s="59">
        <f ca="1">AVERAGE(OFFSET($CC$3,0,0,'Données projet'!$E$12+1,1))-AVERAGE(OFFSET($H$3,0,0,'Données projet'!$E$12+1,1))</f>
        <v>270.30888762640245</v>
      </c>
      <c r="CE137" s="59">
        <f t="shared" si="148"/>
        <v>202.23783851977691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0.27308897954003386</v>
      </c>
      <c r="CL137" s="21">
        <f>EXP(-LN(2)/25)*CL136+(1-EXP(-LN(2)/25))/(LN(2)/25)*Calculateur!CG137*Calculateur!CI137*VLOOKUP('Données projet'!$B$12,Paramètres!$A$1:$I$89,3,0)*0.475*44/12</f>
        <v>0.68778247290212269</v>
      </c>
      <c r="CM137" s="21">
        <f>EXP(-LN(2)/2)*CM136+(1-EXP(-LN(2)/2))/(LN(2)/2)*CG137*CJ137*VLOOKUP('Données projet'!$B$12,Paramètres!$A$1:$I$89,3,0)*0.475*44/12</f>
        <v>4.1061839676143261E-15</v>
      </c>
      <c r="CN137" s="22">
        <f t="shared" si="120"/>
        <v>0.96087145244216066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-5.1159076974727213E-13</v>
      </c>
      <c r="CU137" s="17">
        <f>CT137*VLOOKUP('Données projet'!$B$13,Paramètres!$A$1:$I$89,3,0)*VLOOKUP('Données projet'!$B$13,Paramètres!$A$1:$I$89,5,0)</f>
        <v>-3.4317508834647017E-13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207.93042467236967</v>
      </c>
      <c r="CZ137" s="59">
        <f t="shared" si="150"/>
        <v>250.70954318710835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0.35077202017730741</v>
      </c>
      <c r="DG137" s="21">
        <f>EXP(-LN(2)/25)*DG136+(1-EXP(-LN(2)/25))/(LN(2)/25)*Calculateur!DB137*Calculateur!DD137*VLOOKUP('Données projet'!$B$13,Paramètres!$A$1:$I$89,3,0)*0.475*44/12</f>
        <v>0.96779293139649136</v>
      </c>
      <c r="DH137" s="21">
        <f>EXP(-LN(2)/2)*DH136+(1-EXP(-LN(2)/2))/(LN(2)/2)*DB137*DE137*VLOOKUP('Données projet'!$B$13,Paramètres!$A$1:$I$89,3,0)*0.475*44/12</f>
        <v>4.5004456495609768E-15</v>
      </c>
      <c r="DI137" s="22">
        <f t="shared" si="123"/>
        <v>1.3185649515738032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5.6843418860808015E-14</v>
      </c>
      <c r="DP137" s="17">
        <f>DO137*VLOOKUP('Données projet'!$B$14,Paramètres!$A$1:$I$89,3,0)*VLOOKUP('Données projet'!$B$14,Paramètres!$A$1:$I$89,5,0)</f>
        <v>3.813056537183002E-14</v>
      </c>
      <c r="DQ137" s="13">
        <f t="shared" si="151"/>
        <v>6.4086286045526829E-13</v>
      </c>
      <c r="DR137" s="20">
        <f t="shared" si="124"/>
        <v>1.1825802166488628E-12</v>
      </c>
      <c r="DS137" s="59">
        <f t="shared" si="125"/>
        <v>293.33333333333451</v>
      </c>
      <c r="DT137" s="59">
        <f ca="1">AVERAGE(OFFSET($DS$3,0,0,'Données projet'!$E$14+1,1))-AVERAGE(OFFSET($H$3,0,0,'Données projet'!$E$14+1,1))</f>
        <v>156.63226020379989</v>
      </c>
      <c r="DU137" s="59">
        <f t="shared" si="152"/>
        <v>196.0481096619543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0.48498950366065918</v>
      </c>
      <c r="EC137" s="21">
        <f>EXP(-LN(2)/2)*EC136+(1-EXP(-LN(2)/2))/(LN(2)/2)*DW137*DZ137*VLOOKUP('Données projet'!$B$14,Paramètres!$A$1:$I$89,3,0)*0.475*44/12</f>
        <v>2.0147152395570619E-15</v>
      </c>
      <c r="ED137" s="22">
        <f t="shared" si="126"/>
        <v>0.48498950366066118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5.2446581196581219</v>
      </c>
      <c r="EJ137" s="12">
        <f>IF('Données projet'!$A$192&gt;35,EJ136+EI137-ER136,IF(A137&lt;'Données projet'!$A$192,$EG$205^A137,IF(A137='Données projet'!$A$192,'Données projet'!$B$192,EJ136+EI137-ER136)))</f>
        <v>277.33653846153805</v>
      </c>
      <c r="EK137" s="17">
        <f>EJ137*VLOOKUP('Données projet'!$B$15,Paramètres!$A$1:$I$89,3,0)*VLOOKUP('Données projet'!$B$15,Paramètres!$A$1:$I$89,5,0)</f>
        <v>281.21924999999965</v>
      </c>
      <c r="EL137" s="13">
        <f t="shared" si="153"/>
        <v>67.224606261587638</v>
      </c>
      <c r="EM137" s="20">
        <f t="shared" si="127"/>
        <v>606.87304965559781</v>
      </c>
      <c r="EN137" s="59">
        <f t="shared" si="128"/>
        <v>900.20638298893118</v>
      </c>
      <c r="EO137" s="59">
        <f ca="1">AVERAGE(OFFSET($EN$3,0,0,'Données projet'!$E$15+1,1))-AVERAGE(OFFSET($H$3,0,0,'Données projet'!$E$15+1,1))</f>
        <v>190.21499310415584</v>
      </c>
      <c r="EP137" s="59">
        <f t="shared" si="154"/>
        <v>136.15730566500173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0.93749999999999856</v>
      </c>
      <c r="FE137" s="12">
        <f>IF('Données projet'!$A$218&gt;35,FE136+FD137-FM136,IF(A137&lt;'Données projet'!$A$218,$FB$205^A137,IF(A137='Données projet'!$A$218,'Données projet'!$B$218,FE136+FD137-FM136)))</f>
        <v>89.208333333333385</v>
      </c>
      <c r="FF137" s="17">
        <f>FE137*VLOOKUP('Données projet'!$B$16,Paramètres!$A$1:$I$89,3,0)*VLOOKUP('Données projet'!$B$16,Paramètres!$A$1:$I$89,5,0)</f>
        <v>102.76800000000004</v>
      </c>
      <c r="FG137" s="13">
        <f t="shared" si="155"/>
        <v>27.62038382527556</v>
      </c>
      <c r="FH137" s="20">
        <f t="shared" si="130"/>
        <v>227.09310182902166</v>
      </c>
      <c r="FI137" s="59">
        <f t="shared" si="131"/>
        <v>520.42643516235501</v>
      </c>
      <c r="FJ137" s="59">
        <f ca="1">AVERAGE(OFFSET($FI$3,0,0,'Données projet'!$E$16+1,1))-AVERAGE(OFFSET($H$3,0,0,'Données projet'!$E$16+1,1))</f>
        <v>14.847345852478327</v>
      </c>
      <c r="FK137" s="59">
        <f t="shared" si="156"/>
        <v>46.764428272166299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9.9279177560948256E-2</v>
      </c>
      <c r="FS137" s="21">
        <f>EXP(-LN(2)/2)*FS136+(1-EXP(-LN(2)/2))/(LN(2)/2)*FM137*FP137*VLOOKUP('Données projet'!$B$16,Paramètres!$A$1:$I$89,3,0)*0.475*44/12</f>
        <v>4.3809300503270374E-16</v>
      </c>
      <c r="FT137" s="22">
        <f t="shared" si="132"/>
        <v>9.92791775609487E-2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4.1145540308207271E-13</v>
      </c>
      <c r="P138" s="13">
        <f t="shared" si="141"/>
        <v>5.2428527960910789E-12</v>
      </c>
      <c r="Q138" s="20">
        <f t="shared" si="108"/>
        <v>9.8479201135599071E-12</v>
      </c>
      <c r="R138" s="59">
        <f t="shared" si="109"/>
        <v>293.33333333334315</v>
      </c>
      <c r="S138" s="59">
        <f ca="1">AVERAGE(OFFSET($R$3,0,0,'Données projet'!$E$9+1,1))-AVERAGE(OFFSET($H$3,0,0,'Données projet'!$E$9+1,1))</f>
        <v>221.7429870520005</v>
      </c>
      <c r="T138" s="59">
        <f t="shared" si="142"/>
        <v>182.2029938397186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-5.1159076974727213E-13</v>
      </c>
      <c r="AJ138" s="13">
        <f>AI138*VLOOKUP('Données projet'!$B$10,Paramètres!$A$1:$I$89,3,0)*VLOOKUP('Données projet'!$B$10,Paramètres!$A$1:$I$89,5,0)</f>
        <v>-4.0702161641092972E-13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260.20517190557814</v>
      </c>
      <c r="AO138" s="59">
        <f t="shared" si="144"/>
        <v>307.22009971147133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0.40787379849728617</v>
      </c>
      <c r="AV138" s="21">
        <f>EXP(-LN(2)/25)*AV137+(1-EXP(-LN(2)/25))/(LN(2)/25)*Calculateur!AQ138*Calculateur!AS138*VLOOKUP('Données projet'!$B$10,Paramètres!$A$1:$I$89,3,0)*0.475*44/12</f>
        <v>1.1164594819177944</v>
      </c>
      <c r="AW138" s="21">
        <f>EXP(-LN(2)/2)*AW137+(1-EXP(-LN(2)/2))/(LN(2)/2)*AQ138*AT138*VLOOKUP('Données projet'!$B$10,Paramètres!$A$1:$I$89,3,0)*0.475*44/12</f>
        <v>3.7743506394295173E-15</v>
      </c>
      <c r="AX138" s="21">
        <f t="shared" si="114"/>
        <v>1.5243332804150844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553.99999999999955</v>
      </c>
      <c r="BE138" s="13">
        <f>BD138*VLOOKUP('Données projet'!$B$11,Paramètres!$A$1:$I$89,3,0)*VLOOKUP('Données projet'!$B$11,Paramètres!$A$1:$I$89,5,0)</f>
        <v>331.29199999999975</v>
      </c>
      <c r="BF138" s="13">
        <f t="shared" si="145"/>
        <v>77.698110787752</v>
      </c>
      <c r="BG138" s="20">
        <f t="shared" si="115"/>
        <v>712.32444295533423</v>
      </c>
      <c r="BH138" s="59">
        <f t="shared" si="116"/>
        <v>1005.6577762886675</v>
      </c>
      <c r="BI138" s="59">
        <f ca="1">AVERAGE(OFFSET($BH$3,0,0,'Données projet'!$E$11+1,1))-AVERAGE(OFFSET($H$3,0,0,'Données projet'!$E$11+1,1))</f>
        <v>316.58509520829671</v>
      </c>
      <c r="BJ138" s="59">
        <f t="shared" si="146"/>
        <v>240.71332110643596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0.3168184142759165</v>
      </c>
      <c r="BQ138" s="21">
        <f>EXP(-LN(2)/25)*BQ137+(1-EXP(-LN(2)/25))/(LN(2)/25)*Calculateur!BL138*Calculateur!BN138*VLOOKUP('Données projet'!$B$11,Paramètres!$A$1:$I$89,3,0)*0.475*44/12</f>
        <v>0.83071888793614979</v>
      </c>
      <c r="BR138" s="21">
        <f>EXP(-LN(2)/2)*BR137+(1-EXP(-LN(2)/2))/(LN(2)/2)*BL138*BO138*VLOOKUP('Données projet'!$B$11,Paramètres!$A$1:$I$89,3,0)*0.475*44/12</f>
        <v>3.4446797102904419E-15</v>
      </c>
      <c r="BS138" s="22">
        <f t="shared" si="117"/>
        <v>1.1475373022120698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497</v>
      </c>
      <c r="BZ138" s="13">
        <f>BY138*VLOOKUP('Données projet'!$B$12,Paramètres!$A$1:$I$89,3,0)*VLOOKUP('Données projet'!$B$12,Paramètres!$A$1:$I$89,5,0)</f>
        <v>297.20600000000002</v>
      </c>
      <c r="CA138" s="13">
        <f t="shared" si="147"/>
        <v>70.590415164571112</v>
      </c>
      <c r="CB138" s="20">
        <f t="shared" si="118"/>
        <v>640.57875641162809</v>
      </c>
      <c r="CC138" s="59">
        <f t="shared" si="119"/>
        <v>933.91208974496135</v>
      </c>
      <c r="CD138" s="59">
        <f ca="1">AVERAGE(OFFSET($CC$3,0,0,'Données projet'!$E$12+1,1))-AVERAGE(OFFSET($H$3,0,0,'Données projet'!$E$12+1,1))</f>
        <v>270.30888762640245</v>
      </c>
      <c r="CE138" s="59">
        <f t="shared" si="148"/>
        <v>202.23783851977691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0.2677338712190841</v>
      </c>
      <c r="CL138" s="21">
        <f>EXP(-LN(2)/25)*CL137+(1-EXP(-LN(2)/25))/(LN(2)/25)*Calculateur!CG138*Calculateur!CI138*VLOOKUP('Données projet'!$B$12,Paramètres!$A$1:$I$89,3,0)*0.475*44/12</f>
        <v>0.6689750250117058</v>
      </c>
      <c r="CM138" s="21">
        <f>EXP(-LN(2)/2)*CM137+(1-EXP(-LN(2)/2))/(LN(2)/2)*CG138*CJ138*VLOOKUP('Données projet'!$B$12,Paramètres!$A$1:$I$89,3,0)*0.475*44/12</f>
        <v>2.9035105282995729E-15</v>
      </c>
      <c r="CN138" s="22">
        <f t="shared" si="120"/>
        <v>0.93670889623079279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-5.1159076974727213E-13</v>
      </c>
      <c r="CU138" s="17">
        <f>CT138*VLOOKUP('Données projet'!$B$13,Paramètres!$A$1:$I$89,3,0)*VLOOKUP('Données projet'!$B$13,Paramètres!$A$1:$I$89,5,0)</f>
        <v>-3.4317508834647017E-13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207.93042467236967</v>
      </c>
      <c r="CZ138" s="59">
        <f t="shared" si="150"/>
        <v>250.70954318710835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0.34389359481143694</v>
      </c>
      <c r="DG138" s="21">
        <f>EXP(-LN(2)/25)*DG137+(1-EXP(-LN(2)/25))/(LN(2)/25)*Calculateur!DB138*Calculateur!DD138*VLOOKUP('Données projet'!$B$13,Paramètres!$A$1:$I$89,3,0)*0.475*44/12</f>
        <v>0.94132858279343601</v>
      </c>
      <c r="DH138" s="21">
        <f>EXP(-LN(2)/2)*DH137+(1-EXP(-LN(2)/2))/(LN(2)/2)*DB138*DE138*VLOOKUP('Données projet'!$B$13,Paramètres!$A$1:$I$89,3,0)*0.475*44/12</f>
        <v>3.1822956371660634E-15</v>
      </c>
      <c r="DI138" s="22">
        <f t="shared" si="123"/>
        <v>1.285222177604876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5.6843418860808015E-14</v>
      </c>
      <c r="DP138" s="17">
        <f>DO138*VLOOKUP('Données projet'!$B$14,Paramètres!$A$1:$I$89,3,0)*VLOOKUP('Données projet'!$B$14,Paramètres!$A$1:$I$89,5,0)</f>
        <v>3.813056537183002E-14</v>
      </c>
      <c r="DQ138" s="13">
        <f t="shared" si="151"/>
        <v>6.4086286045526829E-13</v>
      </c>
      <c r="DR138" s="20">
        <f t="shared" si="124"/>
        <v>1.1825802166488628E-12</v>
      </c>
      <c r="DS138" s="59">
        <f t="shared" si="125"/>
        <v>293.33333333333451</v>
      </c>
      <c r="DT138" s="59">
        <f ca="1">AVERAGE(OFFSET($DS$3,0,0,'Données projet'!$E$14+1,1))-AVERAGE(OFFSET($H$3,0,0,'Données projet'!$E$14+1,1))</f>
        <v>156.63226020379989</v>
      </c>
      <c r="DU138" s="59">
        <f t="shared" si="152"/>
        <v>196.0481096619543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0.47172744017856894</v>
      </c>
      <c r="EC138" s="21">
        <f>EXP(-LN(2)/2)*EC137+(1-EXP(-LN(2)/2))/(LN(2)/2)*DW138*DZ138*VLOOKUP('Données projet'!$B$14,Paramètres!$A$1:$I$89,3,0)*0.475*44/12</f>
        <v>1.424618808050678E-15</v>
      </c>
      <c r="ED138" s="22">
        <f t="shared" si="126"/>
        <v>0.47172744017857038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5.2446581196581219</v>
      </c>
      <c r="EJ138" s="12">
        <f>IF('Données projet'!$A$192&gt;35,EJ137+EI138-ER137,IF(A138&lt;'Données projet'!$A$192,$EG$205^A138,IF(A138='Données projet'!$A$192,'Données projet'!$B$192,EJ137+EI138-ER137)))</f>
        <v>282.5811965811962</v>
      </c>
      <c r="EK138" s="17">
        <f>EJ138*VLOOKUP('Données projet'!$B$15,Paramètres!$A$1:$I$89,3,0)*VLOOKUP('Données projet'!$B$15,Paramètres!$A$1:$I$89,5,0)</f>
        <v>286.53733333333292</v>
      </c>
      <c r="EL138" s="13">
        <f t="shared" si="153"/>
        <v>68.346674190809836</v>
      </c>
      <c r="EM138" s="20">
        <f t="shared" si="127"/>
        <v>618.08964643788192</v>
      </c>
      <c r="EN138" s="59">
        <f t="shared" si="128"/>
        <v>911.4229797712153</v>
      </c>
      <c r="EO138" s="59">
        <f ca="1">AVERAGE(OFFSET($EN$3,0,0,'Données projet'!$E$15+1,1))-AVERAGE(OFFSET($H$3,0,0,'Données projet'!$E$15+1,1))</f>
        <v>190.21499310415584</v>
      </c>
      <c r="EP138" s="59">
        <f t="shared" si="154"/>
        <v>136.15730566500173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0.93749999999999856</v>
      </c>
      <c r="FE138" s="12">
        <f>IF('Données projet'!$A$218&gt;35,FE137+FD138-FM137,IF(A138&lt;'Données projet'!$A$218,$FB$205^A138,IF(A138='Données projet'!$A$218,'Données projet'!$B$218,FE137+FD138-FM137)))</f>
        <v>90.145833333333385</v>
      </c>
      <c r="FF138" s="17">
        <f>FE138*VLOOKUP('Données projet'!$B$16,Paramètres!$A$1:$I$89,3,0)*VLOOKUP('Données projet'!$B$16,Paramètres!$A$1:$I$89,5,0)</f>
        <v>103.84800000000006</v>
      </c>
      <c r="FG138" s="13">
        <f t="shared" si="155"/>
        <v>27.8767062438734</v>
      </c>
      <c r="FH138" s="20">
        <f t="shared" si="130"/>
        <v>229.42053004141295</v>
      </c>
      <c r="FI138" s="59">
        <f t="shared" si="131"/>
        <v>522.75386337474629</v>
      </c>
      <c r="FJ138" s="59">
        <f ca="1">AVERAGE(OFFSET($FI$3,0,0,'Données projet'!$E$16+1,1))-AVERAGE(OFFSET($H$3,0,0,'Données projet'!$E$16+1,1))</f>
        <v>14.847345852478327</v>
      </c>
      <c r="FK138" s="59">
        <f t="shared" si="156"/>
        <v>46.764428272166299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9.6564383229679085E-2</v>
      </c>
      <c r="FS138" s="21">
        <f>EXP(-LN(2)/2)*FS137+(1-EXP(-LN(2)/2))/(LN(2)/2)*FM138*FP138*VLOOKUP('Données projet'!$B$16,Paramètres!$A$1:$I$89,3,0)*0.475*44/12</f>
        <v>3.0977853464901714E-16</v>
      </c>
      <c r="FT138" s="22">
        <f t="shared" si="132"/>
        <v>9.656438322967939E-2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4.1145540308207271E-13</v>
      </c>
      <c r="P139" s="13">
        <f t="shared" si="141"/>
        <v>5.2428527960910789E-12</v>
      </c>
      <c r="Q139" s="20">
        <f t="shared" si="108"/>
        <v>9.8479201135599071E-12</v>
      </c>
      <c r="R139" s="59">
        <f t="shared" si="109"/>
        <v>293.33333333334315</v>
      </c>
      <c r="S139" s="59">
        <f ca="1">AVERAGE(OFFSET($R$3,0,0,'Données projet'!$E$9+1,1))-AVERAGE(OFFSET($H$3,0,0,'Données projet'!$E$9+1,1))</f>
        <v>221.7429870520005</v>
      </c>
      <c r="T139" s="59">
        <f t="shared" si="142"/>
        <v>182.2029938397186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-5.1159076974727213E-13</v>
      </c>
      <c r="AJ139" s="13">
        <f>AI139*VLOOKUP('Données projet'!$B$10,Paramètres!$A$1:$I$89,3,0)*VLOOKUP('Données projet'!$B$10,Paramètres!$A$1:$I$89,5,0)</f>
        <v>-4.0702161641092972E-13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260.20517190557814</v>
      </c>
      <c r="AO139" s="59">
        <f t="shared" si="144"/>
        <v>307.22009971147133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0.39987564208720666</v>
      </c>
      <c r="AV139" s="21">
        <f>EXP(-LN(2)/25)*AV138+(1-EXP(-LN(2)/25))/(LN(2)/25)*Calculateur!AQ139*Calculateur!AS139*VLOOKUP('Données projet'!$B$10,Paramètres!$A$1:$I$89,3,0)*0.475*44/12</f>
        <v>1.0859298386726999</v>
      </c>
      <c r="AW139" s="21">
        <f>EXP(-LN(2)/2)*AW138+(1-EXP(-LN(2)/2))/(LN(2)/2)*AQ139*AT139*VLOOKUP('Données projet'!$B$10,Paramètres!$A$1:$I$89,3,0)*0.475*44/12</f>
        <v>2.6688689317163934E-15</v>
      </c>
      <c r="AX139" s="21">
        <f t="shared" si="114"/>
        <v>1.4858054807599093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553.99999999999955</v>
      </c>
      <c r="BE139" s="13">
        <f>BD139*VLOOKUP('Données projet'!$B$11,Paramètres!$A$1:$I$89,3,0)*VLOOKUP('Données projet'!$B$11,Paramètres!$A$1:$I$89,5,0)</f>
        <v>331.29199999999975</v>
      </c>
      <c r="BF139" s="13">
        <f t="shared" si="145"/>
        <v>77.698110787752</v>
      </c>
      <c r="BG139" s="20">
        <f t="shared" si="115"/>
        <v>712.32444295533423</v>
      </c>
      <c r="BH139" s="59">
        <f t="shared" si="116"/>
        <v>1005.6577762886675</v>
      </c>
      <c r="BI139" s="59">
        <f ca="1">AVERAGE(OFFSET($BH$3,0,0,'Données projet'!$E$11+1,1))-AVERAGE(OFFSET($H$3,0,0,'Données projet'!$E$11+1,1))</f>
        <v>316.58509520829671</v>
      </c>
      <c r="BJ139" s="59">
        <f t="shared" si="146"/>
        <v>240.71332110643596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0.31060579841211761</v>
      </c>
      <c r="BQ139" s="21">
        <f>EXP(-LN(2)/25)*BQ138+(1-EXP(-LN(2)/25))/(LN(2)/25)*Calculateur!BL139*Calculateur!BN139*VLOOKUP('Données projet'!$B$11,Paramètres!$A$1:$I$89,3,0)*0.475*44/12</f>
        <v>0.80800283625992808</v>
      </c>
      <c r="BR139" s="21">
        <f>EXP(-LN(2)/2)*BR138+(1-EXP(-LN(2)/2))/(LN(2)/2)*BL139*BO139*VLOOKUP('Données projet'!$B$11,Paramètres!$A$1:$I$89,3,0)*0.475*44/12</f>
        <v>2.4357563821620834E-15</v>
      </c>
      <c r="BS139" s="22">
        <f t="shared" si="117"/>
        <v>1.1186086346720481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497</v>
      </c>
      <c r="BZ139" s="13">
        <f>BY139*VLOOKUP('Données projet'!$B$12,Paramètres!$A$1:$I$89,3,0)*VLOOKUP('Données projet'!$B$12,Paramètres!$A$1:$I$89,5,0)</f>
        <v>297.20600000000002</v>
      </c>
      <c r="CA139" s="13">
        <f t="shared" si="147"/>
        <v>70.590415164571112</v>
      </c>
      <c r="CB139" s="20">
        <f t="shared" si="118"/>
        <v>640.57875641162809</v>
      </c>
      <c r="CC139" s="59">
        <f t="shared" si="119"/>
        <v>933.91208974496135</v>
      </c>
      <c r="CD139" s="59">
        <f ca="1">AVERAGE(OFFSET($CC$3,0,0,'Données projet'!$E$12+1,1))-AVERAGE(OFFSET($H$3,0,0,'Données projet'!$E$12+1,1))</f>
        <v>270.30888762640245</v>
      </c>
      <c r="CE139" s="59">
        <f t="shared" si="148"/>
        <v>202.23783851977691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0.26248377330601463</v>
      </c>
      <c r="CL139" s="21">
        <f>EXP(-LN(2)/25)*CL138+(1-EXP(-LN(2)/25))/(LN(2)/25)*Calculateur!CG139*Calculateur!CI139*VLOOKUP('Données projet'!$B$12,Paramètres!$A$1:$I$89,3,0)*0.475*44/12</f>
        <v>0.65068186777289305</v>
      </c>
      <c r="CM139" s="21">
        <f>EXP(-LN(2)/2)*CM138+(1-EXP(-LN(2)/2))/(LN(2)/2)*CG139*CJ139*VLOOKUP('Données projet'!$B$12,Paramètres!$A$1:$I$89,3,0)*0.475*44/12</f>
        <v>2.0530919838071631E-15</v>
      </c>
      <c r="CN139" s="22">
        <f t="shared" si="120"/>
        <v>0.91316564107890974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-5.1159076974727213E-13</v>
      </c>
      <c r="CU139" s="17">
        <f>CT139*VLOOKUP('Données projet'!$B$13,Paramètres!$A$1:$I$89,3,0)*VLOOKUP('Données projet'!$B$13,Paramètres!$A$1:$I$89,5,0)</f>
        <v>-3.4317508834647017E-13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207.93042467236967</v>
      </c>
      <c r="CZ139" s="59">
        <f t="shared" si="150"/>
        <v>250.70954318710835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0.33715005117156599</v>
      </c>
      <c r="DG139" s="21">
        <f>EXP(-LN(2)/25)*DG138+(1-EXP(-LN(2)/25))/(LN(2)/25)*Calculateur!DB139*Calculateur!DD139*VLOOKUP('Données projet'!$B$13,Paramètres!$A$1:$I$89,3,0)*0.475*44/12</f>
        <v>0.91558790319463079</v>
      </c>
      <c r="DH139" s="21">
        <f>EXP(-LN(2)/2)*DH138+(1-EXP(-LN(2)/2))/(LN(2)/2)*DB139*DE139*VLOOKUP('Données projet'!$B$13,Paramètres!$A$1:$I$89,3,0)*0.475*44/12</f>
        <v>2.2502228247804884E-15</v>
      </c>
      <c r="DI139" s="22">
        <f t="shared" si="123"/>
        <v>1.2527379543661989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5.6843418860808015E-14</v>
      </c>
      <c r="DP139" s="17">
        <f>DO139*VLOOKUP('Données projet'!$B$14,Paramètres!$A$1:$I$89,3,0)*VLOOKUP('Données projet'!$B$14,Paramètres!$A$1:$I$89,5,0)</f>
        <v>3.813056537183002E-14</v>
      </c>
      <c r="DQ139" s="13">
        <f t="shared" si="151"/>
        <v>6.4086286045526829E-13</v>
      </c>
      <c r="DR139" s="20">
        <f t="shared" si="124"/>
        <v>1.1825802166488628E-12</v>
      </c>
      <c r="DS139" s="59">
        <f t="shared" si="125"/>
        <v>293.33333333333451</v>
      </c>
      <c r="DT139" s="59">
        <f ca="1">AVERAGE(OFFSET($DS$3,0,0,'Données projet'!$E$14+1,1))-AVERAGE(OFFSET($H$3,0,0,'Données projet'!$E$14+1,1))</f>
        <v>156.63226020379989</v>
      </c>
      <c r="DU139" s="59">
        <f t="shared" si="152"/>
        <v>196.0481096619543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0.45882802851981802</v>
      </c>
      <c r="EC139" s="21">
        <f>EXP(-LN(2)/2)*EC138+(1-EXP(-LN(2)/2))/(LN(2)/2)*DW139*DZ139*VLOOKUP('Données projet'!$B$14,Paramètres!$A$1:$I$89,3,0)*0.475*44/12</f>
        <v>1.0073576197785309E-15</v>
      </c>
      <c r="ED139" s="22">
        <f t="shared" si="126"/>
        <v>0.45882802851981902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5.2446581196581219</v>
      </c>
      <c r="EJ139" s="12">
        <f>IF('Données projet'!$A$192&gt;35,EJ138+EI139-ER138,IF(A139&lt;'Données projet'!$A$192,$EG$205^A139,IF(A139='Données projet'!$A$192,'Données projet'!$B$192,EJ138+EI139-ER138)))</f>
        <v>287.82585470085434</v>
      </c>
      <c r="EK139" s="17">
        <f>EJ139*VLOOKUP('Données projet'!$B$15,Paramètres!$A$1:$I$89,3,0)*VLOOKUP('Données projet'!$B$15,Paramètres!$A$1:$I$89,5,0)</f>
        <v>291.85541666666631</v>
      </c>
      <c r="EL139" s="13">
        <f t="shared" si="153"/>
        <v>69.466320514612647</v>
      </c>
      <c r="EM139" s="20">
        <f t="shared" si="127"/>
        <v>629.30202559072757</v>
      </c>
      <c r="EN139" s="59">
        <f t="shared" si="128"/>
        <v>922.63535892406094</v>
      </c>
      <c r="EO139" s="59">
        <f ca="1">AVERAGE(OFFSET($EN$3,0,0,'Données projet'!$E$15+1,1))-AVERAGE(OFFSET($H$3,0,0,'Données projet'!$E$15+1,1))</f>
        <v>190.21499310415584</v>
      </c>
      <c r="EP139" s="59">
        <f t="shared" si="154"/>
        <v>136.15730566500173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0.93749999999999856</v>
      </c>
      <c r="FE139" s="12">
        <f>IF('Données projet'!$A$218&gt;35,FE138+FD139-FM138,IF(A139&lt;'Données projet'!$A$218,$FB$205^A139,IF(A139='Données projet'!$A$218,'Données projet'!$B$218,FE138+FD139-FM138)))</f>
        <v>91.083333333333385</v>
      </c>
      <c r="FF139" s="17">
        <f>FE139*VLOOKUP('Données projet'!$B$16,Paramètres!$A$1:$I$89,3,0)*VLOOKUP('Données projet'!$B$16,Paramètres!$A$1:$I$89,5,0)</f>
        <v>104.92800000000004</v>
      </c>
      <c r="FG139" s="13">
        <f t="shared" si="155"/>
        <v>28.132718556140603</v>
      </c>
      <c r="FH139" s="20">
        <f t="shared" si="130"/>
        <v>231.74741815194491</v>
      </c>
      <c r="FI139" s="59">
        <f t="shared" si="131"/>
        <v>525.08075148527826</v>
      </c>
      <c r="FJ139" s="59">
        <f ca="1">AVERAGE(OFFSET($FI$3,0,0,'Données projet'!$E$16+1,1))-AVERAGE(OFFSET($H$3,0,0,'Données projet'!$E$16+1,1))</f>
        <v>14.847345852478327</v>
      </c>
      <c r="FK139" s="59">
        <f t="shared" si="156"/>
        <v>46.764428272166299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9.3923825092163293E-2</v>
      </c>
      <c r="FS139" s="21">
        <f>EXP(-LN(2)/2)*FS138+(1-EXP(-LN(2)/2))/(LN(2)/2)*FM139*FP139*VLOOKUP('Données projet'!$B$16,Paramètres!$A$1:$I$89,3,0)*0.475*44/12</f>
        <v>2.1904650251635192E-16</v>
      </c>
      <c r="FT139" s="22">
        <f t="shared" si="132"/>
        <v>9.3923825092163515E-2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4.1145540308207271E-13</v>
      </c>
      <c r="P140" s="13">
        <f t="shared" si="141"/>
        <v>5.2428527960910789E-12</v>
      </c>
      <c r="Q140" s="20">
        <f t="shared" si="108"/>
        <v>9.8479201135599071E-12</v>
      </c>
      <c r="R140" s="59">
        <f t="shared" si="109"/>
        <v>293.33333333334315</v>
      </c>
      <c r="S140" s="59">
        <f ca="1">AVERAGE(OFFSET($R$3,0,0,'Données projet'!$E$9+1,1))-AVERAGE(OFFSET($H$3,0,0,'Données projet'!$E$9+1,1))</f>
        <v>221.7429870520005</v>
      </c>
      <c r="T140" s="59">
        <f t="shared" si="142"/>
        <v>182.2029938397186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-5.1159076974727213E-13</v>
      </c>
      <c r="AJ140" s="13">
        <f>AI140*VLOOKUP('Données projet'!$B$10,Paramètres!$A$1:$I$89,3,0)*VLOOKUP('Données projet'!$B$10,Paramètres!$A$1:$I$89,5,0)</f>
        <v>-4.0702161641092972E-13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260.20517190557814</v>
      </c>
      <c r="AO140" s="59">
        <f t="shared" si="144"/>
        <v>307.22009971147133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0.39203432464593507</v>
      </c>
      <c r="AV140" s="21">
        <f>EXP(-LN(2)/25)*AV139+(1-EXP(-LN(2)/25))/(LN(2)/25)*Calculateur!AQ140*Calculateur!AS140*VLOOKUP('Données projet'!$B$10,Paramètres!$A$1:$I$89,3,0)*0.475*44/12</f>
        <v>1.0562350301276267</v>
      </c>
      <c r="AW140" s="21">
        <f>EXP(-LN(2)/2)*AW139+(1-EXP(-LN(2)/2))/(LN(2)/2)*AQ140*AT140*VLOOKUP('Données projet'!$B$10,Paramètres!$A$1:$I$89,3,0)*0.475*44/12</f>
        <v>1.8871753197147586E-15</v>
      </c>
      <c r="AX140" s="21">
        <f t="shared" si="114"/>
        <v>1.4482693547735634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553.99999999999955</v>
      </c>
      <c r="BE140" s="13">
        <f>BD140*VLOOKUP('Données projet'!$B$11,Paramètres!$A$1:$I$89,3,0)*VLOOKUP('Données projet'!$B$11,Paramètres!$A$1:$I$89,5,0)</f>
        <v>331.29199999999975</v>
      </c>
      <c r="BF140" s="13">
        <f t="shared" si="145"/>
        <v>77.698110787752</v>
      </c>
      <c r="BG140" s="20">
        <f t="shared" si="115"/>
        <v>712.32444295533423</v>
      </c>
      <c r="BH140" s="59">
        <f t="shared" si="116"/>
        <v>1005.6577762886675</v>
      </c>
      <c r="BI140" s="59">
        <f ca="1">AVERAGE(OFFSET($BH$3,0,0,'Données projet'!$E$11+1,1))-AVERAGE(OFFSET($H$3,0,0,'Données projet'!$E$11+1,1))</f>
        <v>316.58509520829671</v>
      </c>
      <c r="BJ140" s="59">
        <f t="shared" si="146"/>
        <v>240.71332110643596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0.30451500815608629</v>
      </c>
      <c r="BQ140" s="21">
        <f>EXP(-LN(2)/25)*BQ139+(1-EXP(-LN(2)/25))/(LN(2)/25)*Calculateur!BL140*Calculateur!BN140*VLOOKUP('Données projet'!$B$11,Paramètres!$A$1:$I$89,3,0)*0.475*44/12</f>
        <v>0.78590795621137788</v>
      </c>
      <c r="BR140" s="21">
        <f>EXP(-LN(2)/2)*BR139+(1-EXP(-LN(2)/2))/(LN(2)/2)*BL140*BO140*VLOOKUP('Données projet'!$B$11,Paramètres!$A$1:$I$89,3,0)*0.475*44/12</f>
        <v>1.7223398551452209E-15</v>
      </c>
      <c r="BS140" s="22">
        <f t="shared" si="117"/>
        <v>1.0904229643674659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497</v>
      </c>
      <c r="BZ140" s="13">
        <f>BY140*VLOOKUP('Données projet'!$B$12,Paramètres!$A$1:$I$89,3,0)*VLOOKUP('Données projet'!$B$12,Paramètres!$A$1:$I$89,5,0)</f>
        <v>297.20600000000002</v>
      </c>
      <c r="CA140" s="13">
        <f t="shared" si="147"/>
        <v>70.590415164571112</v>
      </c>
      <c r="CB140" s="20">
        <f t="shared" si="118"/>
        <v>640.57875641162809</v>
      </c>
      <c r="CC140" s="59">
        <f t="shared" si="119"/>
        <v>933.91208974496135</v>
      </c>
      <c r="CD140" s="59">
        <f ca="1">AVERAGE(OFFSET($CC$3,0,0,'Données projet'!$E$12+1,1))-AVERAGE(OFFSET($H$3,0,0,'Données projet'!$E$12+1,1))</f>
        <v>270.30888762640245</v>
      </c>
      <c r="CE140" s="59">
        <f t="shared" si="148"/>
        <v>202.23783851977691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0.25733662661077689</v>
      </c>
      <c r="CL140" s="21">
        <f>EXP(-LN(2)/25)*CL139+(1-EXP(-LN(2)/25))/(LN(2)/25)*Calculateur!CG140*Calculateur!CI140*VLOOKUP('Données projet'!$B$12,Paramètres!$A$1:$I$89,3,0)*0.475*44/12</f>
        <v>0.63288893788077105</v>
      </c>
      <c r="CM140" s="21">
        <f>EXP(-LN(2)/2)*CM139+(1-EXP(-LN(2)/2))/(LN(2)/2)*CG140*CJ140*VLOOKUP('Données projet'!$B$12,Paramètres!$A$1:$I$89,3,0)*0.475*44/12</f>
        <v>1.4517552641497864E-15</v>
      </c>
      <c r="CN140" s="22">
        <f t="shared" si="120"/>
        <v>0.89022556449154944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-5.1159076974727213E-13</v>
      </c>
      <c r="CU140" s="17">
        <f>CT140*VLOOKUP('Données projet'!$B$13,Paramètres!$A$1:$I$89,3,0)*VLOOKUP('Données projet'!$B$13,Paramètres!$A$1:$I$89,5,0)</f>
        <v>-3.4317508834647017E-13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207.93042467236967</v>
      </c>
      <c r="CZ140" s="59">
        <f t="shared" si="150"/>
        <v>250.70954318710835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0.3305387443093174</v>
      </c>
      <c r="DG140" s="21">
        <f>EXP(-LN(2)/25)*DG139+(1-EXP(-LN(2)/25))/(LN(2)/25)*Calculateur!DB140*Calculateur!DD140*VLOOKUP('Données projet'!$B$13,Paramètres!$A$1:$I$89,3,0)*0.475*44/12</f>
        <v>0.89055110383309843</v>
      </c>
      <c r="DH140" s="21">
        <f>EXP(-LN(2)/2)*DH139+(1-EXP(-LN(2)/2))/(LN(2)/2)*DB140*DE140*VLOOKUP('Données projet'!$B$13,Paramètres!$A$1:$I$89,3,0)*0.475*44/12</f>
        <v>1.5911478185830317E-15</v>
      </c>
      <c r="DI140" s="22">
        <f t="shared" si="123"/>
        <v>1.2210898481424175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5.6843418860808015E-14</v>
      </c>
      <c r="DP140" s="17">
        <f>DO140*VLOOKUP('Données projet'!$B$14,Paramètres!$A$1:$I$89,3,0)*VLOOKUP('Données projet'!$B$14,Paramètres!$A$1:$I$89,5,0)</f>
        <v>3.813056537183002E-14</v>
      </c>
      <c r="DQ140" s="13">
        <f t="shared" si="151"/>
        <v>6.4086286045526829E-13</v>
      </c>
      <c r="DR140" s="20">
        <f t="shared" si="124"/>
        <v>1.1825802166488628E-12</v>
      </c>
      <c r="DS140" s="59">
        <f t="shared" si="125"/>
        <v>293.33333333333451</v>
      </c>
      <c r="DT140" s="59">
        <f ca="1">AVERAGE(OFFSET($DS$3,0,0,'Données projet'!$E$14+1,1))-AVERAGE(OFFSET($H$3,0,0,'Données projet'!$E$14+1,1))</f>
        <v>156.63226020379989</v>
      </c>
      <c r="DU140" s="59">
        <f t="shared" si="152"/>
        <v>196.0481096619543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0.44628135195122626</v>
      </c>
      <c r="EC140" s="21">
        <f>EXP(-LN(2)/2)*EC139+(1-EXP(-LN(2)/2))/(LN(2)/2)*DW140*DZ140*VLOOKUP('Données projet'!$B$14,Paramètres!$A$1:$I$89,3,0)*0.475*44/12</f>
        <v>7.1230940402533902E-16</v>
      </c>
      <c r="ED140" s="22">
        <f t="shared" si="126"/>
        <v>0.44628135195122698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>
        <f>VLOOKUP(A140,'Données projet'!$A$191:$I$211,2,0)</f>
        <v>293.07051282051282</v>
      </c>
      <c r="EH140" s="12">
        <f>VLOOKUP(A140,'Données projet'!$A$191:$I$211,9,0)</f>
        <v>5.2446581196581219</v>
      </c>
      <c r="EI140" s="12">
        <f t="array" ref="EI140">INDEX(EH:EH,MIN(IF(ISNUMBER(EH140:EH336),ROW(EH140:EH336),"")))</f>
        <v>5.2446581196581219</v>
      </c>
      <c r="EJ140" s="12">
        <f>IF('Données projet'!$A$192&gt;35,EJ139+EI140-ER139,IF(A140&lt;'Données projet'!$A$192,$EG$205^A140,IF(A140='Données projet'!$A$192,'Données projet'!$B$192,EJ139+EI140-ER139)))</f>
        <v>293.07051282051248</v>
      </c>
      <c r="EK140" s="17">
        <f>EJ140*VLOOKUP('Données projet'!$B$15,Paramètres!$A$1:$I$89,3,0)*VLOOKUP('Données projet'!$B$15,Paramètres!$A$1:$I$89,5,0)</f>
        <v>297.17349999999965</v>
      </c>
      <c r="EL140" s="13">
        <f t="shared" si="153"/>
        <v>70.583594448118191</v>
      </c>
      <c r="EM140" s="20">
        <f t="shared" si="127"/>
        <v>640.51027283047199</v>
      </c>
      <c r="EN140" s="59">
        <f t="shared" si="128"/>
        <v>933.84360616380536</v>
      </c>
      <c r="EO140" s="59">
        <f ca="1">AVERAGE(OFFSET($EN$3,0,0,'Données projet'!$E$15+1,1))-AVERAGE(OFFSET($H$3,0,0,'Données projet'!$E$15+1,1))</f>
        <v>190.21499310415584</v>
      </c>
      <c r="EP140" s="59">
        <f t="shared" si="154"/>
        <v>136.15730566500173</v>
      </c>
      <c r="EQ140" s="15">
        <f>IF(ISNA(VLOOKUP(A140,'Données projet'!$A$191:$I$211,3,0)),0,VLOOKUP(A140,'Données projet'!$A$191:$I$211,3,0))</f>
        <v>11</v>
      </c>
      <c r="ER140" s="15">
        <f>IF(ISNA(VLOOKUP(A140,'Données projet'!$A$191:$I$211,4,0)),0,VLOOKUP(A140,'Données projet'!$A$191:$I$211,4,0))</f>
        <v>51.160256410256409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0.93749999999999856</v>
      </c>
      <c r="FE140" s="12">
        <f>IF('Données projet'!$A$218&gt;35,FE139+FD140-FM139,IF(A140&lt;'Données projet'!$A$218,$FB$205^A140,IF(A140='Données projet'!$A$218,'Données projet'!$B$218,FE139+FD140-FM139)))</f>
        <v>92.020833333333385</v>
      </c>
      <c r="FF140" s="17">
        <f>FE140*VLOOKUP('Données projet'!$B$16,Paramètres!$A$1:$I$89,3,0)*VLOOKUP('Données projet'!$B$16,Paramètres!$A$1:$I$89,5,0)</f>
        <v>106.00800000000005</v>
      </c>
      <c r="FG140" s="13">
        <f t="shared" si="155"/>
        <v>28.3884243234554</v>
      </c>
      <c r="FH140" s="20">
        <f t="shared" si="130"/>
        <v>234.07377236335159</v>
      </c>
      <c r="FI140" s="59">
        <f t="shared" si="131"/>
        <v>527.40710569668488</v>
      </c>
      <c r="FJ140" s="59">
        <f ca="1">AVERAGE(OFFSET($FI$3,0,0,'Données projet'!$E$16+1,1))-AVERAGE(OFFSET($H$3,0,0,'Données projet'!$E$16+1,1))</f>
        <v>14.847345852478327</v>
      </c>
      <c r="FK140" s="59">
        <f t="shared" si="156"/>
        <v>46.764428272166299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9.1355473155778799E-2</v>
      </c>
      <c r="FS140" s="21">
        <f>EXP(-LN(2)/2)*FS139+(1-EXP(-LN(2)/2))/(LN(2)/2)*FM140*FP140*VLOOKUP('Données projet'!$B$16,Paramètres!$A$1:$I$89,3,0)*0.475*44/12</f>
        <v>1.548892673245086E-16</v>
      </c>
      <c r="FT140" s="22">
        <f t="shared" si="132"/>
        <v>9.1355473155778952E-2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4.1145540308207271E-13</v>
      </c>
      <c r="P141" s="13">
        <f t="shared" si="141"/>
        <v>5.2428527960910789E-12</v>
      </c>
      <c r="Q141" s="20">
        <f t="shared" si="108"/>
        <v>9.8479201135599071E-12</v>
      </c>
      <c r="R141" s="59">
        <f t="shared" si="109"/>
        <v>293.33333333334315</v>
      </c>
      <c r="S141" s="59">
        <f ca="1">AVERAGE(OFFSET($R$3,0,0,'Données projet'!$E$9+1,1))-AVERAGE(OFFSET($H$3,0,0,'Données projet'!$E$9+1,1))</f>
        <v>221.7429870520005</v>
      </c>
      <c r="T141" s="59">
        <f t="shared" si="142"/>
        <v>182.2029938397186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-5.1159076974727213E-13</v>
      </c>
      <c r="AJ141" s="13">
        <f>AI141*VLOOKUP('Données projet'!$B$10,Paramètres!$A$1:$I$89,3,0)*VLOOKUP('Données projet'!$B$10,Paramètres!$A$1:$I$89,5,0)</f>
        <v>-4.0702161641092972E-13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260.20517190557814</v>
      </c>
      <c r="AO141" s="59">
        <f t="shared" si="144"/>
        <v>307.22009971147133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0.38434677065695544</v>
      </c>
      <c r="AV141" s="21">
        <f>EXP(-LN(2)/25)*AV140+(1-EXP(-LN(2)/25))/(LN(2)/25)*Calculateur!AQ141*Calculateur!AS141*VLOOKUP('Données projet'!$B$10,Paramètres!$A$1:$I$89,3,0)*0.475*44/12</f>
        <v>1.0273522276838005</v>
      </c>
      <c r="AW141" s="21">
        <f>EXP(-LN(2)/2)*AW140+(1-EXP(-LN(2)/2))/(LN(2)/2)*AQ141*AT141*VLOOKUP('Données projet'!$B$10,Paramètres!$A$1:$I$89,3,0)*0.475*44/12</f>
        <v>1.3344344658581967E-15</v>
      </c>
      <c r="AX141" s="21">
        <f t="shared" si="114"/>
        <v>1.4116989983407573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553.99999999999955</v>
      </c>
      <c r="BE141" s="13">
        <f>BD141*VLOOKUP('Données projet'!$B$11,Paramètres!$A$1:$I$89,3,0)*VLOOKUP('Données projet'!$B$11,Paramètres!$A$1:$I$89,5,0)</f>
        <v>331.29199999999975</v>
      </c>
      <c r="BF141" s="13">
        <f t="shared" si="145"/>
        <v>77.698110787752</v>
      </c>
      <c r="BG141" s="20">
        <f t="shared" si="115"/>
        <v>712.32444295533423</v>
      </c>
      <c r="BH141" s="59">
        <f t="shared" si="116"/>
        <v>1005.6577762886675</v>
      </c>
      <c r="BI141" s="59">
        <f ca="1">AVERAGE(OFFSET($BH$3,0,0,'Données projet'!$E$11+1,1))-AVERAGE(OFFSET($H$3,0,0,'Données projet'!$E$11+1,1))</f>
        <v>316.58509520829671</v>
      </c>
      <c r="BJ141" s="59">
        <f t="shared" si="146"/>
        <v>240.71332110643596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0.29854365458196053</v>
      </c>
      <c r="BQ141" s="21">
        <f>EXP(-LN(2)/25)*BQ140+(1-EXP(-LN(2)/25))/(LN(2)/25)*Calculateur!BL141*Calculateur!BN141*VLOOKUP('Données projet'!$B$11,Paramètres!$A$1:$I$89,3,0)*0.475*44/12</f>
        <v>0.76441726181967451</v>
      </c>
      <c r="BR141" s="21">
        <f>EXP(-LN(2)/2)*BR140+(1-EXP(-LN(2)/2))/(LN(2)/2)*BL141*BO141*VLOOKUP('Données projet'!$B$11,Paramètres!$A$1:$I$89,3,0)*0.475*44/12</f>
        <v>1.2178781910810417E-15</v>
      </c>
      <c r="BS141" s="22">
        <f t="shared" si="117"/>
        <v>1.062960916401636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497</v>
      </c>
      <c r="BZ141" s="13">
        <f>BY141*VLOOKUP('Données projet'!$B$12,Paramètres!$A$1:$I$89,3,0)*VLOOKUP('Données projet'!$B$12,Paramètres!$A$1:$I$89,5,0)</f>
        <v>297.20600000000002</v>
      </c>
      <c r="CA141" s="13">
        <f t="shared" si="147"/>
        <v>70.590415164571112</v>
      </c>
      <c r="CB141" s="20">
        <f t="shared" si="118"/>
        <v>640.57875641162809</v>
      </c>
      <c r="CC141" s="59">
        <f t="shared" si="119"/>
        <v>933.91208974496135</v>
      </c>
      <c r="CD141" s="59">
        <f ca="1">AVERAGE(OFFSET($CC$3,0,0,'Données projet'!$E$12+1,1))-AVERAGE(OFFSET($H$3,0,0,'Données projet'!$E$12+1,1))</f>
        <v>270.30888762640245</v>
      </c>
      <c r="CE141" s="59">
        <f t="shared" si="148"/>
        <v>202.23783851977691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0.25229041232278326</v>
      </c>
      <c r="CL141" s="21">
        <f>EXP(-LN(2)/25)*CL140+(1-EXP(-LN(2)/25))/(LN(2)/25)*Calculateur!CG141*Calculateur!CI141*VLOOKUP('Données projet'!$B$12,Paramètres!$A$1:$I$89,3,0)*0.475*44/12</f>
        <v>0.61558255659223859</v>
      </c>
      <c r="CM141" s="21">
        <f>EXP(-LN(2)/2)*CM140+(1-EXP(-LN(2)/2))/(LN(2)/2)*CG141*CJ141*VLOOKUP('Données projet'!$B$12,Paramètres!$A$1:$I$89,3,0)*0.475*44/12</f>
        <v>1.0265459919035815E-15</v>
      </c>
      <c r="CN141" s="22">
        <f t="shared" si="120"/>
        <v>0.86787296891502286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-5.1159076974727213E-13</v>
      </c>
      <c r="CU141" s="17">
        <f>CT141*VLOOKUP('Données projet'!$B$13,Paramètres!$A$1:$I$89,3,0)*VLOOKUP('Données projet'!$B$13,Paramètres!$A$1:$I$89,5,0)</f>
        <v>-3.4317508834647017E-13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207.93042467236967</v>
      </c>
      <c r="CZ141" s="59">
        <f t="shared" si="150"/>
        <v>250.70954318710835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0.32405708114213849</v>
      </c>
      <c r="DG141" s="21">
        <f>EXP(-LN(2)/25)*DG140+(1-EXP(-LN(2)/25))/(LN(2)/25)*Calculateur!DB141*Calculateur!DD141*VLOOKUP('Données projet'!$B$13,Paramètres!$A$1:$I$89,3,0)*0.475*44/12</f>
        <v>0.86619893706673523</v>
      </c>
      <c r="DH141" s="21">
        <f>EXP(-LN(2)/2)*DH140+(1-EXP(-LN(2)/2))/(LN(2)/2)*DB141*DE141*VLOOKUP('Données projet'!$B$13,Paramètres!$A$1:$I$89,3,0)*0.475*44/12</f>
        <v>1.1251114123902442E-15</v>
      </c>
      <c r="DI141" s="22">
        <f t="shared" si="123"/>
        <v>1.1902560182088748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5.6843418860808015E-14</v>
      </c>
      <c r="DP141" s="17">
        <f>DO141*VLOOKUP('Données projet'!$B$14,Paramètres!$A$1:$I$89,3,0)*VLOOKUP('Données projet'!$B$14,Paramètres!$A$1:$I$89,5,0)</f>
        <v>3.813056537183002E-14</v>
      </c>
      <c r="DQ141" s="13">
        <f t="shared" si="151"/>
        <v>6.4086286045526829E-13</v>
      </c>
      <c r="DR141" s="20">
        <f t="shared" si="124"/>
        <v>1.1825802166488628E-12</v>
      </c>
      <c r="DS141" s="59">
        <f t="shared" si="125"/>
        <v>293.33333333333451</v>
      </c>
      <c r="DT141" s="59">
        <f ca="1">AVERAGE(OFFSET($DS$3,0,0,'Données projet'!$E$14+1,1))-AVERAGE(OFFSET($H$3,0,0,'Données projet'!$E$14+1,1))</f>
        <v>156.63226020379989</v>
      </c>
      <c r="DU141" s="59">
        <f t="shared" si="152"/>
        <v>196.0481096619543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0.43407776491320366</v>
      </c>
      <c r="EC141" s="21">
        <f>EXP(-LN(2)/2)*EC140+(1-EXP(-LN(2)/2))/(LN(2)/2)*DW141*DZ141*VLOOKUP('Données projet'!$B$14,Paramètres!$A$1:$I$89,3,0)*0.475*44/12</f>
        <v>5.0367880988926547E-16</v>
      </c>
      <c r="ED141" s="22">
        <f t="shared" si="126"/>
        <v>0.43407776491320416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5.1063034188034209</v>
      </c>
      <c r="EJ141" s="12">
        <f>IF('Données projet'!$A$192&gt;35,EJ140+EI141-ER140,IF(A141&lt;'Données projet'!$A$192,$EG$205^A141,IF(A141='Données projet'!$A$192,'Données projet'!$B$192,EJ140+EI141-ER140)))</f>
        <v>247.01655982905947</v>
      </c>
      <c r="EK141" s="17">
        <f>EJ141*VLOOKUP('Données projet'!$B$15,Paramètres!$A$1:$I$89,3,0)*VLOOKUP('Données projet'!$B$15,Paramètres!$A$1:$I$89,5,0)</f>
        <v>250.47479166666631</v>
      </c>
      <c r="EL141" s="13">
        <f t="shared" si="153"/>
        <v>60.687599112090453</v>
      </c>
      <c r="EM141" s="20">
        <f t="shared" si="127"/>
        <v>541.94116393966794</v>
      </c>
      <c r="EN141" s="59">
        <f t="shared" si="128"/>
        <v>835.27449727300132</v>
      </c>
      <c r="EO141" s="59">
        <f ca="1">AVERAGE(OFFSET($EN$3,0,0,'Données projet'!$E$15+1,1))-AVERAGE(OFFSET($H$3,0,0,'Données projet'!$E$15+1,1))</f>
        <v>190.21499310415584</v>
      </c>
      <c r="EP141" s="59">
        <f t="shared" si="154"/>
        <v>136.15730566500173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0.93749999999999856</v>
      </c>
      <c r="FE141" s="12">
        <f>IF('Données projet'!$A$218&gt;35,FE140+FD141-FM140,IF(A141&lt;'Données projet'!$A$218,$FB$205^A141,IF(A141='Données projet'!$A$218,'Données projet'!$B$218,FE140+FD141-FM140)))</f>
        <v>92.958333333333385</v>
      </c>
      <c r="FF141" s="17">
        <f>FE141*VLOOKUP('Données projet'!$B$16,Paramètres!$A$1:$I$89,3,0)*VLOOKUP('Données projet'!$B$16,Paramètres!$A$1:$I$89,5,0)</f>
        <v>107.08800000000006</v>
      </c>
      <c r="FG141" s="13">
        <f t="shared" si="155"/>
        <v>28.643827030448211</v>
      </c>
      <c r="FH141" s="20">
        <f t="shared" si="130"/>
        <v>236.39959874469741</v>
      </c>
      <c r="FI141" s="59">
        <f t="shared" si="131"/>
        <v>529.73293207803067</v>
      </c>
      <c r="FJ141" s="59">
        <f ca="1">AVERAGE(OFFSET($FI$3,0,0,'Données projet'!$E$16+1,1))-AVERAGE(OFFSET($H$3,0,0,'Données projet'!$E$16+1,1))</f>
        <v>14.847345852478327</v>
      </c>
      <c r="FK141" s="59">
        <f t="shared" si="156"/>
        <v>46.764428272166299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8.8857352938158496E-2</v>
      </c>
      <c r="FS141" s="21">
        <f>EXP(-LN(2)/2)*FS140+(1-EXP(-LN(2)/2))/(LN(2)/2)*FM141*FP141*VLOOKUP('Données projet'!$B$16,Paramètres!$A$1:$I$89,3,0)*0.475*44/12</f>
        <v>1.0952325125817597E-16</v>
      </c>
      <c r="FT141" s="22">
        <f t="shared" si="132"/>
        <v>8.8857352938158607E-2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4.1145540308207271E-13</v>
      </c>
      <c r="P142" s="13">
        <f t="shared" si="141"/>
        <v>5.2428527960910789E-12</v>
      </c>
      <c r="Q142" s="20">
        <f t="shared" si="108"/>
        <v>9.8479201135599071E-12</v>
      </c>
      <c r="R142" s="59">
        <f t="shared" si="109"/>
        <v>293.33333333334315</v>
      </c>
      <c r="S142" s="59">
        <f ca="1">AVERAGE(OFFSET($R$3,0,0,'Données projet'!$E$9+1,1))-AVERAGE(OFFSET($H$3,0,0,'Données projet'!$E$9+1,1))</f>
        <v>221.7429870520005</v>
      </c>
      <c r="T142" s="59">
        <f t="shared" si="142"/>
        <v>182.2029938397186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-5.1159076974727213E-13</v>
      </c>
      <c r="AJ142" s="13">
        <f>AI142*VLOOKUP('Données projet'!$B$10,Paramètres!$A$1:$I$89,3,0)*VLOOKUP('Données projet'!$B$10,Paramètres!$A$1:$I$89,5,0)</f>
        <v>-4.0702161641092972E-13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260.20517190557814</v>
      </c>
      <c r="AO142" s="59">
        <f t="shared" si="144"/>
        <v>307.22009971147133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0.37680996491275476</v>
      </c>
      <c r="AV142" s="21">
        <f>EXP(-LN(2)/25)*AV141+(1-EXP(-LN(2)/25))/(LN(2)/25)*Calculateur!AQ142*Calculateur!AS142*VLOOKUP('Données projet'!$B$10,Paramètres!$A$1:$I$89,3,0)*0.475*44/12</f>
        <v>0.99925922699168135</v>
      </c>
      <c r="AW142" s="21">
        <f>EXP(-LN(2)/2)*AW141+(1-EXP(-LN(2)/2))/(LN(2)/2)*AQ142*AT142*VLOOKUP('Données projet'!$B$10,Paramètres!$A$1:$I$89,3,0)*0.475*44/12</f>
        <v>9.4358765985737932E-16</v>
      </c>
      <c r="AX142" s="21">
        <f t="shared" si="114"/>
        <v>1.376069191904437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553.99999999999955</v>
      </c>
      <c r="BE142" s="13">
        <f>BD142*VLOOKUP('Données projet'!$B$11,Paramètres!$A$1:$I$89,3,0)*VLOOKUP('Données projet'!$B$11,Paramètres!$A$1:$I$89,5,0)</f>
        <v>331.29199999999975</v>
      </c>
      <c r="BF142" s="13">
        <f t="shared" si="145"/>
        <v>77.698110787752</v>
      </c>
      <c r="BG142" s="20">
        <f t="shared" si="115"/>
        <v>712.32444295533423</v>
      </c>
      <c r="BH142" s="59">
        <f t="shared" si="116"/>
        <v>1005.6577762886675</v>
      </c>
      <c r="BI142" s="59">
        <f ca="1">AVERAGE(OFFSET($BH$3,0,0,'Données projet'!$E$11+1,1))-AVERAGE(OFFSET($H$3,0,0,'Données projet'!$E$11+1,1))</f>
        <v>316.58509520829671</v>
      </c>
      <c r="BJ142" s="59">
        <f t="shared" si="146"/>
        <v>240.71332110643596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0.29268939560925733</v>
      </c>
      <c r="BQ142" s="21">
        <f>EXP(-LN(2)/25)*BQ141+(1-EXP(-LN(2)/25))/(LN(2)/25)*Calculateur!BL142*Calculateur!BN142*VLOOKUP('Données projet'!$B$11,Paramètres!$A$1:$I$89,3,0)*0.475*44/12</f>
        <v>0.74351423159625885</v>
      </c>
      <c r="BR142" s="21">
        <f>EXP(-LN(2)/2)*BR141+(1-EXP(-LN(2)/2))/(LN(2)/2)*BL142*BO142*VLOOKUP('Données projet'!$B$11,Paramètres!$A$1:$I$89,3,0)*0.475*44/12</f>
        <v>8.6116992757261047E-16</v>
      </c>
      <c r="BS142" s="22">
        <f t="shared" si="117"/>
        <v>1.0362036272055171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497</v>
      </c>
      <c r="BZ142" s="13">
        <f>BY142*VLOOKUP('Données projet'!$B$12,Paramètres!$A$1:$I$89,3,0)*VLOOKUP('Données projet'!$B$12,Paramètres!$A$1:$I$89,5,0)</f>
        <v>297.20600000000002</v>
      </c>
      <c r="CA142" s="13">
        <f t="shared" si="147"/>
        <v>70.590415164571112</v>
      </c>
      <c r="CB142" s="20">
        <f t="shared" si="118"/>
        <v>640.57875641162809</v>
      </c>
      <c r="CC142" s="59">
        <f t="shared" si="119"/>
        <v>933.91208974496135</v>
      </c>
      <c r="CD142" s="59">
        <f ca="1">AVERAGE(OFFSET($CC$3,0,0,'Données projet'!$E$12+1,1))-AVERAGE(OFFSET($H$3,0,0,'Données projet'!$E$12+1,1))</f>
        <v>270.30888762640245</v>
      </c>
      <c r="CE142" s="59">
        <f t="shared" si="148"/>
        <v>202.23783851977691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0.24734315121909042</v>
      </c>
      <c r="CL142" s="21">
        <f>EXP(-LN(2)/25)*CL141+(1-EXP(-LN(2)/25))/(LN(2)/25)*Calculateur!CG142*Calculateur!CI142*VLOOKUP('Données projet'!$B$12,Paramètres!$A$1:$I$89,3,0)*0.475*44/12</f>
        <v>0.59874941921014413</v>
      </c>
      <c r="CM142" s="21">
        <f>EXP(-LN(2)/2)*CM141+(1-EXP(-LN(2)/2))/(LN(2)/2)*CG142*CJ142*VLOOKUP('Données projet'!$B$12,Paramètres!$A$1:$I$89,3,0)*0.475*44/12</f>
        <v>7.2587763207489322E-16</v>
      </c>
      <c r="CN142" s="22">
        <f t="shared" si="120"/>
        <v>0.84609257042923536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-5.1159076974727213E-13</v>
      </c>
      <c r="CU142" s="17">
        <f>CT142*VLOOKUP('Données projet'!$B$13,Paramètres!$A$1:$I$89,3,0)*VLOOKUP('Données projet'!$B$13,Paramètres!$A$1:$I$89,5,0)</f>
        <v>-3.4317508834647017E-13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207.93042467236967</v>
      </c>
      <c r="CZ142" s="59">
        <f t="shared" si="150"/>
        <v>250.70954318710835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0.31770251943624384</v>
      </c>
      <c r="DG142" s="21">
        <f>EXP(-LN(2)/25)*DG141+(1-EXP(-LN(2)/25))/(LN(2)/25)*Calculateur!DB142*Calculateur!DD142*VLOOKUP('Données projet'!$B$13,Paramètres!$A$1:$I$89,3,0)*0.475*44/12</f>
        <v>0.84251268158122294</v>
      </c>
      <c r="DH142" s="21">
        <f>EXP(-LN(2)/2)*DH141+(1-EXP(-LN(2)/2))/(LN(2)/2)*DB142*DE142*VLOOKUP('Données projet'!$B$13,Paramètres!$A$1:$I$89,3,0)*0.475*44/12</f>
        <v>7.9557390929151585E-16</v>
      </c>
      <c r="DI142" s="22">
        <f t="shared" si="123"/>
        <v>1.1602152010174676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5.6843418860808015E-14</v>
      </c>
      <c r="DP142" s="17">
        <f>DO142*VLOOKUP('Données projet'!$B$14,Paramètres!$A$1:$I$89,3,0)*VLOOKUP('Données projet'!$B$14,Paramètres!$A$1:$I$89,5,0)</f>
        <v>3.813056537183002E-14</v>
      </c>
      <c r="DQ142" s="13">
        <f t="shared" si="151"/>
        <v>6.4086286045526829E-13</v>
      </c>
      <c r="DR142" s="20">
        <f t="shared" si="124"/>
        <v>1.1825802166488628E-12</v>
      </c>
      <c r="DS142" s="59">
        <f t="shared" si="125"/>
        <v>293.33333333333451</v>
      </c>
      <c r="DT142" s="59">
        <f ca="1">AVERAGE(OFFSET($DS$3,0,0,'Données projet'!$E$14+1,1))-AVERAGE(OFFSET($H$3,0,0,'Données projet'!$E$14+1,1))</f>
        <v>156.63226020379989</v>
      </c>
      <c r="DU142" s="59">
        <f t="shared" si="152"/>
        <v>196.0481096619543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0.42220788560449457</v>
      </c>
      <c r="EC142" s="21">
        <f>EXP(-LN(2)/2)*EC141+(1-EXP(-LN(2)/2))/(LN(2)/2)*DW142*DZ142*VLOOKUP('Données projet'!$B$14,Paramètres!$A$1:$I$89,3,0)*0.475*44/12</f>
        <v>3.5615470201266951E-16</v>
      </c>
      <c r="ED142" s="22">
        <f t="shared" si="126"/>
        <v>0.4222078856044949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5.1063034188034209</v>
      </c>
      <c r="EJ142" s="12">
        <f>IF('Données projet'!$A$192&gt;35,EJ141+EI142-ER141,IF(A142&lt;'Données projet'!$A$192,$EG$205^A142,IF(A142='Données projet'!$A$192,'Données projet'!$B$192,EJ141+EI142-ER141)))</f>
        <v>252.12286324786288</v>
      </c>
      <c r="EK142" s="17">
        <f>EJ142*VLOOKUP('Données projet'!$B$15,Paramètres!$A$1:$I$89,3,0)*VLOOKUP('Données projet'!$B$15,Paramètres!$A$1:$I$89,5,0)</f>
        <v>255.65258333333296</v>
      </c>
      <c r="EL142" s="13">
        <f t="shared" si="153"/>
        <v>61.794776930172596</v>
      </c>
      <c r="EM142" s="20">
        <f t="shared" si="127"/>
        <v>552.88748579227229</v>
      </c>
      <c r="EN142" s="59">
        <f t="shared" si="128"/>
        <v>846.22081912560566</v>
      </c>
      <c r="EO142" s="59">
        <f ca="1">AVERAGE(OFFSET($EN$3,0,0,'Données projet'!$E$15+1,1))-AVERAGE(OFFSET($H$3,0,0,'Données projet'!$E$15+1,1))</f>
        <v>190.21499310415584</v>
      </c>
      <c r="EP142" s="59">
        <f t="shared" si="154"/>
        <v>136.15730566500173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0.93749999999999856</v>
      </c>
      <c r="FE142" s="12">
        <f>IF('Données projet'!$A$218&gt;35,FE141+FD142-FM141,IF(A142&lt;'Données projet'!$A$218,$FB$205^A142,IF(A142='Données projet'!$A$218,'Données projet'!$B$218,FE141+FD142-FM141)))</f>
        <v>93.895833333333385</v>
      </c>
      <c r="FF142" s="17">
        <f>FE142*VLOOKUP('Données projet'!$B$16,Paramètres!$A$1:$I$89,3,0)*VLOOKUP('Données projet'!$B$16,Paramètres!$A$1:$I$89,5,0)</f>
        <v>108.16800000000005</v>
      </c>
      <c r="FG142" s="13">
        <f t="shared" si="155"/>
        <v>28.898930087412509</v>
      </c>
      <c r="FH142" s="20">
        <f t="shared" si="130"/>
        <v>238.72490323557687</v>
      </c>
      <c r="FI142" s="59">
        <f t="shared" si="131"/>
        <v>532.05823656891016</v>
      </c>
      <c r="FJ142" s="59">
        <f ca="1">AVERAGE(OFFSET($FI$3,0,0,'Données projet'!$E$16+1,1))-AVERAGE(OFFSET($H$3,0,0,'Données projet'!$E$16+1,1))</f>
        <v>14.847345852478327</v>
      </c>
      <c r="FK142" s="59">
        <f t="shared" si="156"/>
        <v>46.764428272166299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8.6427543949259444E-2</v>
      </c>
      <c r="FS142" s="21">
        <f>EXP(-LN(2)/2)*FS141+(1-EXP(-LN(2)/2))/(LN(2)/2)*FM142*FP142*VLOOKUP('Données projet'!$B$16,Paramètres!$A$1:$I$89,3,0)*0.475*44/12</f>
        <v>7.744463366225431E-17</v>
      </c>
      <c r="FT142" s="22">
        <f t="shared" si="132"/>
        <v>8.6427543949259528E-2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4.1145540308207271E-13</v>
      </c>
      <c r="P143" s="13">
        <f t="shared" si="141"/>
        <v>5.2428527960910789E-12</v>
      </c>
      <c r="Q143" s="20">
        <f t="shared" si="108"/>
        <v>9.8479201135599071E-12</v>
      </c>
      <c r="R143" s="59">
        <f t="shared" si="109"/>
        <v>293.33333333334315</v>
      </c>
      <c r="S143" s="59">
        <f ca="1">AVERAGE(OFFSET($R$3,0,0,'Données projet'!$E$9+1,1))-AVERAGE(OFFSET($H$3,0,0,'Données projet'!$E$9+1,1))</f>
        <v>221.7429870520005</v>
      </c>
      <c r="T143" s="59">
        <f t="shared" si="142"/>
        <v>182.2029938397186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-5.1159076974727213E-13</v>
      </c>
      <c r="AJ143" s="13">
        <f>AI143*VLOOKUP('Données projet'!$B$10,Paramètres!$A$1:$I$89,3,0)*VLOOKUP('Données projet'!$B$10,Paramètres!$A$1:$I$89,5,0)</f>
        <v>-4.0702161641092972E-13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260.20517190557814</v>
      </c>
      <c r="AO143" s="59">
        <f t="shared" si="144"/>
        <v>307.22009971147133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0.36942095133220026</v>
      </c>
      <c r="AV143" s="21">
        <f>EXP(-LN(2)/25)*AV142+(1-EXP(-LN(2)/25))/(LN(2)/25)*Calculateur!AQ143*Calculateur!AS143*VLOOKUP('Données projet'!$B$10,Paramètres!$A$1:$I$89,3,0)*0.475*44/12</f>
        <v>0.97193443088083487</v>
      </c>
      <c r="AW143" s="21">
        <f>EXP(-LN(2)/2)*AW142+(1-EXP(-LN(2)/2))/(LN(2)/2)*AQ143*AT143*VLOOKUP('Données projet'!$B$10,Paramètres!$A$1:$I$89,3,0)*0.475*44/12</f>
        <v>6.6721723292909835E-16</v>
      </c>
      <c r="AX143" s="21">
        <f t="shared" si="114"/>
        <v>1.3413553822130357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553.99999999999955</v>
      </c>
      <c r="BE143" s="13">
        <f>BD143*VLOOKUP('Données projet'!$B$11,Paramètres!$A$1:$I$89,3,0)*VLOOKUP('Données projet'!$B$11,Paramètres!$A$1:$I$89,5,0)</f>
        <v>331.29199999999975</v>
      </c>
      <c r="BF143" s="13">
        <f t="shared" si="145"/>
        <v>77.698110787752</v>
      </c>
      <c r="BG143" s="20">
        <f t="shared" si="115"/>
        <v>712.32444295533423</v>
      </c>
      <c r="BH143" s="59">
        <f t="shared" si="116"/>
        <v>1005.6577762886675</v>
      </c>
      <c r="BI143" s="59">
        <f ca="1">AVERAGE(OFFSET($BH$3,0,0,'Données projet'!$E$11+1,1))-AVERAGE(OFFSET($H$3,0,0,'Données projet'!$E$11+1,1))</f>
        <v>316.58509520829671</v>
      </c>
      <c r="BJ143" s="59">
        <f t="shared" si="146"/>
        <v>240.71332110643596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0.28694993508426342</v>
      </c>
      <c r="BQ143" s="21">
        <f>EXP(-LN(2)/25)*BQ142+(1-EXP(-LN(2)/25))/(LN(2)/25)*Calculateur!BL143*Calculateur!BN143*VLOOKUP('Données projet'!$B$11,Paramètres!$A$1:$I$89,3,0)*0.475*44/12</f>
        <v>0.72318279583354506</v>
      </c>
      <c r="BR143" s="21">
        <f>EXP(-LN(2)/2)*BR142+(1-EXP(-LN(2)/2))/(LN(2)/2)*BL143*BO143*VLOOKUP('Données projet'!$B$11,Paramètres!$A$1:$I$89,3,0)*0.475*44/12</f>
        <v>6.0893909554052084E-16</v>
      </c>
      <c r="BS143" s="22">
        <f t="shared" si="117"/>
        <v>1.0101327309178092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497</v>
      </c>
      <c r="BZ143" s="13">
        <f>BY143*VLOOKUP('Données projet'!$B$12,Paramètres!$A$1:$I$89,3,0)*VLOOKUP('Données projet'!$B$12,Paramètres!$A$1:$I$89,5,0)</f>
        <v>297.20600000000002</v>
      </c>
      <c r="CA143" s="13">
        <f t="shared" si="147"/>
        <v>70.590415164571112</v>
      </c>
      <c r="CB143" s="20">
        <f t="shared" si="118"/>
        <v>640.57875641162809</v>
      </c>
      <c r="CC143" s="59">
        <f t="shared" si="119"/>
        <v>933.91208974496135</v>
      </c>
      <c r="CD143" s="59">
        <f ca="1">AVERAGE(OFFSET($CC$3,0,0,'Données projet'!$E$12+1,1))-AVERAGE(OFFSET($H$3,0,0,'Données projet'!$E$12+1,1))</f>
        <v>270.30888762640245</v>
      </c>
      <c r="CE143" s="59">
        <f t="shared" si="148"/>
        <v>202.23783851977691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0.24249290288810968</v>
      </c>
      <c r="CL143" s="21">
        <f>EXP(-LN(2)/25)*CL142+(1-EXP(-LN(2)/25))/(LN(2)/25)*Calculateur!CG143*Calculateur!CI143*VLOOKUP('Données projet'!$B$12,Paramètres!$A$1:$I$89,3,0)*0.475*44/12</f>
        <v>0.58237658485497923</v>
      </c>
      <c r="CM143" s="21">
        <f>EXP(-LN(2)/2)*CM142+(1-EXP(-LN(2)/2))/(LN(2)/2)*CG143*CJ143*VLOOKUP('Données projet'!$B$12,Paramètres!$A$1:$I$89,3,0)*0.475*44/12</f>
        <v>5.1327299595179077E-16</v>
      </c>
      <c r="CN143" s="22">
        <f t="shared" si="120"/>
        <v>0.82486948774308944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-5.1159076974727213E-13</v>
      </c>
      <c r="CU143" s="17">
        <f>CT143*VLOOKUP('Données projet'!$B$13,Paramètres!$A$1:$I$89,3,0)*VLOOKUP('Données projet'!$B$13,Paramètres!$A$1:$I$89,5,0)</f>
        <v>-3.4317508834647017E-13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207.93042467236967</v>
      </c>
      <c r="CZ143" s="59">
        <f t="shared" si="150"/>
        <v>250.70954318710835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0.31147256680950181</v>
      </c>
      <c r="DG143" s="21">
        <f>EXP(-LN(2)/25)*DG142+(1-EXP(-LN(2)/25))/(LN(2)/25)*Calculateur!DB143*Calculateur!DD143*VLOOKUP('Données projet'!$B$13,Paramètres!$A$1:$I$89,3,0)*0.475*44/12</f>
        <v>0.81947412799756802</v>
      </c>
      <c r="DH143" s="21">
        <f>EXP(-LN(2)/2)*DH142+(1-EXP(-LN(2)/2))/(LN(2)/2)*DB143*DE143*VLOOKUP('Données projet'!$B$13,Paramètres!$A$1:$I$89,3,0)*0.475*44/12</f>
        <v>5.625557061951221E-16</v>
      </c>
      <c r="DI143" s="22">
        <f t="shared" si="123"/>
        <v>1.1309466948070706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5.6843418860808015E-14</v>
      </c>
      <c r="DP143" s="17">
        <f>DO143*VLOOKUP('Données projet'!$B$14,Paramètres!$A$1:$I$89,3,0)*VLOOKUP('Données projet'!$B$14,Paramètres!$A$1:$I$89,5,0)</f>
        <v>3.813056537183002E-14</v>
      </c>
      <c r="DQ143" s="13">
        <f t="shared" si="151"/>
        <v>6.4086286045526829E-13</v>
      </c>
      <c r="DR143" s="20">
        <f t="shared" si="124"/>
        <v>1.1825802166488628E-12</v>
      </c>
      <c r="DS143" s="59">
        <f t="shared" si="125"/>
        <v>293.33333333333451</v>
      </c>
      <c r="DT143" s="59">
        <f ca="1">AVERAGE(OFFSET($DS$3,0,0,'Données projet'!$E$14+1,1))-AVERAGE(OFFSET($H$3,0,0,'Données projet'!$E$14+1,1))</f>
        <v>156.63226020379989</v>
      </c>
      <c r="DU143" s="59">
        <f t="shared" si="152"/>
        <v>196.0481096619543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0.41066258876969192</v>
      </c>
      <c r="EC143" s="21">
        <f>EXP(-LN(2)/2)*EC142+(1-EXP(-LN(2)/2))/(LN(2)/2)*DW143*DZ143*VLOOKUP('Données projet'!$B$14,Paramètres!$A$1:$I$89,3,0)*0.475*44/12</f>
        <v>2.5183940494463274E-16</v>
      </c>
      <c r="ED143" s="22">
        <f t="shared" si="126"/>
        <v>0.41066258876969219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5.1063034188034209</v>
      </c>
      <c r="EJ143" s="12">
        <f>IF('Données projet'!$A$192&gt;35,EJ142+EI143-ER142,IF(A143&lt;'Données projet'!$A$192,$EG$205^A143,IF(A143='Données projet'!$A$192,'Données projet'!$B$192,EJ142+EI143-ER142)))</f>
        <v>257.22916666666629</v>
      </c>
      <c r="EK143" s="17">
        <f>EJ143*VLOOKUP('Données projet'!$B$15,Paramètres!$A$1:$I$89,3,0)*VLOOKUP('Données projet'!$B$15,Paramètres!$A$1:$I$89,5,0)</f>
        <v>260.83037499999961</v>
      </c>
      <c r="EL143" s="13">
        <f t="shared" si="153"/>
        <v>62.899347488444107</v>
      </c>
      <c r="EM143" s="20">
        <f t="shared" si="127"/>
        <v>563.82926666737285</v>
      </c>
      <c r="EN143" s="59">
        <f t="shared" si="128"/>
        <v>857.16260000070611</v>
      </c>
      <c r="EO143" s="59">
        <f ca="1">AVERAGE(OFFSET($EN$3,0,0,'Données projet'!$E$15+1,1))-AVERAGE(OFFSET($H$3,0,0,'Données projet'!$E$15+1,1))</f>
        <v>190.21499310415584</v>
      </c>
      <c r="EP143" s="59">
        <f t="shared" si="154"/>
        <v>136.15730566500173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>
        <f>VLOOKUP(A143,'Données projet'!$A$217:$I$237,2,0)</f>
        <v>94.833333333333329</v>
      </c>
      <c r="FC143" s="12">
        <f>VLOOKUP(A143,'Données projet'!$A$217:$I$237,9,0)</f>
        <v>0.93749999999999856</v>
      </c>
      <c r="FD143" s="12">
        <f t="array" ref="FD143">INDEX(FC:FC,MIN(IF(ISNUMBER(FC143:FC339),ROW(FC143:FC339),"")))</f>
        <v>0.93749999999999856</v>
      </c>
      <c r="FE143" s="12">
        <f>IF('Données projet'!$A$218&gt;35,FE142+FD143-FM142,IF(A143&lt;'Données projet'!$A$218,$FB$205^A143,IF(A143='Données projet'!$A$218,'Données projet'!$B$218,FE142+FD143-FM142)))</f>
        <v>94.833333333333385</v>
      </c>
      <c r="FF143" s="17">
        <f>FE143*VLOOKUP('Données projet'!$B$16,Paramètres!$A$1:$I$89,3,0)*VLOOKUP('Données projet'!$B$16,Paramètres!$A$1:$I$89,5,0)</f>
        <v>109.24800000000006</v>
      </c>
      <c r="FG143" s="13">
        <f t="shared" si="155"/>
        <v>29.153736832616811</v>
      </c>
      <c r="FH143" s="20">
        <f t="shared" si="130"/>
        <v>241.04969165014106</v>
      </c>
      <c r="FI143" s="59">
        <f t="shared" si="131"/>
        <v>534.38302498347434</v>
      </c>
      <c r="FJ143" s="59">
        <f ca="1">AVERAGE(OFFSET($FI$3,0,0,'Données projet'!$E$16+1,1))-AVERAGE(OFFSET($H$3,0,0,'Données projet'!$E$16+1,1))</f>
        <v>14.847345852478327</v>
      </c>
      <c r="FK143" s="59">
        <f t="shared" si="156"/>
        <v>46.764428272166299</v>
      </c>
      <c r="FL143" s="15">
        <f>IF(ISNA(VLOOKUP(A143,'Données projet'!$A$217:$I$237,3,0)),0,VLOOKUP(A143,'Données projet'!$A$217:$I$237,3,0))</f>
        <v>14</v>
      </c>
      <c r="FM143" s="15">
        <f>IF(ISNA(VLOOKUP(A143,'Données projet'!$A$217:$I$237,4,0)),0,VLOOKUP(A143,'Données projet'!$A$217:$I$237,4,0))</f>
        <v>7.416666666666667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8.4064178214939944E-2</v>
      </c>
      <c r="FS143" s="21">
        <f>EXP(-LN(2)/2)*FS142+(1-EXP(-LN(2)/2))/(LN(2)/2)*FM143*FP143*VLOOKUP('Données projet'!$B$16,Paramètres!$A$1:$I$89,3,0)*0.475*44/12</f>
        <v>5.4761625629087993E-17</v>
      </c>
      <c r="FT143" s="22">
        <f t="shared" si="132"/>
        <v>8.406417821494E-2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4.1145540308207271E-13</v>
      </c>
      <c r="P144" s="13">
        <f t="shared" si="141"/>
        <v>5.2428527960910789E-12</v>
      </c>
      <c r="Q144" s="20">
        <f t="shared" si="108"/>
        <v>9.8479201135599071E-12</v>
      </c>
      <c r="R144" s="59">
        <f t="shared" si="109"/>
        <v>293.33333333334315</v>
      </c>
      <c r="S144" s="59">
        <f ca="1">AVERAGE(OFFSET($R$3,0,0,'Données projet'!$E$9+1,1))-AVERAGE(OFFSET($H$3,0,0,'Données projet'!$E$9+1,1))</f>
        <v>221.7429870520005</v>
      </c>
      <c r="T144" s="59">
        <f t="shared" si="142"/>
        <v>182.2029938397186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-5.1159076974727213E-13</v>
      </c>
      <c r="AJ144" s="13">
        <f>AI144*VLOOKUP('Données projet'!$B$10,Paramètres!$A$1:$I$89,3,0)*VLOOKUP('Données projet'!$B$10,Paramètres!$A$1:$I$89,5,0)</f>
        <v>-4.0702161641092972E-13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260.20517190557814</v>
      </c>
      <c r="AO144" s="59">
        <f t="shared" si="144"/>
        <v>307.22009971147133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0.36217683180110716</v>
      </c>
      <c r="AV144" s="21">
        <f>EXP(-LN(2)/25)*AV143+(1-EXP(-LN(2)/25))/(LN(2)/25)*Calculateur!AQ144*Calculateur!AS144*VLOOKUP('Données projet'!$B$10,Paramètres!$A$1:$I$89,3,0)*0.475*44/12</f>
        <v>0.94535683275658811</v>
      </c>
      <c r="AW144" s="21">
        <f>EXP(-LN(2)/2)*AW143+(1-EXP(-LN(2)/2))/(LN(2)/2)*AQ144*AT144*VLOOKUP('Données projet'!$B$10,Paramètres!$A$1:$I$89,3,0)*0.475*44/12</f>
        <v>4.7179382992868966E-16</v>
      </c>
      <c r="AX144" s="21">
        <f t="shared" si="114"/>
        <v>1.3075336645576958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553.99999999999955</v>
      </c>
      <c r="BE144" s="13">
        <f>BD144*VLOOKUP('Données projet'!$B$11,Paramètres!$A$1:$I$89,3,0)*VLOOKUP('Données projet'!$B$11,Paramètres!$A$1:$I$89,5,0)</f>
        <v>331.29199999999975</v>
      </c>
      <c r="BF144" s="13">
        <f t="shared" si="145"/>
        <v>77.698110787752</v>
      </c>
      <c r="BG144" s="20">
        <f t="shared" si="115"/>
        <v>712.32444295533423</v>
      </c>
      <c r="BH144" s="59">
        <f t="shared" si="116"/>
        <v>1005.6577762886675</v>
      </c>
      <c r="BI144" s="59">
        <f ca="1">AVERAGE(OFFSET($BH$3,0,0,'Données projet'!$E$11+1,1))-AVERAGE(OFFSET($H$3,0,0,'Données projet'!$E$11+1,1))</f>
        <v>316.58509520829671</v>
      </c>
      <c r="BJ144" s="59">
        <f t="shared" si="146"/>
        <v>240.71332110643596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0.28132302187943942</v>
      </c>
      <c r="BQ144" s="21">
        <f>EXP(-LN(2)/25)*BQ143+(1-EXP(-LN(2)/25))/(LN(2)/25)*Calculateur!BL144*Calculateur!BN144*VLOOKUP('Données projet'!$B$11,Paramètres!$A$1:$I$89,3,0)*0.475*44/12</f>
        <v>0.70340732425094643</v>
      </c>
      <c r="BR144" s="21">
        <f>EXP(-LN(2)/2)*BR143+(1-EXP(-LN(2)/2))/(LN(2)/2)*BL144*BO144*VLOOKUP('Données projet'!$B$11,Paramètres!$A$1:$I$89,3,0)*0.475*44/12</f>
        <v>4.3058496378630523E-16</v>
      </c>
      <c r="BS144" s="22">
        <f t="shared" si="117"/>
        <v>0.98473034613038624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497</v>
      </c>
      <c r="BZ144" s="13">
        <f>BY144*VLOOKUP('Données projet'!$B$12,Paramètres!$A$1:$I$89,3,0)*VLOOKUP('Données projet'!$B$12,Paramètres!$A$1:$I$89,5,0)</f>
        <v>297.20600000000002</v>
      </c>
      <c r="CA144" s="13">
        <f t="shared" si="147"/>
        <v>70.590415164571112</v>
      </c>
      <c r="CB144" s="20">
        <f t="shared" si="118"/>
        <v>640.57875641162809</v>
      </c>
      <c r="CC144" s="59">
        <f t="shared" si="119"/>
        <v>933.91208974496135</v>
      </c>
      <c r="CD144" s="59">
        <f ca="1">AVERAGE(OFFSET($CC$3,0,0,'Données projet'!$E$12+1,1))-AVERAGE(OFFSET($H$3,0,0,'Données projet'!$E$12+1,1))</f>
        <v>270.30888762640245</v>
      </c>
      <c r="CE144" s="59">
        <f t="shared" si="148"/>
        <v>202.23783851977691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0.2377377649685401</v>
      </c>
      <c r="CL144" s="21">
        <f>EXP(-LN(2)/25)*CL143+(1-EXP(-LN(2)/25))/(LN(2)/25)*Calculateur!CG144*Calculateur!CI144*VLOOKUP('Données projet'!$B$12,Paramètres!$A$1:$I$89,3,0)*0.475*44/12</f>
        <v>0.56645146651626621</v>
      </c>
      <c r="CM144" s="21">
        <f>EXP(-LN(2)/2)*CM143+(1-EXP(-LN(2)/2))/(LN(2)/2)*CG144*CJ144*VLOOKUP('Données projet'!$B$12,Paramètres!$A$1:$I$89,3,0)*0.475*44/12</f>
        <v>3.6293881603744661E-16</v>
      </c>
      <c r="CN144" s="22">
        <f t="shared" si="120"/>
        <v>0.80418923148480659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-5.1159076974727213E-13</v>
      </c>
      <c r="CU144" s="17">
        <f>CT144*VLOOKUP('Données projet'!$B$13,Paramètres!$A$1:$I$89,3,0)*VLOOKUP('Données projet'!$B$13,Paramètres!$A$1:$I$89,5,0)</f>
        <v>-3.4317508834647017E-13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207.93042467236967</v>
      </c>
      <c r="CZ144" s="59">
        <f t="shared" si="150"/>
        <v>250.70954318710835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0.30536477975387433</v>
      </c>
      <c r="DG144" s="21">
        <f>EXP(-LN(2)/25)*DG143+(1-EXP(-LN(2)/25))/(LN(2)/25)*Calculateur!DB144*Calculateur!DD144*VLOOKUP('Données projet'!$B$13,Paramètres!$A$1:$I$89,3,0)*0.475*44/12</f>
        <v>0.79706556487320301</v>
      </c>
      <c r="DH144" s="21">
        <f>EXP(-LN(2)/2)*DH143+(1-EXP(-LN(2)/2))/(LN(2)/2)*DB144*DE144*VLOOKUP('Données projet'!$B$13,Paramètres!$A$1:$I$89,3,0)*0.475*44/12</f>
        <v>3.9778695464575793E-16</v>
      </c>
      <c r="DI144" s="22">
        <f t="shared" si="123"/>
        <v>1.1024303446270778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5.6843418860808015E-14</v>
      </c>
      <c r="DP144" s="17">
        <f>DO144*VLOOKUP('Données projet'!$B$14,Paramètres!$A$1:$I$89,3,0)*VLOOKUP('Données projet'!$B$14,Paramètres!$A$1:$I$89,5,0)</f>
        <v>3.813056537183002E-14</v>
      </c>
      <c r="DQ144" s="13">
        <f t="shared" si="151"/>
        <v>6.4086286045526829E-13</v>
      </c>
      <c r="DR144" s="20">
        <f t="shared" si="124"/>
        <v>1.1825802166488628E-12</v>
      </c>
      <c r="DS144" s="59">
        <f t="shared" si="125"/>
        <v>293.33333333333451</v>
      </c>
      <c r="DT144" s="59">
        <f ca="1">AVERAGE(OFFSET($DS$3,0,0,'Données projet'!$E$14+1,1))-AVERAGE(OFFSET($H$3,0,0,'Données projet'!$E$14+1,1))</f>
        <v>156.63226020379989</v>
      </c>
      <c r="DU144" s="59">
        <f t="shared" si="152"/>
        <v>196.0481096619543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0.39943299868397775</v>
      </c>
      <c r="EC144" s="21">
        <f>EXP(-LN(2)/2)*EC143+(1-EXP(-LN(2)/2))/(LN(2)/2)*DW144*DZ144*VLOOKUP('Données projet'!$B$14,Paramètres!$A$1:$I$89,3,0)*0.475*44/12</f>
        <v>1.7807735100633476E-16</v>
      </c>
      <c r="ED144" s="22">
        <f t="shared" si="126"/>
        <v>0.39943299868397791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5.1063034188034209</v>
      </c>
      <c r="EJ144" s="12">
        <f>IF('Données projet'!$A$192&gt;35,EJ143+EI144-ER143,IF(A144&lt;'Données projet'!$A$192,$EG$205^A144,IF(A144='Données projet'!$A$192,'Données projet'!$B$192,EJ143+EI144-ER143)))</f>
        <v>262.33547008546969</v>
      </c>
      <c r="EK144" s="17">
        <f>EJ144*VLOOKUP('Données projet'!$B$15,Paramètres!$A$1:$I$89,3,0)*VLOOKUP('Données projet'!$B$15,Paramètres!$A$1:$I$89,5,0)</f>
        <v>266.00816666666628</v>
      </c>
      <c r="EL144" s="13">
        <f t="shared" si="153"/>
        <v>64.00136850958036</v>
      </c>
      <c r="EM144" s="20">
        <f t="shared" si="127"/>
        <v>574.76660709862961</v>
      </c>
      <c r="EN144" s="59">
        <f t="shared" si="128"/>
        <v>868.09994043196298</v>
      </c>
      <c r="EO144" s="59">
        <f ca="1">AVERAGE(OFFSET($EN$3,0,0,'Données projet'!$E$15+1,1))-AVERAGE(OFFSET($H$3,0,0,'Données projet'!$E$15+1,1))</f>
        <v>190.21499310415584</v>
      </c>
      <c r="EP144" s="59">
        <f t="shared" si="154"/>
        <v>136.15730566500173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0.8875000000000014</v>
      </c>
      <c r="FE144" s="12">
        <f>IF('Données projet'!$A$218&gt;35,FE143+FD144-FM143,IF(A144&lt;'Données projet'!$A$218,$FB$205^A144,IF(A144='Données projet'!$A$218,'Données projet'!$B$218,FE143+FD144-FM143)))</f>
        <v>88.304166666666717</v>
      </c>
      <c r="FF144" s="17">
        <f>FE144*VLOOKUP('Données projet'!$B$16,Paramètres!$A$1:$I$89,3,0)*VLOOKUP('Données projet'!$B$16,Paramètres!$A$1:$I$89,5,0)</f>
        <v>101.72640000000006</v>
      </c>
      <c r="FG144" s="13">
        <f t="shared" si="155"/>
        <v>27.372877922104351</v>
      </c>
      <c r="FH144" s="20">
        <f t="shared" si="130"/>
        <v>224.84790904766518</v>
      </c>
      <c r="FI144" s="59">
        <f t="shared" si="131"/>
        <v>518.18124238099847</v>
      </c>
      <c r="FJ144" s="59">
        <f ca="1">AVERAGE(OFFSET($FI$3,0,0,'Données projet'!$E$16+1,1))-AVERAGE(OFFSET($H$3,0,0,'Données projet'!$E$16+1,1))</f>
        <v>14.847345852478327</v>
      </c>
      <c r="FK144" s="59">
        <f t="shared" si="156"/>
        <v>46.764428272166299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8.1765438840909407E-2</v>
      </c>
      <c r="FS144" s="21">
        <f>EXP(-LN(2)/2)*FS143+(1-EXP(-LN(2)/2))/(LN(2)/2)*FM144*FP144*VLOOKUP('Données projet'!$B$16,Paramètres!$A$1:$I$89,3,0)*0.475*44/12</f>
        <v>3.8722316831127161E-17</v>
      </c>
      <c r="FT144" s="22">
        <f t="shared" si="132"/>
        <v>8.1765438840909449E-2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4.1145540308207271E-13</v>
      </c>
      <c r="P145" s="13">
        <f t="shared" si="141"/>
        <v>5.2428527960910789E-12</v>
      </c>
      <c r="Q145" s="20">
        <f t="shared" si="108"/>
        <v>9.8479201135599071E-12</v>
      </c>
      <c r="R145" s="59">
        <f t="shared" si="109"/>
        <v>293.33333333334315</v>
      </c>
      <c r="S145" s="59">
        <f ca="1">AVERAGE(OFFSET($R$3,0,0,'Données projet'!$E$9+1,1))-AVERAGE(OFFSET($H$3,0,0,'Données projet'!$E$9+1,1))</f>
        <v>221.7429870520005</v>
      </c>
      <c r="T145" s="59">
        <f t="shared" si="142"/>
        <v>182.2029938397186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-5.1159076974727213E-13</v>
      </c>
      <c r="AJ145" s="13">
        <f>AI145*VLOOKUP('Données projet'!$B$10,Paramètres!$A$1:$I$89,3,0)*VLOOKUP('Données projet'!$B$10,Paramètres!$A$1:$I$89,5,0)</f>
        <v>-4.0702161641092972E-13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260.20517190557814</v>
      </c>
      <c r="AO145" s="59">
        <f t="shared" si="144"/>
        <v>307.22009971147133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0.35507476503554219</v>
      </c>
      <c r="AV145" s="21">
        <f>EXP(-LN(2)/25)*AV144+(1-EXP(-LN(2)/25))/(LN(2)/25)*Calculateur!AQ145*Calculateur!AS145*VLOOKUP('Données projet'!$B$10,Paramètres!$A$1:$I$89,3,0)*0.475*44/12</f>
        <v>0.91950600045070396</v>
      </c>
      <c r="AW145" s="21">
        <f>EXP(-LN(2)/2)*AW144+(1-EXP(-LN(2)/2))/(LN(2)/2)*AQ145*AT145*VLOOKUP('Données projet'!$B$10,Paramètres!$A$1:$I$89,3,0)*0.475*44/12</f>
        <v>3.3360861646454918E-16</v>
      </c>
      <c r="AX145" s="21">
        <f t="shared" si="114"/>
        <v>1.2745807654862467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553.99999999999955</v>
      </c>
      <c r="BE145" s="13">
        <f>BD145*VLOOKUP('Données projet'!$B$11,Paramètres!$A$1:$I$89,3,0)*VLOOKUP('Données projet'!$B$11,Paramètres!$A$1:$I$89,5,0)</f>
        <v>331.29199999999975</v>
      </c>
      <c r="BF145" s="13">
        <f t="shared" si="145"/>
        <v>77.698110787752</v>
      </c>
      <c r="BG145" s="20">
        <f t="shared" si="115"/>
        <v>712.32444295533423</v>
      </c>
      <c r="BH145" s="59">
        <f t="shared" si="116"/>
        <v>1005.6577762886675</v>
      </c>
      <c r="BI145" s="59">
        <f ca="1">AVERAGE(OFFSET($BH$3,0,0,'Données projet'!$E$11+1,1))-AVERAGE(OFFSET($H$3,0,0,'Données projet'!$E$11+1,1))</f>
        <v>316.58509520829671</v>
      </c>
      <c r="BJ145" s="59">
        <f t="shared" si="146"/>
        <v>240.71332110643596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0.27580644901048385</v>
      </c>
      <c r="BQ145" s="21">
        <f>EXP(-LN(2)/25)*BQ144+(1-EXP(-LN(2)/25))/(LN(2)/25)*Calculateur!BL145*Calculateur!BN145*VLOOKUP('Données projet'!$B$11,Paramètres!$A$1:$I$89,3,0)*0.475*44/12</f>
        <v>0.68417261397872076</v>
      </c>
      <c r="BR145" s="21">
        <f>EXP(-LN(2)/2)*BR144+(1-EXP(-LN(2)/2))/(LN(2)/2)*BL145*BO145*VLOOKUP('Données projet'!$B$11,Paramètres!$A$1:$I$89,3,0)*0.475*44/12</f>
        <v>3.0446954777026042E-16</v>
      </c>
      <c r="BS145" s="22">
        <f t="shared" si="117"/>
        <v>0.95997906298920499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497</v>
      </c>
      <c r="BZ145" s="13">
        <f>BY145*VLOOKUP('Données projet'!$B$12,Paramètres!$A$1:$I$89,3,0)*VLOOKUP('Données projet'!$B$12,Paramètres!$A$1:$I$89,5,0)</f>
        <v>297.20600000000002</v>
      </c>
      <c r="CA145" s="13">
        <f t="shared" si="147"/>
        <v>70.590415164571112</v>
      </c>
      <c r="CB145" s="20">
        <f t="shared" si="118"/>
        <v>640.57875641162809</v>
      </c>
      <c r="CC145" s="59">
        <f t="shared" si="119"/>
        <v>933.91208974496135</v>
      </c>
      <c r="CD145" s="59">
        <f ca="1">AVERAGE(OFFSET($CC$3,0,0,'Données projet'!$E$12+1,1))-AVERAGE(OFFSET($H$3,0,0,'Données projet'!$E$12+1,1))</f>
        <v>270.30888762640245</v>
      </c>
      <c r="CE145" s="59">
        <f t="shared" si="148"/>
        <v>202.23783851977691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0.23307587240322553</v>
      </c>
      <c r="CL145" s="21">
        <f>EXP(-LN(2)/25)*CL144+(1-EXP(-LN(2)/25))/(LN(2)/25)*Calculateur!CG145*Calculateur!CI145*VLOOKUP('Données projet'!$B$12,Paramètres!$A$1:$I$89,3,0)*0.475*44/12</f>
        <v>0.55096182137599092</v>
      </c>
      <c r="CM145" s="21">
        <f>EXP(-LN(2)/2)*CM144+(1-EXP(-LN(2)/2))/(LN(2)/2)*CG145*CJ145*VLOOKUP('Données projet'!$B$12,Paramètres!$A$1:$I$89,3,0)*0.475*44/12</f>
        <v>2.5663649797589538E-16</v>
      </c>
      <c r="CN145" s="22">
        <f t="shared" si="120"/>
        <v>0.78403769377921662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-5.1159076974727213E-13</v>
      </c>
      <c r="CU145" s="17">
        <f>CT145*VLOOKUP('Données projet'!$B$13,Paramètres!$A$1:$I$89,3,0)*VLOOKUP('Données projet'!$B$13,Paramètres!$A$1:$I$89,5,0)</f>
        <v>-3.4317508834647017E-13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207.93042467236967</v>
      </c>
      <c r="CZ145" s="59">
        <f t="shared" si="150"/>
        <v>250.70954318710835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0.29937676267702545</v>
      </c>
      <c r="DG145" s="21">
        <f>EXP(-LN(2)/25)*DG144+(1-EXP(-LN(2)/25))/(LN(2)/25)*Calculateur!DB145*Calculateur!DD145*VLOOKUP('Données projet'!$B$13,Paramètres!$A$1:$I$89,3,0)*0.475*44/12</f>
        <v>0.77526976508588896</v>
      </c>
      <c r="DH145" s="21">
        <f>EXP(-LN(2)/2)*DH144+(1-EXP(-LN(2)/2))/(LN(2)/2)*DB145*DE145*VLOOKUP('Données projet'!$B$13,Paramètres!$A$1:$I$89,3,0)*0.475*44/12</f>
        <v>2.8127785309756105E-16</v>
      </c>
      <c r="DI145" s="22">
        <f t="shared" si="123"/>
        <v>1.0746465277629147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5.6843418860808015E-14</v>
      </c>
      <c r="DP145" s="17">
        <f>DO145*VLOOKUP('Données projet'!$B$14,Paramètres!$A$1:$I$89,3,0)*VLOOKUP('Données projet'!$B$14,Paramètres!$A$1:$I$89,5,0)</f>
        <v>3.813056537183002E-14</v>
      </c>
      <c r="DQ145" s="13">
        <f t="shared" si="151"/>
        <v>6.4086286045526829E-13</v>
      </c>
      <c r="DR145" s="20">
        <f t="shared" si="124"/>
        <v>1.1825802166488628E-12</v>
      </c>
      <c r="DS145" s="59">
        <f t="shared" si="125"/>
        <v>293.33333333333451</v>
      </c>
      <c r="DT145" s="59">
        <f ca="1">AVERAGE(OFFSET($DS$3,0,0,'Données projet'!$E$14+1,1))-AVERAGE(OFFSET($H$3,0,0,'Données projet'!$E$14+1,1))</f>
        <v>156.63226020379989</v>
      </c>
      <c r="DU145" s="59">
        <f t="shared" si="152"/>
        <v>196.0481096619543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0.38851048232969587</v>
      </c>
      <c r="EC145" s="21">
        <f>EXP(-LN(2)/2)*EC144+(1-EXP(-LN(2)/2))/(LN(2)/2)*DW145*DZ145*VLOOKUP('Données projet'!$B$14,Paramètres!$A$1:$I$89,3,0)*0.475*44/12</f>
        <v>1.2591970247231637E-16</v>
      </c>
      <c r="ED145" s="22">
        <f t="shared" si="126"/>
        <v>0.38851048232969598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5.1063034188034209</v>
      </c>
      <c r="EJ145" s="12">
        <f>IF('Données projet'!$A$192&gt;35,EJ144+EI145-ER144,IF(A145&lt;'Données projet'!$A$192,$EG$205^A145,IF(A145='Données projet'!$A$192,'Données projet'!$B$192,EJ144+EI145-ER144)))</f>
        <v>267.4417735042731</v>
      </c>
      <c r="EK145" s="17">
        <f>EJ145*VLOOKUP('Données projet'!$B$15,Paramètres!$A$1:$I$89,3,0)*VLOOKUP('Données projet'!$B$15,Paramètres!$A$1:$I$89,5,0)</f>
        <v>271.18595833333296</v>
      </c>
      <c r="EL145" s="13">
        <f t="shared" si="153"/>
        <v>65.100895340597489</v>
      </c>
      <c r="EM145" s="20">
        <f t="shared" si="127"/>
        <v>585.69960348209554</v>
      </c>
      <c r="EN145" s="59">
        <f t="shared" si="128"/>
        <v>879.03293681542891</v>
      </c>
      <c r="EO145" s="59">
        <f ca="1">AVERAGE(OFFSET($EN$3,0,0,'Données projet'!$E$15+1,1))-AVERAGE(OFFSET($H$3,0,0,'Données projet'!$E$15+1,1))</f>
        <v>190.21499310415584</v>
      </c>
      <c r="EP145" s="59">
        <f t="shared" si="154"/>
        <v>136.15730566500173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0.8875000000000014</v>
      </c>
      <c r="FE145" s="12">
        <f>IF('Données projet'!$A$218&gt;35,FE144+FD145-FM144,IF(A145&lt;'Données projet'!$A$218,$FB$205^A145,IF(A145='Données projet'!$A$218,'Données projet'!$B$218,FE144+FD145-FM144)))</f>
        <v>89.19166666666672</v>
      </c>
      <c r="FF145" s="17">
        <f>FE145*VLOOKUP('Données projet'!$B$16,Paramètres!$A$1:$I$89,3,0)*VLOOKUP('Données projet'!$B$16,Paramètres!$A$1:$I$89,5,0)</f>
        <v>102.74880000000006</v>
      </c>
      <c r="FG145" s="13">
        <f t="shared" si="155"/>
        <v>27.615824154740981</v>
      </c>
      <c r="FH145" s="20">
        <f t="shared" si="130"/>
        <v>227.05172040284063</v>
      </c>
      <c r="FI145" s="59">
        <f t="shared" si="131"/>
        <v>520.38505373617397</v>
      </c>
      <c r="FJ145" s="59">
        <f ca="1">AVERAGE(OFFSET($FI$3,0,0,'Données projet'!$E$16+1,1))-AVERAGE(OFFSET($H$3,0,0,'Données projet'!$E$16+1,1))</f>
        <v>14.847345852478327</v>
      </c>
      <c r="FK145" s="59">
        <f t="shared" si="156"/>
        <v>46.764428272166299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7.9529558615947182E-2</v>
      </c>
      <c r="FS145" s="21">
        <f>EXP(-LN(2)/2)*FS144+(1-EXP(-LN(2)/2))/(LN(2)/2)*FM145*FP145*VLOOKUP('Données projet'!$B$16,Paramètres!$A$1:$I$89,3,0)*0.475*44/12</f>
        <v>2.7380812814544002E-17</v>
      </c>
      <c r="FT145" s="22">
        <f t="shared" si="132"/>
        <v>7.952955861594721E-2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4.1145540308207271E-13</v>
      </c>
      <c r="P146" s="13">
        <f t="shared" si="141"/>
        <v>5.2428527960910789E-12</v>
      </c>
      <c r="Q146" s="20">
        <f t="shared" si="108"/>
        <v>9.8479201135599071E-12</v>
      </c>
      <c r="R146" s="59">
        <f t="shared" si="109"/>
        <v>293.33333333334315</v>
      </c>
      <c r="S146" s="59">
        <f ca="1">AVERAGE(OFFSET($R$3,0,0,'Données projet'!$E$9+1,1))-AVERAGE(OFFSET($H$3,0,0,'Données projet'!$E$9+1,1))</f>
        <v>221.7429870520005</v>
      </c>
      <c r="T146" s="59">
        <f t="shared" si="142"/>
        <v>182.2029938397186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-5.1159076974727213E-13</v>
      </c>
      <c r="AJ146" s="13">
        <f>AI146*VLOOKUP('Données projet'!$B$10,Paramètres!$A$1:$I$89,3,0)*VLOOKUP('Données projet'!$B$10,Paramètres!$A$1:$I$89,5,0)</f>
        <v>-4.0702161641092972E-13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260.20517190557814</v>
      </c>
      <c r="AO146" s="59">
        <f t="shared" si="144"/>
        <v>307.22009971147133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0.34811196546741696</v>
      </c>
      <c r="AV146" s="21">
        <f>EXP(-LN(2)/25)*AV145+(1-EXP(-LN(2)/25))/(LN(2)/25)*Calculateur!AQ146*Calculateur!AS146*VLOOKUP('Données projet'!$B$10,Paramètres!$A$1:$I$89,3,0)*0.475*44/12</f>
        <v>0.89436206051366041</v>
      </c>
      <c r="AW146" s="21">
        <f>EXP(-LN(2)/2)*AW145+(1-EXP(-LN(2)/2))/(LN(2)/2)*AQ146*AT146*VLOOKUP('Données projet'!$B$10,Paramètres!$A$1:$I$89,3,0)*0.475*44/12</f>
        <v>2.3589691496434483E-16</v>
      </c>
      <c r="AX146" s="21">
        <f t="shared" si="114"/>
        <v>1.2424740259810776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553.99999999999955</v>
      </c>
      <c r="BE146" s="13">
        <f>BD146*VLOOKUP('Données projet'!$B$11,Paramètres!$A$1:$I$89,3,0)*VLOOKUP('Données projet'!$B$11,Paramètres!$A$1:$I$89,5,0)</f>
        <v>331.29199999999975</v>
      </c>
      <c r="BF146" s="13">
        <f t="shared" si="145"/>
        <v>77.698110787752</v>
      </c>
      <c r="BG146" s="20">
        <f t="shared" si="115"/>
        <v>712.32444295533423</v>
      </c>
      <c r="BH146" s="59">
        <f t="shared" si="116"/>
        <v>1005.6577762886675</v>
      </c>
      <c r="BI146" s="59">
        <f ca="1">AVERAGE(OFFSET($BH$3,0,0,'Données projet'!$E$11+1,1))-AVERAGE(OFFSET($H$3,0,0,'Données projet'!$E$11+1,1))</f>
        <v>316.58509520829671</v>
      </c>
      <c r="BJ146" s="59">
        <f t="shared" si="146"/>
        <v>240.71332110643596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0.27039805277071127</v>
      </c>
      <c r="BQ146" s="21">
        <f>EXP(-LN(2)/25)*BQ145+(1-EXP(-LN(2)/25))/(LN(2)/25)*Calculateur!BL146*Calculateur!BN146*VLOOKUP('Données projet'!$B$11,Paramètres!$A$1:$I$89,3,0)*0.475*44/12</f>
        <v>0.66546387787039851</v>
      </c>
      <c r="BR146" s="21">
        <f>EXP(-LN(2)/2)*BR145+(1-EXP(-LN(2)/2))/(LN(2)/2)*BL146*BO146*VLOOKUP('Données projet'!$B$11,Paramètres!$A$1:$I$89,3,0)*0.475*44/12</f>
        <v>2.1529248189315262E-16</v>
      </c>
      <c r="BS146" s="22">
        <f t="shared" si="117"/>
        <v>0.93586193064111001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497</v>
      </c>
      <c r="BZ146" s="13">
        <f>BY146*VLOOKUP('Données projet'!$B$12,Paramètres!$A$1:$I$89,3,0)*VLOOKUP('Données projet'!$B$12,Paramètres!$A$1:$I$89,5,0)</f>
        <v>297.20600000000002</v>
      </c>
      <c r="CA146" s="13">
        <f t="shared" si="147"/>
        <v>70.590415164571112</v>
      </c>
      <c r="CB146" s="20">
        <f t="shared" si="118"/>
        <v>640.57875641162809</v>
      </c>
      <c r="CC146" s="59">
        <f t="shared" si="119"/>
        <v>933.91208974496135</v>
      </c>
      <c r="CD146" s="59">
        <f ca="1">AVERAGE(OFFSET($CC$3,0,0,'Données projet'!$E$12+1,1))-AVERAGE(OFFSET($H$3,0,0,'Données projet'!$E$12+1,1))</f>
        <v>270.30888762640245</v>
      </c>
      <c r="CE146" s="59">
        <f t="shared" si="148"/>
        <v>202.23783851977691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0.22850539670764308</v>
      </c>
      <c r="CL146" s="21">
        <f>EXP(-LN(2)/25)*CL145+(1-EXP(-LN(2)/25))/(LN(2)/25)*Calculateur!CG146*Calculateur!CI146*VLOOKUP('Données projet'!$B$12,Paramètres!$A$1:$I$89,3,0)*0.475*44/12</f>
        <v>0.53589574139664153</v>
      </c>
      <c r="CM146" s="21">
        <f>EXP(-LN(2)/2)*CM145+(1-EXP(-LN(2)/2))/(LN(2)/2)*CG146*CJ146*VLOOKUP('Données projet'!$B$12,Paramètres!$A$1:$I$89,3,0)*0.475*44/12</f>
        <v>1.814694080187233E-16</v>
      </c>
      <c r="CN146" s="22">
        <f t="shared" si="120"/>
        <v>0.76440113810428478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-5.1159076974727213E-13</v>
      </c>
      <c r="CU146" s="17">
        <f>CT146*VLOOKUP('Données projet'!$B$13,Paramètres!$A$1:$I$89,3,0)*VLOOKUP('Données projet'!$B$13,Paramètres!$A$1:$I$89,5,0)</f>
        <v>-3.4317508834647017E-13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207.93042467236967</v>
      </c>
      <c r="CZ146" s="59">
        <f t="shared" si="150"/>
        <v>250.70954318710835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0.2935061669627238</v>
      </c>
      <c r="DG146" s="21">
        <f>EXP(-LN(2)/25)*DG145+(1-EXP(-LN(2)/25))/(LN(2)/25)*Calculateur!DB146*Calculateur!DD146*VLOOKUP('Données projet'!$B$13,Paramètres!$A$1:$I$89,3,0)*0.475*44/12</f>
        <v>0.75406997258995023</v>
      </c>
      <c r="DH146" s="21">
        <f>EXP(-LN(2)/2)*DH145+(1-EXP(-LN(2)/2))/(LN(2)/2)*DB146*DE146*VLOOKUP('Données projet'!$B$13,Paramètres!$A$1:$I$89,3,0)*0.475*44/12</f>
        <v>1.9889347732287896E-16</v>
      </c>
      <c r="DI146" s="22">
        <f t="shared" si="123"/>
        <v>1.0475761395526744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5.6843418860808015E-14</v>
      </c>
      <c r="DP146" s="17">
        <f>DO146*VLOOKUP('Données projet'!$B$14,Paramètres!$A$1:$I$89,3,0)*VLOOKUP('Données projet'!$B$14,Paramètres!$A$1:$I$89,5,0)</f>
        <v>3.813056537183002E-14</v>
      </c>
      <c r="DQ146" s="13">
        <f t="shared" si="151"/>
        <v>6.4086286045526829E-13</v>
      </c>
      <c r="DR146" s="20">
        <f t="shared" si="124"/>
        <v>1.1825802166488628E-12</v>
      </c>
      <c r="DS146" s="59">
        <f t="shared" si="125"/>
        <v>293.33333333333451</v>
      </c>
      <c r="DT146" s="59">
        <f ca="1">AVERAGE(OFFSET($DS$3,0,0,'Données projet'!$E$14+1,1))-AVERAGE(OFFSET($H$3,0,0,'Données projet'!$E$14+1,1))</f>
        <v>156.63226020379989</v>
      </c>
      <c r="DU146" s="59">
        <f t="shared" si="152"/>
        <v>196.0481096619543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0.377886642759512</v>
      </c>
      <c r="EC146" s="21">
        <f>EXP(-LN(2)/2)*EC145+(1-EXP(-LN(2)/2))/(LN(2)/2)*DW146*DZ146*VLOOKUP('Données projet'!$B$14,Paramètres!$A$1:$I$89,3,0)*0.475*44/12</f>
        <v>8.9038675503167378E-17</v>
      </c>
      <c r="ED146" s="22">
        <f t="shared" si="126"/>
        <v>0.37788664275951211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5.1063034188034209</v>
      </c>
      <c r="EJ146" s="12">
        <f>IF('Données projet'!$A$192&gt;35,EJ145+EI146-ER145,IF(A146&lt;'Données projet'!$A$192,$EG$205^A146,IF(A146='Données projet'!$A$192,'Données projet'!$B$192,EJ145+EI146-ER145)))</f>
        <v>272.54807692307651</v>
      </c>
      <c r="EK146" s="17">
        <f>EJ146*VLOOKUP('Données projet'!$B$15,Paramètres!$A$1:$I$89,3,0)*VLOOKUP('Données projet'!$B$15,Paramètres!$A$1:$I$89,5,0)</f>
        <v>276.36374999999958</v>
      </c>
      <c r="EL146" s="13">
        <f t="shared" si="153"/>
        <v>66.19798109408589</v>
      </c>
      <c r="EM146" s="20">
        <f t="shared" si="127"/>
        <v>596.6283483221988</v>
      </c>
      <c r="EN146" s="59">
        <f t="shared" si="128"/>
        <v>889.96168165553217</v>
      </c>
      <c r="EO146" s="59">
        <f ca="1">AVERAGE(OFFSET($EN$3,0,0,'Données projet'!$E$15+1,1))-AVERAGE(OFFSET($H$3,0,0,'Données projet'!$E$15+1,1))</f>
        <v>190.21499310415584</v>
      </c>
      <c r="EP146" s="59">
        <f t="shared" si="154"/>
        <v>136.15730566500173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0.8875000000000014</v>
      </c>
      <c r="FE146" s="12">
        <f>IF('Données projet'!$A$218&gt;35,FE145+FD146-FM145,IF(A146&lt;'Données projet'!$A$218,$FB$205^A146,IF(A146='Données projet'!$A$218,'Données projet'!$B$218,FE145+FD146-FM145)))</f>
        <v>90.079166666666723</v>
      </c>
      <c r="FF146" s="17">
        <f>FE146*VLOOKUP('Données projet'!$B$16,Paramètres!$A$1:$I$89,3,0)*VLOOKUP('Données projet'!$B$16,Paramètres!$A$1:$I$89,5,0)</f>
        <v>103.77120000000006</v>
      </c>
      <c r="FG146" s="13">
        <f t="shared" si="155"/>
        <v>27.858489156289131</v>
      </c>
      <c r="FH146" s="20">
        <f t="shared" si="130"/>
        <v>229.25504194720369</v>
      </c>
      <c r="FI146" s="59">
        <f t="shared" si="131"/>
        <v>522.58837528053698</v>
      </c>
      <c r="FJ146" s="59">
        <f ca="1">AVERAGE(OFFSET($FI$3,0,0,'Données projet'!$E$16+1,1))-AVERAGE(OFFSET($H$3,0,0,'Données projet'!$E$16+1,1))</f>
        <v>14.847345852478327</v>
      </c>
      <c r="FK146" s="59">
        <f t="shared" si="156"/>
        <v>46.764428272166299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7.7354818653316393E-2</v>
      </c>
      <c r="FS146" s="21">
        <f>EXP(-LN(2)/2)*FS145+(1-EXP(-LN(2)/2))/(LN(2)/2)*FM146*FP146*VLOOKUP('Données projet'!$B$16,Paramètres!$A$1:$I$89,3,0)*0.475*44/12</f>
        <v>1.9361158415563584E-17</v>
      </c>
      <c r="FT146" s="22">
        <f t="shared" si="132"/>
        <v>7.7354818653316407E-2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4.1145540308207271E-13</v>
      </c>
      <c r="P147" s="13">
        <f t="shared" si="141"/>
        <v>5.2428527960910789E-12</v>
      </c>
      <c r="Q147" s="20">
        <f t="shared" si="108"/>
        <v>9.8479201135599071E-12</v>
      </c>
      <c r="R147" s="59">
        <f t="shared" si="109"/>
        <v>293.33333333334315</v>
      </c>
      <c r="S147" s="59">
        <f ca="1">AVERAGE(OFFSET($R$3,0,0,'Données projet'!$E$9+1,1))-AVERAGE(OFFSET($H$3,0,0,'Données projet'!$E$9+1,1))</f>
        <v>221.7429870520005</v>
      </c>
      <c r="T147" s="59">
        <f t="shared" si="142"/>
        <v>182.2029938397186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-5.1159076974727213E-13</v>
      </c>
      <c r="AJ147" s="13">
        <f>AI147*VLOOKUP('Données projet'!$B$10,Paramètres!$A$1:$I$89,3,0)*VLOOKUP('Données projet'!$B$10,Paramètres!$A$1:$I$89,5,0)</f>
        <v>-4.0702161641092972E-13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260.20517190557814</v>
      </c>
      <c r="AO147" s="59">
        <f t="shared" si="144"/>
        <v>307.22009971147133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0.34128570215193427</v>
      </c>
      <c r="AV147" s="21">
        <f>EXP(-LN(2)/25)*AV146+(1-EXP(-LN(2)/25))/(LN(2)/25)*Calculateur!AQ147*Calculateur!AS147*VLOOKUP('Données projet'!$B$10,Paramètres!$A$1:$I$89,3,0)*0.475*44/12</f>
        <v>0.86990568293645765</v>
      </c>
      <c r="AW147" s="21">
        <f>EXP(-LN(2)/2)*AW146+(1-EXP(-LN(2)/2))/(LN(2)/2)*AQ147*AT147*VLOOKUP('Données projet'!$B$10,Paramètres!$A$1:$I$89,3,0)*0.475*44/12</f>
        <v>1.6680430823227459E-16</v>
      </c>
      <c r="AX147" s="21">
        <f t="shared" si="114"/>
        <v>1.2111913850883922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553.99999999999955</v>
      </c>
      <c r="BE147" s="13">
        <f>BD147*VLOOKUP('Données projet'!$B$11,Paramètres!$A$1:$I$89,3,0)*VLOOKUP('Données projet'!$B$11,Paramètres!$A$1:$I$89,5,0)</f>
        <v>331.29199999999975</v>
      </c>
      <c r="BF147" s="13">
        <f t="shared" si="145"/>
        <v>77.698110787752</v>
      </c>
      <c r="BG147" s="20">
        <f t="shared" si="115"/>
        <v>712.32444295533423</v>
      </c>
      <c r="BH147" s="59">
        <f t="shared" si="116"/>
        <v>1005.6577762886675</v>
      </c>
      <c r="BI147" s="59">
        <f ca="1">AVERAGE(OFFSET($BH$3,0,0,'Données projet'!$E$11+1,1))-AVERAGE(OFFSET($H$3,0,0,'Données projet'!$E$11+1,1))</f>
        <v>316.58509520829671</v>
      </c>
      <c r="BJ147" s="59">
        <f t="shared" si="146"/>
        <v>240.71332110643596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0.26509571188240466</v>
      </c>
      <c r="BQ147" s="21">
        <f>EXP(-LN(2)/25)*BQ146+(1-EXP(-LN(2)/25))/(LN(2)/25)*Calculateur!BL147*Calculateur!BN147*VLOOKUP('Données projet'!$B$11,Paramètres!$A$1:$I$89,3,0)*0.475*44/12</f>
        <v>0.64726673313480809</v>
      </c>
      <c r="BR147" s="21">
        <f>EXP(-LN(2)/2)*BR146+(1-EXP(-LN(2)/2))/(LN(2)/2)*BL147*BO147*VLOOKUP('Données projet'!$B$11,Paramètres!$A$1:$I$89,3,0)*0.475*44/12</f>
        <v>1.5223477388513021E-16</v>
      </c>
      <c r="BS147" s="22">
        <f t="shared" si="117"/>
        <v>0.91236244501721286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497</v>
      </c>
      <c r="BZ147" s="13">
        <f>BY147*VLOOKUP('Données projet'!$B$12,Paramètres!$A$1:$I$89,3,0)*VLOOKUP('Données projet'!$B$12,Paramètres!$A$1:$I$89,5,0)</f>
        <v>297.20600000000002</v>
      </c>
      <c r="CA147" s="13">
        <f t="shared" si="147"/>
        <v>70.590415164571112</v>
      </c>
      <c r="CB147" s="20">
        <f t="shared" si="118"/>
        <v>640.57875641162809</v>
      </c>
      <c r="CC147" s="59">
        <f t="shared" si="119"/>
        <v>933.91208974496135</v>
      </c>
      <c r="CD147" s="59">
        <f ca="1">AVERAGE(OFFSET($CC$3,0,0,'Données projet'!$E$12+1,1))-AVERAGE(OFFSET($H$3,0,0,'Données projet'!$E$12+1,1))</f>
        <v>270.30888762640245</v>
      </c>
      <c r="CE147" s="59">
        <f t="shared" si="148"/>
        <v>202.23783851977691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0.2240245452527361</v>
      </c>
      <c r="CL147" s="21">
        <f>EXP(-LN(2)/25)*CL146+(1-EXP(-LN(2)/25))/(LN(2)/25)*Calculateur!CG147*Calculateur!CI147*VLOOKUP('Données projet'!$B$12,Paramètres!$A$1:$I$89,3,0)*0.475*44/12</f>
        <v>0.52124164416661811</v>
      </c>
      <c r="CM147" s="21">
        <f>EXP(-LN(2)/2)*CM146+(1-EXP(-LN(2)/2))/(LN(2)/2)*CG147*CJ147*VLOOKUP('Données projet'!$B$12,Paramètres!$A$1:$I$89,3,0)*0.475*44/12</f>
        <v>1.2831824898794769E-16</v>
      </c>
      <c r="CN147" s="22">
        <f t="shared" si="120"/>
        <v>0.7452661894193543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-5.1159076974727213E-13</v>
      </c>
      <c r="CU147" s="17">
        <f>CT147*VLOOKUP('Données projet'!$B$13,Paramètres!$A$1:$I$89,3,0)*VLOOKUP('Données projet'!$B$13,Paramètres!$A$1:$I$89,5,0)</f>
        <v>-3.4317508834647017E-13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207.93042467236967</v>
      </c>
      <c r="CZ147" s="59">
        <f t="shared" si="150"/>
        <v>250.70954318710835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0.2877506900496698</v>
      </c>
      <c r="DG147" s="21">
        <f>EXP(-LN(2)/25)*DG146+(1-EXP(-LN(2)/25))/(LN(2)/25)*Calculateur!DB147*Calculateur!DD147*VLOOKUP('Données projet'!$B$13,Paramètres!$A$1:$I$89,3,0)*0.475*44/12</f>
        <v>0.73344988953466161</v>
      </c>
      <c r="DH147" s="21">
        <f>EXP(-LN(2)/2)*DH146+(1-EXP(-LN(2)/2))/(LN(2)/2)*DB147*DE147*VLOOKUP('Données projet'!$B$13,Paramètres!$A$1:$I$89,3,0)*0.475*44/12</f>
        <v>1.4063892654878053E-16</v>
      </c>
      <c r="DI147" s="22">
        <f t="shared" si="123"/>
        <v>1.0212005795843317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5.6843418860808015E-14</v>
      </c>
      <c r="DP147" s="17">
        <f>DO147*VLOOKUP('Données projet'!$B$14,Paramètres!$A$1:$I$89,3,0)*VLOOKUP('Données projet'!$B$14,Paramètres!$A$1:$I$89,5,0)</f>
        <v>3.813056537183002E-14</v>
      </c>
      <c r="DQ147" s="13">
        <f t="shared" si="151"/>
        <v>6.4086286045526829E-13</v>
      </c>
      <c r="DR147" s="20">
        <f t="shared" si="124"/>
        <v>1.1825802166488628E-12</v>
      </c>
      <c r="DS147" s="59">
        <f t="shared" si="125"/>
        <v>293.33333333333451</v>
      </c>
      <c r="DT147" s="59">
        <f ca="1">AVERAGE(OFFSET($DS$3,0,0,'Données projet'!$E$14+1,1))-AVERAGE(OFFSET($H$3,0,0,'Données projet'!$E$14+1,1))</f>
        <v>156.63226020379989</v>
      </c>
      <c r="DU147" s="59">
        <f t="shared" si="152"/>
        <v>196.0481096619543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0.36755331264105828</v>
      </c>
      <c r="EC147" s="21">
        <f>EXP(-LN(2)/2)*EC146+(1-EXP(-LN(2)/2))/(LN(2)/2)*DW147*DZ147*VLOOKUP('Données projet'!$B$14,Paramètres!$A$1:$I$89,3,0)*0.475*44/12</f>
        <v>6.2959851236158184E-17</v>
      </c>
      <c r="ED147" s="22">
        <f t="shared" si="126"/>
        <v>0.36755331264105834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5.1063034188034209</v>
      </c>
      <c r="EJ147" s="12">
        <f>IF('Données projet'!$A$192&gt;35,EJ146+EI147-ER146,IF(A147&lt;'Données projet'!$A$192,$EG$205^A147,IF(A147='Données projet'!$A$192,'Données projet'!$B$192,EJ146+EI147-ER146)))</f>
        <v>277.65438034187991</v>
      </c>
      <c r="EK147" s="17">
        <f>EJ147*VLOOKUP('Données projet'!$B$15,Paramètres!$A$1:$I$89,3,0)*VLOOKUP('Données projet'!$B$15,Paramètres!$A$1:$I$89,5,0)</f>
        <v>281.54154166666626</v>
      </c>
      <c r="EL147" s="13">
        <f t="shared" si="153"/>
        <v>67.292676778560462</v>
      </c>
      <c r="EM147" s="20">
        <f t="shared" si="127"/>
        <v>607.55293045876988</v>
      </c>
      <c r="EN147" s="59">
        <f t="shared" si="128"/>
        <v>900.88626379210314</v>
      </c>
      <c r="EO147" s="59">
        <f ca="1">AVERAGE(OFFSET($EN$3,0,0,'Données projet'!$E$15+1,1))-AVERAGE(OFFSET($H$3,0,0,'Données projet'!$E$15+1,1))</f>
        <v>190.21499310415584</v>
      </c>
      <c r="EP147" s="59">
        <f t="shared" si="154"/>
        <v>136.15730566500173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0.8875000000000014</v>
      </c>
      <c r="FE147" s="12">
        <f>IF('Données projet'!$A$218&gt;35,FE146+FD147-FM146,IF(A147&lt;'Données projet'!$A$218,$FB$205^A147,IF(A147='Données projet'!$A$218,'Données projet'!$B$218,FE146+FD147-FM146)))</f>
        <v>90.966666666666725</v>
      </c>
      <c r="FF147" s="17">
        <f>FE147*VLOOKUP('Données projet'!$B$16,Paramètres!$A$1:$I$89,3,0)*VLOOKUP('Données projet'!$B$16,Paramètres!$A$1:$I$89,5,0)</f>
        <v>104.79360000000007</v>
      </c>
      <c r="FG147" s="13">
        <f t="shared" si="155"/>
        <v>28.100876018412695</v>
      </c>
      <c r="FH147" s="20">
        <f t="shared" si="130"/>
        <v>231.45787906540224</v>
      </c>
      <c r="FI147" s="59">
        <f t="shared" si="131"/>
        <v>524.79121239873552</v>
      </c>
      <c r="FJ147" s="59">
        <f ca="1">AVERAGE(OFFSET($FI$3,0,0,'Données projet'!$E$16+1,1))-AVERAGE(OFFSET($H$3,0,0,'Données projet'!$E$16+1,1))</f>
        <v>14.847345852478327</v>
      </c>
      <c r="FK147" s="59">
        <f t="shared" si="156"/>
        <v>46.764428272166299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7.5239547069328339E-2</v>
      </c>
      <c r="FS147" s="21">
        <f>EXP(-LN(2)/2)*FS146+(1-EXP(-LN(2)/2))/(LN(2)/2)*FM147*FP147*VLOOKUP('Données projet'!$B$16,Paramètres!$A$1:$I$89,3,0)*0.475*44/12</f>
        <v>1.3690406407272003E-17</v>
      </c>
      <c r="FT147" s="22">
        <f t="shared" si="132"/>
        <v>7.5239547069328352E-2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4.1145540308207271E-13</v>
      </c>
      <c r="P148" s="13">
        <f t="shared" si="141"/>
        <v>5.2428527960910789E-12</v>
      </c>
      <c r="Q148" s="20">
        <f t="shared" si="108"/>
        <v>9.8479201135599071E-12</v>
      </c>
      <c r="R148" s="59">
        <f t="shared" si="109"/>
        <v>293.33333333334315</v>
      </c>
      <c r="S148" s="59">
        <f ca="1">AVERAGE(OFFSET($R$3,0,0,'Données projet'!$E$9+1,1))-AVERAGE(OFFSET($H$3,0,0,'Données projet'!$E$9+1,1))</f>
        <v>221.7429870520005</v>
      </c>
      <c r="T148" s="59">
        <f t="shared" si="142"/>
        <v>182.2029938397186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-5.1159076974727213E-13</v>
      </c>
      <c r="AJ148" s="13">
        <f>AI148*VLOOKUP('Données projet'!$B$10,Paramètres!$A$1:$I$89,3,0)*VLOOKUP('Données projet'!$B$10,Paramètres!$A$1:$I$89,5,0)</f>
        <v>-4.0702161641092972E-13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260.20517190557814</v>
      </c>
      <c r="AO148" s="59">
        <f t="shared" si="144"/>
        <v>307.22009971147133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0.33459329769645868</v>
      </c>
      <c r="AV148" s="21">
        <f>EXP(-LN(2)/25)*AV147+(1-EXP(-LN(2)/25))/(LN(2)/25)*Calculateur!AQ148*Calculateur!AS148*VLOOKUP('Données projet'!$B$10,Paramètres!$A$1:$I$89,3,0)*0.475*44/12</f>
        <v>0.84611806629020858</v>
      </c>
      <c r="AW148" s="21">
        <f>EXP(-LN(2)/2)*AW147+(1-EXP(-LN(2)/2))/(LN(2)/2)*AQ148*AT148*VLOOKUP('Données projet'!$B$10,Paramètres!$A$1:$I$89,3,0)*0.475*44/12</f>
        <v>1.1794845748217241E-16</v>
      </c>
      <c r="AX148" s="21">
        <f t="shared" si="114"/>
        <v>1.1807113639866675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553.99999999999955</v>
      </c>
      <c r="BE148" s="13">
        <f>BD148*VLOOKUP('Données projet'!$B$11,Paramètres!$A$1:$I$89,3,0)*VLOOKUP('Données projet'!$B$11,Paramètres!$A$1:$I$89,5,0)</f>
        <v>331.29199999999975</v>
      </c>
      <c r="BF148" s="13">
        <f t="shared" si="145"/>
        <v>77.698110787752</v>
      </c>
      <c r="BG148" s="20">
        <f t="shared" si="115"/>
        <v>712.32444295533423</v>
      </c>
      <c r="BH148" s="59">
        <f t="shared" si="116"/>
        <v>1005.6577762886675</v>
      </c>
      <c r="BI148" s="59">
        <f ca="1">AVERAGE(OFFSET($BH$3,0,0,'Données projet'!$E$11+1,1))-AVERAGE(OFFSET($H$3,0,0,'Données projet'!$E$11+1,1))</f>
        <v>316.58509520829671</v>
      </c>
      <c r="BJ148" s="59">
        <f t="shared" si="146"/>
        <v>240.71332110643596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0.25989734666480918</v>
      </c>
      <c r="BQ148" s="21">
        <f>EXP(-LN(2)/25)*BQ147+(1-EXP(-LN(2)/25))/(LN(2)/25)*Calculateur!BL148*Calculateur!BN148*VLOOKUP('Données projet'!$B$11,Paramètres!$A$1:$I$89,3,0)*0.475*44/12</f>
        <v>0.62956719027895858</v>
      </c>
      <c r="BR148" s="21">
        <f>EXP(-LN(2)/2)*BR147+(1-EXP(-LN(2)/2))/(LN(2)/2)*BL148*BO148*VLOOKUP('Données projet'!$B$11,Paramètres!$A$1:$I$89,3,0)*0.475*44/12</f>
        <v>1.0764624094657631E-16</v>
      </c>
      <c r="BS148" s="22">
        <f t="shared" si="117"/>
        <v>0.88946453694376781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497</v>
      </c>
      <c r="BZ148" s="13">
        <f>BY148*VLOOKUP('Données projet'!$B$12,Paramètres!$A$1:$I$89,3,0)*VLOOKUP('Données projet'!$B$12,Paramètres!$A$1:$I$89,5,0)</f>
        <v>297.20600000000002</v>
      </c>
      <c r="CA148" s="13">
        <f t="shared" si="147"/>
        <v>70.590415164571112</v>
      </c>
      <c r="CB148" s="20">
        <f t="shared" si="118"/>
        <v>640.57875641162809</v>
      </c>
      <c r="CC148" s="59">
        <f t="shared" si="119"/>
        <v>933.91208974496135</v>
      </c>
      <c r="CD148" s="59">
        <f ca="1">AVERAGE(OFFSET($CC$3,0,0,'Données projet'!$E$12+1,1))-AVERAGE(OFFSET($H$3,0,0,'Données projet'!$E$12+1,1))</f>
        <v>270.30888762640245</v>
      </c>
      <c r="CE148" s="59">
        <f t="shared" si="148"/>
        <v>202.23783851977691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0.21963156056181032</v>
      </c>
      <c r="CL148" s="21">
        <f>EXP(-LN(2)/25)*CL147+(1-EXP(-LN(2)/25))/(LN(2)/25)*Calculateur!CG148*Calculateur!CI148*VLOOKUP('Données projet'!$B$12,Paramètres!$A$1:$I$89,3,0)*0.475*44/12</f>
        <v>0.50698826399597519</v>
      </c>
      <c r="CM148" s="21">
        <f>EXP(-LN(2)/2)*CM147+(1-EXP(-LN(2)/2))/(LN(2)/2)*CG148*CJ148*VLOOKUP('Données projet'!$B$12,Paramètres!$A$1:$I$89,3,0)*0.475*44/12</f>
        <v>9.0734704009361652E-17</v>
      </c>
      <c r="CN148" s="22">
        <f t="shared" si="120"/>
        <v>0.72661982455778562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-5.1159076974727213E-13</v>
      </c>
      <c r="CU148" s="17">
        <f>CT148*VLOOKUP('Données projet'!$B$13,Paramètres!$A$1:$I$89,3,0)*VLOOKUP('Données projet'!$B$13,Paramètres!$A$1:$I$89,5,0)</f>
        <v>-3.4317508834647017E-13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207.93042467236967</v>
      </c>
      <c r="CZ148" s="59">
        <f t="shared" si="150"/>
        <v>250.70954318710835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0.28210807452838649</v>
      </c>
      <c r="DG148" s="21">
        <f>EXP(-LN(2)/25)*DG147+(1-EXP(-LN(2)/25))/(LN(2)/25)*Calculateur!DB148*Calculateur!DD148*VLOOKUP('Données projet'!$B$13,Paramètres!$A$1:$I$89,3,0)*0.475*44/12</f>
        <v>0.71339366373488289</v>
      </c>
      <c r="DH148" s="21">
        <f>EXP(-LN(2)/2)*DH147+(1-EXP(-LN(2)/2))/(LN(2)/2)*DB148*DE148*VLOOKUP('Données projet'!$B$13,Paramètres!$A$1:$I$89,3,0)*0.475*44/12</f>
        <v>9.9446738661439481E-17</v>
      </c>
      <c r="DI148" s="22">
        <f t="shared" si="123"/>
        <v>0.99550173826326949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5.6843418860808015E-14</v>
      </c>
      <c r="DP148" s="17">
        <f>DO148*VLOOKUP('Données projet'!$B$14,Paramètres!$A$1:$I$89,3,0)*VLOOKUP('Données projet'!$B$14,Paramètres!$A$1:$I$89,5,0)</f>
        <v>3.813056537183002E-14</v>
      </c>
      <c r="DQ148" s="13">
        <f t="shared" si="151"/>
        <v>6.4086286045526829E-13</v>
      </c>
      <c r="DR148" s="20">
        <f t="shared" si="124"/>
        <v>1.1825802166488628E-12</v>
      </c>
      <c r="DS148" s="59">
        <f t="shared" si="125"/>
        <v>293.33333333333451</v>
      </c>
      <c r="DT148" s="59">
        <f ca="1">AVERAGE(OFFSET($DS$3,0,0,'Données projet'!$E$14+1,1))-AVERAGE(OFFSET($H$3,0,0,'Données projet'!$E$14+1,1))</f>
        <v>156.63226020379989</v>
      </c>
      <c r="DU148" s="59">
        <f t="shared" si="152"/>
        <v>196.0481096619543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0.35750254797809988</v>
      </c>
      <c r="EC148" s="21">
        <f>EXP(-LN(2)/2)*EC147+(1-EXP(-LN(2)/2))/(LN(2)/2)*DW148*DZ148*VLOOKUP('Données projet'!$B$14,Paramètres!$A$1:$I$89,3,0)*0.475*44/12</f>
        <v>4.4519337751583689E-17</v>
      </c>
      <c r="ED148" s="22">
        <f t="shared" si="126"/>
        <v>0.35750254797809994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5.1063034188034209</v>
      </c>
      <c r="EJ148" s="12">
        <f>IF('Données projet'!$A$192&gt;35,EJ147+EI148-ER147,IF(A148&lt;'Données projet'!$A$192,$EG$205^A148,IF(A148='Données projet'!$A$192,'Données projet'!$B$192,EJ147+EI148-ER147)))</f>
        <v>282.76068376068332</v>
      </c>
      <c r="EK148" s="17">
        <f>EJ148*VLOOKUP('Données projet'!$B$15,Paramètres!$A$1:$I$89,3,0)*VLOOKUP('Données projet'!$B$15,Paramètres!$A$1:$I$89,5,0)</f>
        <v>286.71933333333288</v>
      </c>
      <c r="EL148" s="13">
        <f t="shared" si="153"/>
        <v>68.38503141894958</v>
      </c>
      <c r="EM148" s="20">
        <f t="shared" si="127"/>
        <v>618.47343527689191</v>
      </c>
      <c r="EN148" s="59">
        <f t="shared" si="128"/>
        <v>911.80676861022516</v>
      </c>
      <c r="EO148" s="59">
        <f ca="1">AVERAGE(OFFSET($EN$3,0,0,'Données projet'!$E$15+1,1))-AVERAGE(OFFSET($H$3,0,0,'Données projet'!$E$15+1,1))</f>
        <v>190.21499310415584</v>
      </c>
      <c r="EP148" s="59">
        <f t="shared" si="154"/>
        <v>136.15730566500173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0.8875000000000014</v>
      </c>
      <c r="FE148" s="12">
        <f>IF('Données projet'!$A$218&gt;35,FE147+FD148-FM147,IF(A148&lt;'Données projet'!$A$218,$FB$205^A148,IF(A148='Données projet'!$A$218,'Données projet'!$B$218,FE147+FD148-FM147)))</f>
        <v>91.854166666666728</v>
      </c>
      <c r="FF148" s="17">
        <f>FE148*VLOOKUP('Données projet'!$B$16,Paramètres!$A$1:$I$89,3,0)*VLOOKUP('Données projet'!$B$16,Paramètres!$A$1:$I$89,5,0)</f>
        <v>105.81600000000006</v>
      </c>
      <c r="FG148" s="13">
        <f t="shared" si="155"/>
        <v>28.342987768971145</v>
      </c>
      <c r="FH148" s="20">
        <f t="shared" si="130"/>
        <v>233.66023703095814</v>
      </c>
      <c r="FI148" s="59">
        <f t="shared" si="131"/>
        <v>526.99357036429149</v>
      </c>
      <c r="FJ148" s="59">
        <f ca="1">AVERAGE(OFFSET($FI$3,0,0,'Données projet'!$E$16+1,1))-AVERAGE(OFFSET($H$3,0,0,'Données projet'!$E$16+1,1))</f>
        <v>14.847345852478327</v>
      </c>
      <c r="FK148" s="59">
        <f t="shared" si="156"/>
        <v>46.764428272166299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7.318211769804174E-2</v>
      </c>
      <c r="FS148" s="21">
        <f>EXP(-LN(2)/2)*FS147+(1-EXP(-LN(2)/2))/(LN(2)/2)*FM148*FP148*VLOOKUP('Données projet'!$B$16,Paramètres!$A$1:$I$89,3,0)*0.475*44/12</f>
        <v>9.6805792077817934E-18</v>
      </c>
      <c r="FT148" s="22">
        <f t="shared" si="132"/>
        <v>7.3182117698041754E-2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4.1145540308207271E-13</v>
      </c>
      <c r="P149" s="13">
        <f t="shared" si="141"/>
        <v>5.2428527960910789E-12</v>
      </c>
      <c r="Q149" s="20">
        <f t="shared" si="108"/>
        <v>9.8479201135599071E-12</v>
      </c>
      <c r="R149" s="59">
        <f t="shared" si="109"/>
        <v>293.33333333334315</v>
      </c>
      <c r="S149" s="59">
        <f ca="1">AVERAGE(OFFSET($R$3,0,0,'Données projet'!$E$9+1,1))-AVERAGE(OFFSET($H$3,0,0,'Données projet'!$E$9+1,1))</f>
        <v>221.7429870520005</v>
      </c>
      <c r="T149" s="59">
        <f t="shared" si="142"/>
        <v>182.2029938397186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-5.1159076974727213E-13</v>
      </c>
      <c r="AJ149" s="13">
        <f>AI149*VLOOKUP('Données projet'!$B$10,Paramètres!$A$1:$I$89,3,0)*VLOOKUP('Données projet'!$B$10,Paramètres!$A$1:$I$89,5,0)</f>
        <v>-4.0702161641092972E-13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260.20517190557814</v>
      </c>
      <c r="AO149" s="59">
        <f t="shared" si="144"/>
        <v>307.22009971147133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0.32803212721039132</v>
      </c>
      <c r="AV149" s="21">
        <f>EXP(-LN(2)/25)*AV148+(1-EXP(-LN(2)/25))/(LN(2)/25)*Calculateur!AQ149*Calculateur!AS149*VLOOKUP('Données projet'!$B$10,Paramètres!$A$1:$I$89,3,0)*0.475*44/12</f>
        <v>0.82298092327208761</v>
      </c>
      <c r="AW149" s="21">
        <f>EXP(-LN(2)/2)*AW148+(1-EXP(-LN(2)/2))/(LN(2)/2)*AQ149*AT149*VLOOKUP('Données projet'!$B$10,Paramètres!$A$1:$I$89,3,0)*0.475*44/12</f>
        <v>8.3402154116137294E-17</v>
      </c>
      <c r="AX149" s="21">
        <f t="shared" si="114"/>
        <v>1.1510130504824789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553.99999999999955</v>
      </c>
      <c r="BE149" s="13">
        <f>BD149*VLOOKUP('Données projet'!$B$11,Paramètres!$A$1:$I$89,3,0)*VLOOKUP('Données projet'!$B$11,Paramètres!$A$1:$I$89,5,0)</f>
        <v>331.29199999999975</v>
      </c>
      <c r="BF149" s="13">
        <f t="shared" si="145"/>
        <v>77.698110787752</v>
      </c>
      <c r="BG149" s="20">
        <f t="shared" si="115"/>
        <v>712.32444295533423</v>
      </c>
      <c r="BH149" s="59">
        <f t="shared" si="116"/>
        <v>1005.6577762886675</v>
      </c>
      <c r="BI149" s="59">
        <f ca="1">AVERAGE(OFFSET($BH$3,0,0,'Données projet'!$E$11+1,1))-AVERAGE(OFFSET($H$3,0,0,'Données projet'!$E$11+1,1))</f>
        <v>316.58509520829671</v>
      </c>
      <c r="BJ149" s="59">
        <f t="shared" si="146"/>
        <v>240.71332110643596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0.25480091821844103</v>
      </c>
      <c r="BQ149" s="21">
        <f>EXP(-LN(2)/25)*BQ148+(1-EXP(-LN(2)/25))/(LN(2)/25)*Calculateur!BL149*Calculateur!BN149*VLOOKUP('Données projet'!$B$11,Paramètres!$A$1:$I$89,3,0)*0.475*44/12</f>
        <v>0.61235164235328077</v>
      </c>
      <c r="BR149" s="21">
        <f>EXP(-LN(2)/2)*BR148+(1-EXP(-LN(2)/2))/(LN(2)/2)*BL149*BO149*VLOOKUP('Données projet'!$B$11,Paramètres!$A$1:$I$89,3,0)*0.475*44/12</f>
        <v>7.6117386942565105E-17</v>
      </c>
      <c r="BS149" s="22">
        <f t="shared" si="117"/>
        <v>0.86715256057172196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497</v>
      </c>
      <c r="BZ149" s="13">
        <f>BY149*VLOOKUP('Données projet'!$B$12,Paramètres!$A$1:$I$89,3,0)*VLOOKUP('Données projet'!$B$12,Paramètres!$A$1:$I$89,5,0)</f>
        <v>297.20600000000002</v>
      </c>
      <c r="CA149" s="13">
        <f t="shared" si="147"/>
        <v>70.590415164571112</v>
      </c>
      <c r="CB149" s="20">
        <f t="shared" si="118"/>
        <v>640.57875641162809</v>
      </c>
      <c r="CC149" s="59">
        <f t="shared" si="119"/>
        <v>933.91208974496135</v>
      </c>
      <c r="CD149" s="59">
        <f ca="1">AVERAGE(OFFSET($CC$3,0,0,'Données projet'!$E$12+1,1))-AVERAGE(OFFSET($H$3,0,0,'Données projet'!$E$12+1,1))</f>
        <v>270.30888762640245</v>
      </c>
      <c r="CE149" s="59">
        <f t="shared" si="148"/>
        <v>202.23783851977691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0.21532471962121752</v>
      </c>
      <c r="CL149" s="21">
        <f>EXP(-LN(2)/25)*CL148+(1-EXP(-LN(2)/25))/(LN(2)/25)*Calculateur!CG149*Calculateur!CI149*VLOOKUP('Données projet'!$B$12,Paramètres!$A$1:$I$89,3,0)*0.475*44/12</f>
        <v>0.4931246432556512</v>
      </c>
      <c r="CM149" s="21">
        <f>EXP(-LN(2)/2)*CM148+(1-EXP(-LN(2)/2))/(LN(2)/2)*CG149*CJ149*VLOOKUP('Données projet'!$B$12,Paramètres!$A$1:$I$89,3,0)*0.475*44/12</f>
        <v>6.4159124493973846E-17</v>
      </c>
      <c r="CN149" s="22">
        <f t="shared" si="120"/>
        <v>0.70844936287686877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-5.1159076974727213E-13</v>
      </c>
      <c r="CU149" s="17">
        <f>CT149*VLOOKUP('Données projet'!$B$13,Paramètres!$A$1:$I$89,3,0)*VLOOKUP('Données projet'!$B$13,Paramètres!$A$1:$I$89,5,0)</f>
        <v>-3.4317508834647017E-13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207.93042467236967</v>
      </c>
      <c r="CZ149" s="59">
        <f t="shared" si="150"/>
        <v>250.70954318710835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0.27657610725581988</v>
      </c>
      <c r="DG149" s="21">
        <f>EXP(-LN(2)/25)*DG148+(1-EXP(-LN(2)/25))/(LN(2)/25)*Calculateur!DB149*Calculateur!DD149*VLOOKUP('Données projet'!$B$13,Paramètres!$A$1:$I$89,3,0)*0.475*44/12</f>
        <v>0.69388587648431022</v>
      </c>
      <c r="DH149" s="21">
        <f>EXP(-LN(2)/2)*DH148+(1-EXP(-LN(2)/2))/(LN(2)/2)*DB149*DE149*VLOOKUP('Données projet'!$B$13,Paramètres!$A$1:$I$89,3,0)*0.475*44/12</f>
        <v>7.0319463274390263E-17</v>
      </c>
      <c r="DI149" s="22">
        <f t="shared" si="123"/>
        <v>0.97046198374013015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5.6843418860808015E-14</v>
      </c>
      <c r="DP149" s="17">
        <f>DO149*VLOOKUP('Données projet'!$B$14,Paramètres!$A$1:$I$89,3,0)*VLOOKUP('Données projet'!$B$14,Paramètres!$A$1:$I$89,5,0)</f>
        <v>3.813056537183002E-14</v>
      </c>
      <c r="DQ149" s="13">
        <f t="shared" si="151"/>
        <v>6.4086286045526829E-13</v>
      </c>
      <c r="DR149" s="20">
        <f t="shared" si="124"/>
        <v>1.1825802166488628E-12</v>
      </c>
      <c r="DS149" s="59">
        <f t="shared" si="125"/>
        <v>293.33333333333451</v>
      </c>
      <c r="DT149" s="59">
        <f ca="1">AVERAGE(OFFSET($DS$3,0,0,'Données projet'!$E$14+1,1))-AVERAGE(OFFSET($H$3,0,0,'Données projet'!$E$14+1,1))</f>
        <v>156.63226020379989</v>
      </c>
      <c r="DU149" s="59">
        <f t="shared" si="152"/>
        <v>196.0481096619543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0.34772662200339682</v>
      </c>
      <c r="EC149" s="21">
        <f>EXP(-LN(2)/2)*EC148+(1-EXP(-LN(2)/2))/(LN(2)/2)*DW149*DZ149*VLOOKUP('Données projet'!$B$14,Paramètres!$A$1:$I$89,3,0)*0.475*44/12</f>
        <v>3.1479925618079092E-17</v>
      </c>
      <c r="ED149" s="22">
        <f t="shared" si="126"/>
        <v>0.34772662200339688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5.1063034188034209</v>
      </c>
      <c r="EJ149" s="12">
        <f>IF('Données projet'!$A$192&gt;35,EJ148+EI149-ER148,IF(A149&lt;'Données projet'!$A$192,$EG$205^A149,IF(A149='Données projet'!$A$192,'Données projet'!$B$192,EJ148+EI149-ER148)))</f>
        <v>287.86698717948673</v>
      </c>
      <c r="EK149" s="17">
        <f>EJ149*VLOOKUP('Données projet'!$B$15,Paramètres!$A$1:$I$89,3,0)*VLOOKUP('Données projet'!$B$15,Paramètres!$A$1:$I$89,5,0)</f>
        <v>291.89712499999956</v>
      </c>
      <c r="EL149" s="13">
        <f t="shared" si="153"/>
        <v>69.47509216813539</v>
      </c>
      <c r="EM149" s="20">
        <f t="shared" si="127"/>
        <v>629.38994490116841</v>
      </c>
      <c r="EN149" s="59">
        <f t="shared" si="128"/>
        <v>922.72327823450178</v>
      </c>
      <c r="EO149" s="59">
        <f ca="1">AVERAGE(OFFSET($EN$3,0,0,'Données projet'!$E$15+1,1))-AVERAGE(OFFSET($H$3,0,0,'Données projet'!$E$15+1,1))</f>
        <v>190.21499310415584</v>
      </c>
      <c r="EP149" s="59">
        <f t="shared" si="154"/>
        <v>136.15730566500173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0.8875000000000014</v>
      </c>
      <c r="FE149" s="12">
        <f>IF('Données projet'!$A$218&gt;35,FE148+FD149-FM148,IF(A149&lt;'Données projet'!$A$218,$FB$205^A149,IF(A149='Données projet'!$A$218,'Données projet'!$B$218,FE148+FD149-FM148)))</f>
        <v>92.741666666666731</v>
      </c>
      <c r="FF149" s="17">
        <f>FE149*VLOOKUP('Données projet'!$B$16,Paramètres!$A$1:$I$89,3,0)*VLOOKUP('Données projet'!$B$16,Paramètres!$A$1:$I$89,5,0)</f>
        <v>106.83840000000006</v>
      </c>
      <c r="FG149" s="13">
        <f t="shared" si="155"/>
        <v>28.584827373939955</v>
      </c>
      <c r="FH149" s="20">
        <f t="shared" si="130"/>
        <v>235.86212100961222</v>
      </c>
      <c r="FI149" s="59">
        <f t="shared" si="131"/>
        <v>529.1954543429456</v>
      </c>
      <c r="FJ149" s="59">
        <f ca="1">AVERAGE(OFFSET($FI$3,0,0,'Données projet'!$E$16+1,1))-AVERAGE(OFFSET($H$3,0,0,'Données projet'!$E$16+1,1))</f>
        <v>14.847345852478327</v>
      </c>
      <c r="FK149" s="59">
        <f t="shared" si="156"/>
        <v>46.764428272166299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7.1180948841108482E-2</v>
      </c>
      <c r="FS149" s="21">
        <f>EXP(-LN(2)/2)*FS148+(1-EXP(-LN(2)/2))/(LN(2)/2)*FM149*FP149*VLOOKUP('Données projet'!$B$16,Paramètres!$A$1:$I$89,3,0)*0.475*44/12</f>
        <v>6.8452032036360029E-18</v>
      </c>
      <c r="FT149" s="22">
        <f t="shared" si="132"/>
        <v>7.1180948841108482E-2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4.1145540308207271E-13</v>
      </c>
      <c r="P150" s="13">
        <f t="shared" si="141"/>
        <v>5.2428527960910789E-12</v>
      </c>
      <c r="Q150" s="20">
        <f t="shared" si="108"/>
        <v>9.8479201135599071E-12</v>
      </c>
      <c r="R150" s="59">
        <f t="shared" si="109"/>
        <v>293.33333333334315</v>
      </c>
      <c r="S150" s="59">
        <f ca="1">AVERAGE(OFFSET($R$3,0,0,'Données projet'!$E$9+1,1))-AVERAGE(OFFSET($H$3,0,0,'Données projet'!$E$9+1,1))</f>
        <v>221.7429870520005</v>
      </c>
      <c r="T150" s="59">
        <f t="shared" si="142"/>
        <v>182.2029938397186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-5.1159076974727213E-13</v>
      </c>
      <c r="AJ150" s="13">
        <f>AI150*VLOOKUP('Données projet'!$B$10,Paramètres!$A$1:$I$89,3,0)*VLOOKUP('Données projet'!$B$10,Paramètres!$A$1:$I$89,5,0)</f>
        <v>-4.0702161641092972E-13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260.20517190557814</v>
      </c>
      <c r="AO150" s="59">
        <f t="shared" si="144"/>
        <v>307.22009971147133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0.32159961727563691</v>
      </c>
      <c r="AV150" s="21">
        <f>EXP(-LN(2)/25)*AV149+(1-EXP(-LN(2)/25))/(LN(2)/25)*Calculateur!AQ150*Calculateur!AS150*VLOOKUP('Données projet'!$B$10,Paramètres!$A$1:$I$89,3,0)*0.475*44/12</f>
        <v>0.80047646664652661</v>
      </c>
      <c r="AW150" s="21">
        <f>EXP(-LN(2)/2)*AW149+(1-EXP(-LN(2)/2))/(LN(2)/2)*AQ150*AT150*VLOOKUP('Données projet'!$B$10,Paramètres!$A$1:$I$89,3,0)*0.475*44/12</f>
        <v>5.8974228741086207E-17</v>
      </c>
      <c r="AX150" s="21">
        <f t="shared" si="114"/>
        <v>1.1220760839221635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553.99999999999955</v>
      </c>
      <c r="BE150" s="13">
        <f>BD150*VLOOKUP('Données projet'!$B$11,Paramètres!$A$1:$I$89,3,0)*VLOOKUP('Données projet'!$B$11,Paramètres!$A$1:$I$89,5,0)</f>
        <v>331.29199999999975</v>
      </c>
      <c r="BF150" s="13">
        <f t="shared" si="145"/>
        <v>77.698110787752</v>
      </c>
      <c r="BG150" s="20">
        <f t="shared" si="115"/>
        <v>712.32444295533423</v>
      </c>
      <c r="BH150" s="59">
        <f t="shared" si="116"/>
        <v>1005.6577762886675</v>
      </c>
      <c r="BI150" s="59">
        <f ca="1">AVERAGE(OFFSET($BH$3,0,0,'Données projet'!$E$11+1,1))-AVERAGE(OFFSET($H$3,0,0,'Données projet'!$E$11+1,1))</f>
        <v>316.58509520829671</v>
      </c>
      <c r="BJ150" s="59">
        <f t="shared" si="146"/>
        <v>240.71332110643596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0.24980442762539173</v>
      </c>
      <c r="BQ150" s="21">
        <f>EXP(-LN(2)/25)*BQ149+(1-EXP(-LN(2)/25))/(LN(2)/25)*Calculateur!BL150*Calculateur!BN150*VLOOKUP('Données projet'!$B$11,Paramètres!$A$1:$I$89,3,0)*0.475*44/12</f>
        <v>0.59560685449095696</v>
      </c>
      <c r="BR150" s="21">
        <f>EXP(-LN(2)/2)*BR149+(1-EXP(-LN(2)/2))/(LN(2)/2)*BL150*BO150*VLOOKUP('Données projet'!$B$11,Paramètres!$A$1:$I$89,3,0)*0.475*44/12</f>
        <v>5.3823120473288154E-17</v>
      </c>
      <c r="BS150" s="22">
        <f t="shared" si="117"/>
        <v>0.84541128211634864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497</v>
      </c>
      <c r="BZ150" s="13">
        <f>BY150*VLOOKUP('Données projet'!$B$12,Paramètres!$A$1:$I$89,3,0)*VLOOKUP('Données projet'!$B$12,Paramètres!$A$1:$I$89,5,0)</f>
        <v>297.20600000000002</v>
      </c>
      <c r="CA150" s="13">
        <f t="shared" si="147"/>
        <v>70.590415164571112</v>
      </c>
      <c r="CB150" s="20">
        <f t="shared" si="118"/>
        <v>640.57875641162809</v>
      </c>
      <c r="CC150" s="59">
        <f t="shared" si="119"/>
        <v>933.91208974496135</v>
      </c>
      <c r="CD150" s="59">
        <f ca="1">AVERAGE(OFFSET($CC$3,0,0,'Données projet'!$E$12+1,1))-AVERAGE(OFFSET($H$3,0,0,'Données projet'!$E$12+1,1))</f>
        <v>270.30888762640245</v>
      </c>
      <c r="CE150" s="59">
        <f t="shared" si="148"/>
        <v>202.23783851977691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0.21110233320455615</v>
      </c>
      <c r="CL150" s="21">
        <f>EXP(-LN(2)/25)*CL149+(1-EXP(-LN(2)/25))/(LN(2)/25)*Calculateur!CG150*Calculateur!CI150*VLOOKUP('Données projet'!$B$12,Paramètres!$A$1:$I$89,3,0)*0.475*44/12</f>
        <v>0.47964012395352745</v>
      </c>
      <c r="CM150" s="21">
        <f>EXP(-LN(2)/2)*CM149+(1-EXP(-LN(2)/2))/(LN(2)/2)*CG150*CJ150*VLOOKUP('Données projet'!$B$12,Paramètres!$A$1:$I$89,3,0)*0.475*44/12</f>
        <v>4.5367352004680826E-17</v>
      </c>
      <c r="CN150" s="22">
        <f t="shared" si="120"/>
        <v>0.69074245715808358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-5.1159076974727213E-13</v>
      </c>
      <c r="CU150" s="17">
        <f>CT150*VLOOKUP('Données projet'!$B$13,Paramètres!$A$1:$I$89,3,0)*VLOOKUP('Données projet'!$B$13,Paramètres!$A$1:$I$89,5,0)</f>
        <v>-3.4317508834647017E-13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207.93042467236967</v>
      </c>
      <c r="CZ150" s="59">
        <f t="shared" si="150"/>
        <v>250.70954318710835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0.27115261848730143</v>
      </c>
      <c r="DG150" s="21">
        <f>EXP(-LN(2)/25)*DG149+(1-EXP(-LN(2)/25))/(LN(2)/25)*Calculateur!DB150*Calculateur!DD150*VLOOKUP('Données projet'!$B$13,Paramètres!$A$1:$I$89,3,0)*0.475*44/12</f>
        <v>0.6749115307019744</v>
      </c>
      <c r="DH150" s="21">
        <f>EXP(-LN(2)/2)*DH149+(1-EXP(-LN(2)/2))/(LN(2)/2)*DB150*DE150*VLOOKUP('Données projet'!$B$13,Paramètres!$A$1:$I$89,3,0)*0.475*44/12</f>
        <v>4.9723369330719741E-17</v>
      </c>
      <c r="DI150" s="22">
        <f t="shared" si="123"/>
        <v>0.94606414918927584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5.6843418860808015E-14</v>
      </c>
      <c r="DP150" s="17">
        <f>DO150*VLOOKUP('Données projet'!$B$14,Paramètres!$A$1:$I$89,3,0)*VLOOKUP('Données projet'!$B$14,Paramètres!$A$1:$I$89,5,0)</f>
        <v>3.813056537183002E-14</v>
      </c>
      <c r="DQ150" s="13">
        <f t="shared" si="151"/>
        <v>6.4086286045526829E-13</v>
      </c>
      <c r="DR150" s="20">
        <f t="shared" si="124"/>
        <v>1.1825802166488628E-12</v>
      </c>
      <c r="DS150" s="59">
        <f t="shared" si="125"/>
        <v>293.33333333333451</v>
      </c>
      <c r="DT150" s="59">
        <f ca="1">AVERAGE(OFFSET($DS$3,0,0,'Données projet'!$E$14+1,1))-AVERAGE(OFFSET($H$3,0,0,'Données projet'!$E$14+1,1))</f>
        <v>156.63226020379989</v>
      </c>
      <c r="DU150" s="59">
        <f t="shared" si="152"/>
        <v>196.0481096619543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0.33821801923856565</v>
      </c>
      <c r="EC150" s="21">
        <f>EXP(-LN(2)/2)*EC149+(1-EXP(-LN(2)/2))/(LN(2)/2)*DW150*DZ150*VLOOKUP('Données projet'!$B$14,Paramètres!$A$1:$I$89,3,0)*0.475*44/12</f>
        <v>2.2259668875791844E-17</v>
      </c>
      <c r="ED150" s="22">
        <f t="shared" si="126"/>
        <v>0.33821801923856565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5.1063034188034209</v>
      </c>
      <c r="EJ150" s="12">
        <f>IF('Données projet'!$A$192&gt;35,EJ149+EI150-ER149,IF(A150&lt;'Données projet'!$A$192,$EG$205^A150,IF(A150='Données projet'!$A$192,'Données projet'!$B$192,EJ149+EI150-ER149)))</f>
        <v>292.97329059829013</v>
      </c>
      <c r="EK150" s="17">
        <f>EJ150*VLOOKUP('Données projet'!$B$15,Paramètres!$A$1:$I$89,3,0)*VLOOKUP('Données projet'!$B$15,Paramètres!$A$1:$I$89,5,0)</f>
        <v>297.07491666666618</v>
      </c>
      <c r="EL150" s="13">
        <f t="shared" si="153"/>
        <v>70.562904410355046</v>
      </c>
      <c r="EM150" s="20">
        <f t="shared" si="127"/>
        <v>640.30253837581188</v>
      </c>
      <c r="EN150" s="59">
        <f t="shared" si="128"/>
        <v>933.63587170914525</v>
      </c>
      <c r="EO150" s="59">
        <f ca="1">AVERAGE(OFFSET($EN$3,0,0,'Données projet'!$E$15+1,1))-AVERAGE(OFFSET($H$3,0,0,'Données projet'!$E$15+1,1))</f>
        <v>190.21499310415584</v>
      </c>
      <c r="EP150" s="59">
        <f t="shared" si="154"/>
        <v>136.15730566500173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0.8875000000000014</v>
      </c>
      <c r="FE150" s="12">
        <f>IF('Données projet'!$A$218&gt;35,FE149+FD150-FM149,IF(A150&lt;'Données projet'!$A$218,$FB$205^A150,IF(A150='Données projet'!$A$218,'Données projet'!$B$218,FE149+FD150-FM149)))</f>
        <v>93.629166666666734</v>
      </c>
      <c r="FF150" s="17">
        <f>FE150*VLOOKUP('Données projet'!$B$16,Paramètres!$A$1:$I$89,3,0)*VLOOKUP('Données projet'!$B$16,Paramètres!$A$1:$I$89,5,0)</f>
        <v>107.86080000000007</v>
      </c>
      <c r="FG150" s="13">
        <f t="shared" si="155"/>
        <v>28.826397739255189</v>
      </c>
      <c r="FH150" s="20">
        <f t="shared" si="130"/>
        <v>238.0635360625362</v>
      </c>
      <c r="FI150" s="59">
        <f t="shared" si="131"/>
        <v>531.39686939586954</v>
      </c>
      <c r="FJ150" s="59">
        <f ca="1">AVERAGE(OFFSET($FI$3,0,0,'Données projet'!$E$16+1,1))-AVERAGE(OFFSET($H$3,0,0,'Données projet'!$E$16+1,1))</f>
        <v>14.847345852478327</v>
      </c>
      <c r="FK150" s="59">
        <f t="shared" si="156"/>
        <v>46.764428272166299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6.9234502051804953E-2</v>
      </c>
      <c r="FS150" s="21">
        <f>EXP(-LN(2)/2)*FS149+(1-EXP(-LN(2)/2))/(LN(2)/2)*FM150*FP150*VLOOKUP('Données projet'!$B$16,Paramètres!$A$1:$I$89,3,0)*0.475*44/12</f>
        <v>4.8402896038908974E-18</v>
      </c>
      <c r="FT150" s="22">
        <f t="shared" si="132"/>
        <v>6.9234502051804953E-2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4.1145540308207271E-13</v>
      </c>
      <c r="P151" s="13">
        <f t="shared" si="141"/>
        <v>5.2428527960910789E-12</v>
      </c>
      <c r="Q151" s="20">
        <f t="shared" si="108"/>
        <v>9.8479201135599071E-12</v>
      </c>
      <c r="R151" s="59">
        <f t="shared" si="109"/>
        <v>293.33333333334315</v>
      </c>
      <c r="S151" s="59">
        <f ca="1">AVERAGE(OFFSET($R$3,0,0,'Données projet'!$E$9+1,1))-AVERAGE(OFFSET($H$3,0,0,'Données projet'!$E$9+1,1))</f>
        <v>221.7429870520005</v>
      </c>
      <c r="T151" s="59">
        <f t="shared" si="142"/>
        <v>182.2029938397186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-5.1159076974727213E-13</v>
      </c>
      <c r="AJ151" s="13">
        <f>AI151*VLOOKUP('Données projet'!$B$10,Paramètres!$A$1:$I$89,3,0)*VLOOKUP('Données projet'!$B$10,Paramètres!$A$1:$I$89,5,0)</f>
        <v>-4.0702161641092972E-13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260.20517190557814</v>
      </c>
      <c r="AO151" s="59">
        <f t="shared" si="144"/>
        <v>307.22009971147133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0.31529324493725935</v>
      </c>
      <c r="AV151" s="21">
        <f>EXP(-LN(2)/25)*AV150+(1-EXP(-LN(2)/25))/(LN(2)/25)*Calculateur!AQ151*Calculateur!AS151*VLOOKUP('Données projet'!$B$10,Paramètres!$A$1:$I$89,3,0)*0.475*44/12</f>
        <v>0.77858739557084944</v>
      </c>
      <c r="AW151" s="21">
        <f>EXP(-LN(2)/2)*AW150+(1-EXP(-LN(2)/2))/(LN(2)/2)*AQ151*AT151*VLOOKUP('Données projet'!$B$10,Paramètres!$A$1:$I$89,3,0)*0.475*44/12</f>
        <v>4.1701077058068647E-17</v>
      </c>
      <c r="AX151" s="21">
        <f t="shared" si="114"/>
        <v>1.0938806405081087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553.99999999999955</v>
      </c>
      <c r="BE151" s="13">
        <f>BD151*VLOOKUP('Données projet'!$B$11,Paramètres!$A$1:$I$89,3,0)*VLOOKUP('Données projet'!$B$11,Paramètres!$A$1:$I$89,5,0)</f>
        <v>331.29199999999975</v>
      </c>
      <c r="BF151" s="13">
        <f t="shared" si="145"/>
        <v>77.698110787752</v>
      </c>
      <c r="BG151" s="20">
        <f t="shared" si="115"/>
        <v>712.32444295533423</v>
      </c>
      <c r="BH151" s="59">
        <f t="shared" si="116"/>
        <v>1005.6577762886675</v>
      </c>
      <c r="BI151" s="59">
        <f ca="1">AVERAGE(OFFSET($BH$3,0,0,'Données projet'!$E$11+1,1))-AVERAGE(OFFSET($H$3,0,0,'Données projet'!$E$11+1,1))</f>
        <v>316.58509520829671</v>
      </c>
      <c r="BJ151" s="59">
        <f t="shared" si="146"/>
        <v>240.71332110643596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0.24490591516531379</v>
      </c>
      <c r="BQ151" s="21">
        <f>EXP(-LN(2)/25)*BQ150+(1-EXP(-LN(2)/25))/(LN(2)/25)*Calculateur!BL151*Calculateur!BN151*VLOOKUP('Données projet'!$B$11,Paramètres!$A$1:$I$89,3,0)*0.475*44/12</f>
        <v>0.57931995373329859</v>
      </c>
      <c r="BR151" s="21">
        <f>EXP(-LN(2)/2)*BR150+(1-EXP(-LN(2)/2))/(LN(2)/2)*BL151*BO151*VLOOKUP('Données projet'!$B$11,Paramètres!$A$1:$I$89,3,0)*0.475*44/12</f>
        <v>3.8058693471282553E-17</v>
      </c>
      <c r="BS151" s="22">
        <f t="shared" si="117"/>
        <v>0.82422586889861238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497</v>
      </c>
      <c r="BZ151" s="13">
        <f>BY151*VLOOKUP('Données projet'!$B$12,Paramètres!$A$1:$I$89,3,0)*VLOOKUP('Données projet'!$B$12,Paramètres!$A$1:$I$89,5,0)</f>
        <v>297.20600000000002</v>
      </c>
      <c r="CA151" s="13">
        <f t="shared" si="147"/>
        <v>70.590415164571112</v>
      </c>
      <c r="CB151" s="20">
        <f t="shared" si="118"/>
        <v>640.57875641162809</v>
      </c>
      <c r="CC151" s="59">
        <f t="shared" si="119"/>
        <v>933.91208974496135</v>
      </c>
      <c r="CD151" s="59">
        <f ca="1">AVERAGE(OFFSET($CC$3,0,0,'Données projet'!$E$12+1,1))-AVERAGE(OFFSET($H$3,0,0,'Données projet'!$E$12+1,1))</f>
        <v>270.30888762640245</v>
      </c>
      <c r="CE151" s="59">
        <f t="shared" si="148"/>
        <v>202.23783851977691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0.20696274521012409</v>
      </c>
      <c r="CL151" s="21">
        <f>EXP(-LN(2)/25)*CL150+(1-EXP(-LN(2)/25))/(LN(2)/25)*Calculateur!CG151*Calculateur!CI151*VLOOKUP('Données projet'!$B$12,Paramètres!$A$1:$I$89,3,0)*0.475*44/12</f>
        <v>0.46652433954084038</v>
      </c>
      <c r="CM151" s="21">
        <f>EXP(-LN(2)/2)*CM150+(1-EXP(-LN(2)/2))/(LN(2)/2)*CG151*CJ151*VLOOKUP('Données projet'!$B$12,Paramètres!$A$1:$I$89,3,0)*0.475*44/12</f>
        <v>3.2079562246986923E-17</v>
      </c>
      <c r="CN151" s="22">
        <f t="shared" si="120"/>
        <v>0.67348708475096442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-5.1159076974727213E-13</v>
      </c>
      <c r="CU151" s="17">
        <f>CT151*VLOOKUP('Données projet'!$B$13,Paramètres!$A$1:$I$89,3,0)*VLOOKUP('Données projet'!$B$13,Paramètres!$A$1:$I$89,5,0)</f>
        <v>-3.4317508834647017E-13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207.93042467236967</v>
      </c>
      <c r="CZ151" s="59">
        <f t="shared" si="150"/>
        <v>250.70954318710835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0.26583548102553212</v>
      </c>
      <c r="DG151" s="21">
        <f>EXP(-LN(2)/25)*DG150+(1-EXP(-LN(2)/25))/(LN(2)/25)*Calculateur!DB151*Calculateur!DD151*VLOOKUP('Données projet'!$B$13,Paramètres!$A$1:$I$89,3,0)*0.475*44/12</f>
        <v>0.656456039402874</v>
      </c>
      <c r="DH151" s="21">
        <f>EXP(-LN(2)/2)*DH150+(1-EXP(-LN(2)/2))/(LN(2)/2)*DB151*DE151*VLOOKUP('Données projet'!$B$13,Paramètres!$A$1:$I$89,3,0)*0.475*44/12</f>
        <v>3.5159731637195131E-17</v>
      </c>
      <c r="DI151" s="22">
        <f t="shared" si="123"/>
        <v>0.92229152042840612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5.6843418860808015E-14</v>
      </c>
      <c r="DP151" s="17">
        <f>DO151*VLOOKUP('Données projet'!$B$14,Paramètres!$A$1:$I$89,3,0)*VLOOKUP('Données projet'!$B$14,Paramètres!$A$1:$I$89,5,0)</f>
        <v>3.813056537183002E-14</v>
      </c>
      <c r="DQ151" s="13">
        <f t="shared" si="151"/>
        <v>6.4086286045526829E-13</v>
      </c>
      <c r="DR151" s="20">
        <f t="shared" si="124"/>
        <v>1.1825802166488628E-12</v>
      </c>
      <c r="DS151" s="59">
        <f t="shared" si="125"/>
        <v>293.33333333333451</v>
      </c>
      <c r="DT151" s="59">
        <f ca="1">AVERAGE(OFFSET($DS$3,0,0,'Données projet'!$E$14+1,1))-AVERAGE(OFFSET($H$3,0,0,'Données projet'!$E$14+1,1))</f>
        <v>156.63226020379989</v>
      </c>
      <c r="DU151" s="59">
        <f t="shared" si="152"/>
        <v>196.0481096619543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0.32896942971637444</v>
      </c>
      <c r="EC151" s="21">
        <f>EXP(-LN(2)/2)*EC150+(1-EXP(-LN(2)/2))/(LN(2)/2)*DW151*DZ151*VLOOKUP('Données projet'!$B$14,Paramètres!$A$1:$I$89,3,0)*0.475*44/12</f>
        <v>1.5739962809039546E-17</v>
      </c>
      <c r="ED151" s="22">
        <f t="shared" si="126"/>
        <v>0.32896942971637444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5.1063034188034209</v>
      </c>
      <c r="EJ151" s="12">
        <f>IF('Données projet'!$A$192&gt;35,EJ150+EI151-ER150,IF(A151&lt;'Données projet'!$A$192,$EG$205^A151,IF(A151='Données projet'!$A$192,'Données projet'!$B$192,EJ150+EI151-ER150)))</f>
        <v>298.07959401709354</v>
      </c>
      <c r="EK151" s="17">
        <f>EJ151*VLOOKUP('Données projet'!$B$15,Paramètres!$A$1:$I$89,3,0)*VLOOKUP('Données projet'!$B$15,Paramètres!$A$1:$I$89,5,0)</f>
        <v>302.25270833333286</v>
      </c>
      <c r="EL151" s="13">
        <f t="shared" si="153"/>
        <v>71.648511857189575</v>
      </c>
      <c r="EM151" s="20">
        <f t="shared" si="127"/>
        <v>651.21129183182666</v>
      </c>
      <c r="EN151" s="59">
        <f t="shared" si="128"/>
        <v>944.54462516515991</v>
      </c>
      <c r="EO151" s="59">
        <f ca="1">AVERAGE(OFFSET($EN$3,0,0,'Données projet'!$E$15+1,1))-AVERAGE(OFFSET($H$3,0,0,'Données projet'!$E$15+1,1))</f>
        <v>190.21499310415584</v>
      </c>
      <c r="EP151" s="59">
        <f t="shared" si="154"/>
        <v>136.15730566500173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0.8875000000000014</v>
      </c>
      <c r="FE151" s="12">
        <f>IF('Données projet'!$A$218&gt;35,FE150+FD151-FM150,IF(A151&lt;'Données projet'!$A$218,$FB$205^A151,IF(A151='Données projet'!$A$218,'Données projet'!$B$218,FE150+FD151-FM150)))</f>
        <v>94.516666666666737</v>
      </c>
      <c r="FF151" s="17">
        <f>FE151*VLOOKUP('Données projet'!$B$16,Paramètres!$A$1:$I$89,3,0)*VLOOKUP('Données projet'!$B$16,Paramètres!$A$1:$I$89,5,0)</f>
        <v>108.88320000000007</v>
      </c>
      <c r="FG151" s="13">
        <f t="shared" si="155"/>
        <v>29.067701712586135</v>
      </c>
      <c r="FH151" s="20">
        <f t="shared" si="130"/>
        <v>240.264487149421</v>
      </c>
      <c r="FI151" s="59">
        <f t="shared" si="131"/>
        <v>533.59782048275429</v>
      </c>
      <c r="FJ151" s="59">
        <f ca="1">AVERAGE(OFFSET($FI$3,0,0,'Données projet'!$E$16+1,1))-AVERAGE(OFFSET($H$3,0,0,'Données projet'!$E$16+1,1))</f>
        <v>14.847345852478327</v>
      </c>
      <c r="FK151" s="59">
        <f t="shared" si="156"/>
        <v>46.764428272166299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6.734128095231412E-2</v>
      </c>
      <c r="FS151" s="21">
        <f>EXP(-LN(2)/2)*FS150+(1-EXP(-LN(2)/2))/(LN(2)/2)*FM151*FP151*VLOOKUP('Données projet'!$B$16,Paramètres!$A$1:$I$89,3,0)*0.475*44/12</f>
        <v>3.4226016018180019E-18</v>
      </c>
      <c r="FT151" s="22">
        <f t="shared" si="132"/>
        <v>6.734128095231412E-2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4.1145540308207271E-13</v>
      </c>
      <c r="P152" s="13">
        <f t="shared" si="141"/>
        <v>5.2428527960910789E-12</v>
      </c>
      <c r="Q152" s="20">
        <f t="shared" si="108"/>
        <v>9.8479201135599071E-12</v>
      </c>
      <c r="R152" s="59">
        <f t="shared" si="109"/>
        <v>293.33333333334315</v>
      </c>
      <c r="S152" s="59">
        <f ca="1">AVERAGE(OFFSET($R$3,0,0,'Données projet'!$E$9+1,1))-AVERAGE(OFFSET($H$3,0,0,'Données projet'!$E$9+1,1))</f>
        <v>221.7429870520005</v>
      </c>
      <c r="T152" s="59">
        <f t="shared" si="142"/>
        <v>182.2029938397186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-5.1159076974727213E-13</v>
      </c>
      <c r="AJ152" s="13">
        <f>AI152*VLOOKUP('Données projet'!$B$10,Paramètres!$A$1:$I$89,3,0)*VLOOKUP('Données projet'!$B$10,Paramètres!$A$1:$I$89,5,0)</f>
        <v>-4.0702161641092972E-13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260.20517190557814</v>
      </c>
      <c r="AO152" s="59">
        <f t="shared" si="144"/>
        <v>307.22009971147133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0.30911053671393007</v>
      </c>
      <c r="AV152" s="21">
        <f>EXP(-LN(2)/25)*AV151+(1-EXP(-LN(2)/25))/(LN(2)/25)*Calculateur!AQ152*Calculateur!AS152*VLOOKUP('Données projet'!$B$10,Paramètres!$A$1:$I$89,3,0)*0.475*44/12</f>
        <v>0.75729688229483294</v>
      </c>
      <c r="AW152" s="21">
        <f>EXP(-LN(2)/2)*AW151+(1-EXP(-LN(2)/2))/(LN(2)/2)*AQ152*AT152*VLOOKUP('Données projet'!$B$10,Paramètres!$A$1:$I$89,3,0)*0.475*44/12</f>
        <v>2.9487114370543104E-17</v>
      </c>
      <c r="AX152" s="21">
        <f t="shared" si="114"/>
        <v>1.0664074190087631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553.99999999999955</v>
      </c>
      <c r="BE152" s="13">
        <f>BD152*VLOOKUP('Données projet'!$B$11,Paramètres!$A$1:$I$89,3,0)*VLOOKUP('Données projet'!$B$11,Paramètres!$A$1:$I$89,5,0)</f>
        <v>331.29199999999975</v>
      </c>
      <c r="BF152" s="13">
        <f t="shared" si="145"/>
        <v>77.698110787752</v>
      </c>
      <c r="BG152" s="20">
        <f t="shared" si="115"/>
        <v>712.32444295533423</v>
      </c>
      <c r="BH152" s="59">
        <f t="shared" si="116"/>
        <v>1005.6577762886675</v>
      </c>
      <c r="BI152" s="59">
        <f ca="1">AVERAGE(OFFSET($BH$3,0,0,'Données projet'!$E$11+1,1))-AVERAGE(OFFSET($H$3,0,0,'Données projet'!$E$11+1,1))</f>
        <v>316.58509520829671</v>
      </c>
      <c r="BJ152" s="59">
        <f t="shared" si="146"/>
        <v>240.71332110643596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0.24010345954678039</v>
      </c>
      <c r="BQ152" s="21">
        <f>EXP(-LN(2)/25)*BQ151+(1-EXP(-LN(2)/25))/(LN(2)/25)*Calculateur!BL152*Calculateur!BN152*VLOOKUP('Données projet'!$B$11,Paramètres!$A$1:$I$89,3,0)*0.475*44/12</f>
        <v>0.56347841913334917</v>
      </c>
      <c r="BR152" s="21">
        <f>EXP(-LN(2)/2)*BR151+(1-EXP(-LN(2)/2))/(LN(2)/2)*BL152*BO152*VLOOKUP('Données projet'!$B$11,Paramètres!$A$1:$I$89,3,0)*0.475*44/12</f>
        <v>2.6911560236644077E-17</v>
      </c>
      <c r="BS152" s="22">
        <f t="shared" si="117"/>
        <v>0.80358187868012954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497</v>
      </c>
      <c r="BZ152" s="13">
        <f>BY152*VLOOKUP('Données projet'!$B$12,Paramètres!$A$1:$I$89,3,0)*VLOOKUP('Données projet'!$B$12,Paramètres!$A$1:$I$89,5,0)</f>
        <v>297.20600000000002</v>
      </c>
      <c r="CA152" s="13">
        <f t="shared" si="147"/>
        <v>70.590415164571112</v>
      </c>
      <c r="CB152" s="20">
        <f t="shared" si="118"/>
        <v>640.57875641162809</v>
      </c>
      <c r="CC152" s="59">
        <f t="shared" si="119"/>
        <v>933.91208974496135</v>
      </c>
      <c r="CD152" s="59">
        <f ca="1">AVERAGE(OFFSET($CC$3,0,0,'Données projet'!$E$12+1,1))-AVERAGE(OFFSET($H$3,0,0,'Données projet'!$E$12+1,1))</f>
        <v>270.30888762640245</v>
      </c>
      <c r="CE152" s="59">
        <f t="shared" si="148"/>
        <v>202.23783851977691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0.20290433201136349</v>
      </c>
      <c r="CL152" s="21">
        <f>EXP(-LN(2)/25)*CL151+(1-EXP(-LN(2)/25))/(LN(2)/25)*Calculateur!CG152*Calculateur!CI152*VLOOKUP('Données projet'!$B$12,Paramètres!$A$1:$I$89,3,0)*0.475*44/12</f>
        <v>0.45376720694264733</v>
      </c>
      <c r="CM152" s="21">
        <f>EXP(-LN(2)/2)*CM151+(1-EXP(-LN(2)/2))/(LN(2)/2)*CG152*CJ152*VLOOKUP('Données projet'!$B$12,Paramètres!$A$1:$I$89,3,0)*0.475*44/12</f>
        <v>2.2683676002340413E-17</v>
      </c>
      <c r="CN152" s="22">
        <f t="shared" si="120"/>
        <v>0.65667153895401076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-5.1159076974727213E-13</v>
      </c>
      <c r="CU152" s="17">
        <f>CT152*VLOOKUP('Données projet'!$B$13,Paramètres!$A$1:$I$89,3,0)*VLOOKUP('Données projet'!$B$13,Paramètres!$A$1:$I$89,5,0)</f>
        <v>-3.4317508834647017E-13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207.93042467236967</v>
      </c>
      <c r="CZ152" s="59">
        <f t="shared" si="150"/>
        <v>250.70954318710835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0.26062260938625448</v>
      </c>
      <c r="DG152" s="21">
        <f>EXP(-LN(2)/25)*DG151+(1-EXP(-LN(2)/25))/(LN(2)/25)*Calculateur!DB152*Calculateur!DD152*VLOOKUP('Données projet'!$B$13,Paramètres!$A$1:$I$89,3,0)*0.475*44/12</f>
        <v>0.63850521448387965</v>
      </c>
      <c r="DH152" s="21">
        <f>EXP(-LN(2)/2)*DH151+(1-EXP(-LN(2)/2))/(LN(2)/2)*DB152*DE152*VLOOKUP('Données projet'!$B$13,Paramètres!$A$1:$I$89,3,0)*0.475*44/12</f>
        <v>2.486168466535987E-17</v>
      </c>
      <c r="DI152" s="22">
        <f t="shared" si="123"/>
        <v>0.89912782387013412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5.6843418860808015E-14</v>
      </c>
      <c r="DP152" s="17">
        <f>DO152*VLOOKUP('Données projet'!$B$14,Paramètres!$A$1:$I$89,3,0)*VLOOKUP('Données projet'!$B$14,Paramètres!$A$1:$I$89,5,0)</f>
        <v>3.813056537183002E-14</v>
      </c>
      <c r="DQ152" s="13">
        <f t="shared" si="151"/>
        <v>6.4086286045526829E-13</v>
      </c>
      <c r="DR152" s="20">
        <f t="shared" si="124"/>
        <v>1.1825802166488628E-12</v>
      </c>
      <c r="DS152" s="59">
        <f t="shared" si="125"/>
        <v>293.33333333333451</v>
      </c>
      <c r="DT152" s="59">
        <f ca="1">AVERAGE(OFFSET($DS$3,0,0,'Données projet'!$E$14+1,1))-AVERAGE(OFFSET($H$3,0,0,'Données projet'!$E$14+1,1))</f>
        <v>156.63226020379989</v>
      </c>
      <c r="DU152" s="59">
        <f t="shared" si="152"/>
        <v>196.0481096619543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0.31997374336102974</v>
      </c>
      <c r="EC152" s="21">
        <f>EXP(-LN(2)/2)*EC151+(1-EXP(-LN(2)/2))/(LN(2)/2)*DW152*DZ152*VLOOKUP('Données projet'!$B$14,Paramètres!$A$1:$I$89,3,0)*0.475*44/12</f>
        <v>1.1129834437895922E-17</v>
      </c>
      <c r="ED152" s="22">
        <f t="shared" si="126"/>
        <v>0.31997374336102974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>
        <f>VLOOKUP(A152,'Données projet'!$A$191:$I$211,2,0)</f>
        <v>303.18589743589746</v>
      </c>
      <c r="EH152" s="12">
        <f>VLOOKUP(A152,'Données projet'!$A$191:$I$211,9,0)</f>
        <v>5.1063034188034209</v>
      </c>
      <c r="EI152" s="12">
        <f t="array" ref="EI152">INDEX(EH:EH,MIN(IF(ISNUMBER(EH152:EH348),ROW(EH152:EH348),"")))</f>
        <v>5.1063034188034209</v>
      </c>
      <c r="EJ152" s="12">
        <f>IF('Données projet'!$A$192&gt;35,EJ151+EI152-ER151,IF(A152&lt;'Données projet'!$A$192,$EG$205^A152,IF(A152='Données projet'!$A$192,'Données projet'!$B$192,EJ151+EI152-ER151)))</f>
        <v>303.18589743589695</v>
      </c>
      <c r="EK152" s="17">
        <f>EJ152*VLOOKUP('Données projet'!$B$15,Paramètres!$A$1:$I$89,3,0)*VLOOKUP('Données projet'!$B$15,Paramètres!$A$1:$I$89,5,0)</f>
        <v>307.43049999999948</v>
      </c>
      <c r="EL152" s="13">
        <f t="shared" si="153"/>
        <v>72.731956636788439</v>
      </c>
      <c r="EM152" s="20">
        <f t="shared" si="127"/>
        <v>662.11627864240563</v>
      </c>
      <c r="EN152" s="59">
        <f t="shared" si="128"/>
        <v>955.44961197573889</v>
      </c>
      <c r="EO152" s="59">
        <f ca="1">AVERAGE(OFFSET($EN$3,0,0,'Données projet'!$E$15+1,1))-AVERAGE(OFFSET($H$3,0,0,'Données projet'!$E$15+1,1))</f>
        <v>190.21499310415584</v>
      </c>
      <c r="EP152" s="59">
        <f t="shared" si="154"/>
        <v>136.15730566500173</v>
      </c>
      <c r="EQ152" s="15">
        <f>IF(ISNA(VLOOKUP(A152,'Données projet'!$A$191:$I$211,3,0)),0,VLOOKUP(A152,'Données projet'!$A$191:$I$211,3,0))</f>
        <v>12</v>
      </c>
      <c r="ER152" s="15">
        <f>IF(ISNA(VLOOKUP(A152,'Données projet'!$A$191:$I$211,4,0)),0,VLOOKUP(A152,'Données projet'!$A$191:$I$211,4,0))</f>
        <v>120.50641025641026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0.8875000000000014</v>
      </c>
      <c r="FE152" s="12">
        <f>IF('Données projet'!$A$218&gt;35,FE151+FD152-FM151,IF(A152&lt;'Données projet'!$A$218,$FB$205^A152,IF(A152='Données projet'!$A$218,'Données projet'!$B$218,FE151+FD152-FM151)))</f>
        <v>95.40416666666674</v>
      </c>
      <c r="FF152" s="17">
        <f>FE152*VLOOKUP('Données projet'!$B$16,Paramètres!$A$1:$I$89,3,0)*VLOOKUP('Données projet'!$B$16,Paramètres!$A$1:$I$89,5,0)</f>
        <v>109.90560000000008</v>
      </c>
      <c r="FG152" s="13">
        <f t="shared" si="155"/>
        <v>29.308742085039484</v>
      </c>
      <c r="FH152" s="20">
        <f t="shared" si="130"/>
        <v>242.4649791314439</v>
      </c>
      <c r="FI152" s="59">
        <f t="shared" si="131"/>
        <v>535.79831246477715</v>
      </c>
      <c r="FJ152" s="59">
        <f ca="1">AVERAGE(OFFSET($FI$3,0,0,'Données projet'!$E$16+1,1))-AVERAGE(OFFSET($H$3,0,0,'Données projet'!$E$16+1,1))</f>
        <v>14.847345852478327</v>
      </c>
      <c r="FK152" s="59">
        <f t="shared" si="156"/>
        <v>46.764428272166299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6.5499830083349031E-2</v>
      </c>
      <c r="FS152" s="21">
        <f>EXP(-LN(2)/2)*FS151+(1-EXP(-LN(2)/2))/(LN(2)/2)*FM152*FP152*VLOOKUP('Données projet'!$B$16,Paramètres!$A$1:$I$89,3,0)*0.475*44/12</f>
        <v>2.4201448019454491E-18</v>
      </c>
      <c r="FT152" s="22">
        <f t="shared" si="132"/>
        <v>6.5499830083349031E-2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4.1145540308207271E-13</v>
      </c>
      <c r="P153" s="13">
        <f t="shared" si="141"/>
        <v>5.2428527960910789E-12</v>
      </c>
      <c r="Q153" s="20">
        <f t="shared" si="108"/>
        <v>9.8479201135599071E-12</v>
      </c>
      <c r="R153" s="59">
        <f t="shared" si="109"/>
        <v>293.33333333334315</v>
      </c>
      <c r="S153" s="59">
        <f ca="1">AVERAGE(OFFSET($R$3,0,0,'Données projet'!$E$9+1,1))-AVERAGE(OFFSET($H$3,0,0,'Données projet'!$E$9+1,1))</f>
        <v>221.7429870520005</v>
      </c>
      <c r="T153" s="59">
        <f t="shared" si="142"/>
        <v>182.2029938397186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-5.1159076974727213E-13</v>
      </c>
      <c r="AJ153" s="13">
        <f>AI153*VLOOKUP('Données projet'!$B$10,Paramètres!$A$1:$I$89,3,0)*VLOOKUP('Données projet'!$B$10,Paramètres!$A$1:$I$89,5,0)</f>
        <v>-4.0702161641092972E-13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260.20517190557814</v>
      </c>
      <c r="AO153" s="59">
        <f t="shared" si="144"/>
        <v>307.22009971147133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0.30304906762778067</v>
      </c>
      <c r="AV153" s="21">
        <f>EXP(-LN(2)/25)*AV152+(1-EXP(-LN(2)/25))/(LN(2)/25)*Calculateur!AQ153*Calculateur!AS153*VLOOKUP('Données projet'!$B$10,Paramètres!$A$1:$I$89,3,0)*0.475*44/12</f>
        <v>0.73658855922396849</v>
      </c>
      <c r="AW153" s="21">
        <f>EXP(-LN(2)/2)*AW152+(1-EXP(-LN(2)/2))/(LN(2)/2)*AQ153*AT153*VLOOKUP('Données projet'!$B$10,Paramètres!$A$1:$I$89,3,0)*0.475*44/12</f>
        <v>2.0850538529034324E-17</v>
      </c>
      <c r="AX153" s="21">
        <f t="shared" si="114"/>
        <v>1.0396376268517491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553.99999999999955</v>
      </c>
      <c r="BE153" s="13">
        <f>BD153*VLOOKUP('Données projet'!$B$11,Paramètres!$A$1:$I$89,3,0)*VLOOKUP('Données projet'!$B$11,Paramètres!$A$1:$I$89,5,0)</f>
        <v>331.29199999999975</v>
      </c>
      <c r="BF153" s="13">
        <f t="shared" si="145"/>
        <v>77.698110787752</v>
      </c>
      <c r="BG153" s="20">
        <f t="shared" si="115"/>
        <v>712.32444295533423</v>
      </c>
      <c r="BH153" s="59">
        <f t="shared" si="116"/>
        <v>1005.6577762886675</v>
      </c>
      <c r="BI153" s="59">
        <f ca="1">AVERAGE(OFFSET($BH$3,0,0,'Données projet'!$E$11+1,1))-AVERAGE(OFFSET($H$3,0,0,'Données projet'!$E$11+1,1))</f>
        <v>316.58509520829671</v>
      </c>
      <c r="BJ153" s="59">
        <f t="shared" si="146"/>
        <v>240.71332110643596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0.23539517715371774</v>
      </c>
      <c r="BQ153" s="21">
        <f>EXP(-LN(2)/25)*BQ152+(1-EXP(-LN(2)/25))/(LN(2)/25)*Calculateur!BL153*Calculateur!BN153*VLOOKUP('Données projet'!$B$11,Paramètres!$A$1:$I$89,3,0)*0.475*44/12</f>
        <v>0.5480700721301055</v>
      </c>
      <c r="BR153" s="21">
        <f>EXP(-LN(2)/2)*BR152+(1-EXP(-LN(2)/2))/(LN(2)/2)*BL153*BO153*VLOOKUP('Données projet'!$B$11,Paramètres!$A$1:$I$89,3,0)*0.475*44/12</f>
        <v>1.9029346735641276E-17</v>
      </c>
      <c r="BS153" s="22">
        <f t="shared" si="117"/>
        <v>0.78346524928382322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497</v>
      </c>
      <c r="BZ153" s="13">
        <f>BY153*VLOOKUP('Données projet'!$B$12,Paramètres!$A$1:$I$89,3,0)*VLOOKUP('Données projet'!$B$12,Paramètres!$A$1:$I$89,5,0)</f>
        <v>297.20600000000002</v>
      </c>
      <c r="CA153" s="13">
        <f t="shared" si="147"/>
        <v>70.590415164571112</v>
      </c>
      <c r="CB153" s="20">
        <f t="shared" si="118"/>
        <v>640.57875641162809</v>
      </c>
      <c r="CC153" s="59">
        <f t="shared" si="119"/>
        <v>933.91208974496135</v>
      </c>
      <c r="CD153" s="59">
        <f ca="1">AVERAGE(OFFSET($CC$3,0,0,'Données projet'!$E$12+1,1))-AVERAGE(OFFSET($H$3,0,0,'Données projet'!$E$12+1,1))</f>
        <v>270.30888762640245</v>
      </c>
      <c r="CE153" s="59">
        <f t="shared" si="148"/>
        <v>202.23783851977691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0.19892550182004295</v>
      </c>
      <c r="CL153" s="21">
        <f>EXP(-LN(2)/25)*CL152+(1-EXP(-LN(2)/25))/(LN(2)/25)*Calculateur!CG153*Calculateur!CI153*VLOOKUP('Données projet'!$B$12,Paramètres!$A$1:$I$89,3,0)*0.475*44/12</f>
        <v>0.4413589188062203</v>
      </c>
      <c r="CM153" s="21">
        <f>EXP(-LN(2)/2)*CM152+(1-EXP(-LN(2)/2))/(LN(2)/2)*CG153*CJ153*VLOOKUP('Données projet'!$B$12,Paramètres!$A$1:$I$89,3,0)*0.475*44/12</f>
        <v>1.6039781123493461E-17</v>
      </c>
      <c r="CN153" s="22">
        <f t="shared" si="120"/>
        <v>0.64028442062626323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-5.1159076974727213E-13</v>
      </c>
      <c r="CU153" s="17">
        <f>CT153*VLOOKUP('Données projet'!$B$13,Paramètres!$A$1:$I$89,3,0)*VLOOKUP('Données projet'!$B$13,Paramètres!$A$1:$I$89,5,0)</f>
        <v>-3.4317508834647017E-13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207.93042467236967</v>
      </c>
      <c r="CZ153" s="59">
        <f t="shared" si="150"/>
        <v>250.70954318710835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0.25551195898028534</v>
      </c>
      <c r="DG153" s="21">
        <f>EXP(-LN(2)/25)*DG152+(1-EXP(-LN(2)/25))/(LN(2)/25)*Calculateur!DB153*Calculateur!DD153*VLOOKUP('Données projet'!$B$13,Paramètres!$A$1:$I$89,3,0)*0.475*44/12</f>
        <v>0.621045255816288</v>
      </c>
      <c r="DH153" s="21">
        <f>EXP(-LN(2)/2)*DH152+(1-EXP(-LN(2)/2))/(LN(2)/2)*DB153*DE153*VLOOKUP('Données projet'!$B$13,Paramètres!$A$1:$I$89,3,0)*0.475*44/12</f>
        <v>1.7579865818597566E-17</v>
      </c>
      <c r="DI153" s="22">
        <f t="shared" si="123"/>
        <v>0.87655721479657334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5.6843418860808015E-14</v>
      </c>
      <c r="DP153" s="17">
        <f>DO153*VLOOKUP('Données projet'!$B$14,Paramètres!$A$1:$I$89,3,0)*VLOOKUP('Données projet'!$B$14,Paramètres!$A$1:$I$89,5,0)</f>
        <v>3.813056537183002E-14</v>
      </c>
      <c r="DQ153" s="13">
        <f t="shared" si="151"/>
        <v>6.4086286045526829E-13</v>
      </c>
      <c r="DR153" s="20">
        <f t="shared" si="124"/>
        <v>1.1825802166488628E-12</v>
      </c>
      <c r="DS153" s="59">
        <f t="shared" si="125"/>
        <v>293.33333333333451</v>
      </c>
      <c r="DT153" s="59">
        <f ca="1">AVERAGE(OFFSET($DS$3,0,0,'Données projet'!$E$14+1,1))-AVERAGE(OFFSET($H$3,0,0,'Données projet'!$E$14+1,1))</f>
        <v>156.63226020379989</v>
      </c>
      <c r="DU153" s="59">
        <f t="shared" si="152"/>
        <v>196.0481096619543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0.31122404452213454</v>
      </c>
      <c r="EC153" s="21">
        <f>EXP(-LN(2)/2)*EC152+(1-EXP(-LN(2)/2))/(LN(2)/2)*DW153*DZ153*VLOOKUP('Données projet'!$B$14,Paramètres!$A$1:$I$89,3,0)*0.475*44/12</f>
        <v>7.869981404519773E-18</v>
      </c>
      <c r="ED153" s="22">
        <f t="shared" si="126"/>
        <v>0.31122404452213454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3.0945512820512846</v>
      </c>
      <c r="EJ153" s="12">
        <f>IF('Données projet'!$A$192&gt;35,EJ152+EI153-ER152,IF(A153&lt;'Données projet'!$A$192,$EG$205^A153,IF(A153='Données projet'!$A$192,'Données projet'!$B$192,EJ152+EI153-ER152)))</f>
        <v>185.77403846153794</v>
      </c>
      <c r="EK153" s="17">
        <f>EJ153*VLOOKUP('Données projet'!$B$15,Paramètres!$A$1:$I$89,3,0)*VLOOKUP('Données projet'!$B$15,Paramètres!$A$1:$I$89,5,0)</f>
        <v>188.37487499999949</v>
      </c>
      <c r="EL153" s="13">
        <f t="shared" si="153"/>
        <v>47.180481359608336</v>
      </c>
      <c r="EM153" s="20">
        <f t="shared" si="127"/>
        <v>410.25891232631693</v>
      </c>
      <c r="EN153" s="59">
        <f t="shared" si="128"/>
        <v>703.59224565965019</v>
      </c>
      <c r="EO153" s="59">
        <f ca="1">AVERAGE(OFFSET($EN$3,0,0,'Données projet'!$E$15+1,1))-AVERAGE(OFFSET($H$3,0,0,'Données projet'!$E$15+1,1))</f>
        <v>190.21499310415584</v>
      </c>
      <c r="EP153" s="59">
        <f t="shared" si="154"/>
        <v>136.15730566500173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>
        <f>VLOOKUP(A153,'Données projet'!$A$217:$I$237,2,0)</f>
        <v>96.291666666666671</v>
      </c>
      <c r="FC153" s="12">
        <f>VLOOKUP(A153,'Données projet'!$A$217:$I$237,9,0)</f>
        <v>0.8875000000000014</v>
      </c>
      <c r="FD153" s="12">
        <f t="array" ref="FD153">INDEX(FC:FC,MIN(IF(ISNUMBER(FC153:FC349),ROW(FC153:FC349),"")))</f>
        <v>0.8875000000000014</v>
      </c>
      <c r="FE153" s="12">
        <f>IF('Données projet'!$A$218&gt;35,FE152+FD153-FM152,IF(A153&lt;'Données projet'!$A$218,$FB$205^A153,IF(A153='Données projet'!$A$218,'Données projet'!$B$218,FE152+FD153-FM152)))</f>
        <v>96.291666666666742</v>
      </c>
      <c r="FF153" s="17">
        <f>FE153*VLOOKUP('Données projet'!$B$16,Paramètres!$A$1:$I$89,3,0)*VLOOKUP('Données projet'!$B$16,Paramètres!$A$1:$I$89,5,0)</f>
        <v>110.92800000000008</v>
      </c>
      <c r="FG153" s="13">
        <f t="shared" si="155"/>
        <v>29.549521592798506</v>
      </c>
      <c r="FH153" s="20">
        <f t="shared" si="130"/>
        <v>244.66501677412418</v>
      </c>
      <c r="FI153" s="59">
        <f t="shared" si="131"/>
        <v>537.99835010745755</v>
      </c>
      <c r="FJ153" s="59">
        <f ca="1">AVERAGE(OFFSET($FI$3,0,0,'Données projet'!$E$16+1,1))-AVERAGE(OFFSET($H$3,0,0,'Données projet'!$E$16+1,1))</f>
        <v>14.847345852478327</v>
      </c>
      <c r="FK153" s="59">
        <f t="shared" si="156"/>
        <v>46.764428272166299</v>
      </c>
      <c r="FL153" s="15">
        <f>IF(ISNA(VLOOKUP(A153,'Données projet'!$A$217:$I$237,3,0)),0,VLOOKUP(A153,'Données projet'!$A$217:$I$237,3,0))</f>
        <v>15</v>
      </c>
      <c r="FM153" s="15">
        <f>IF(ISNA(VLOOKUP(A153,'Données projet'!$A$217:$I$237,4,0)),0,VLOOKUP(A153,'Données projet'!$A$217:$I$237,4,0))</f>
        <v>96.291666666666671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6.3708733785233493E-2</v>
      </c>
      <c r="FS153" s="21">
        <f>EXP(-LN(2)/2)*FS152+(1-EXP(-LN(2)/2))/(LN(2)/2)*FM153*FP153*VLOOKUP('Données projet'!$B$16,Paramètres!$A$1:$I$89,3,0)*0.475*44/12</f>
        <v>1.7113008009090011E-18</v>
      </c>
      <c r="FT153" s="22">
        <f t="shared" si="132"/>
        <v>6.3708733785233493E-2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4.1145540308207271E-13</v>
      </c>
      <c r="P154" s="13">
        <f t="shared" si="141"/>
        <v>5.2428527960910789E-12</v>
      </c>
      <c r="Q154" s="20">
        <f t="shared" ref="Q154:Q203" si="162">(O154+P154)*0.475*44/12</f>
        <v>9.8479201135599071E-12</v>
      </c>
      <c r="R154" s="59">
        <f t="shared" si="109"/>
        <v>293.33333333334315</v>
      </c>
      <c r="S154" s="59">
        <f ca="1">AVERAGE(OFFSET($R$3,0,0,'Données projet'!$E$9+1,1))-AVERAGE(OFFSET($H$3,0,0,'Données projet'!$E$9+1,1))</f>
        <v>221.7429870520005</v>
      </c>
      <c r="T154" s="59">
        <f t="shared" si="142"/>
        <v>182.2029938397186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-5.1159076974727213E-13</v>
      </c>
      <c r="AJ154" s="13">
        <f>AI154*VLOOKUP('Données projet'!$B$10,Paramètres!$A$1:$I$89,3,0)*VLOOKUP('Données projet'!$B$10,Paramètres!$A$1:$I$89,5,0)</f>
        <v>-4.0702161641092972E-13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260.20517190557814</v>
      </c>
      <c r="AO154" s="59">
        <f t="shared" si="144"/>
        <v>307.22009971147133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0.29710646025327953</v>
      </c>
      <c r="AV154" s="21">
        <f>EXP(-LN(2)/25)*AV153+(1-EXP(-LN(2)/25))/(LN(2)/25)*Calculateur!AQ154*Calculateur!AS154*VLOOKUP('Données projet'!$B$10,Paramètres!$A$1:$I$89,3,0)*0.475*44/12</f>
        <v>0.71644650633648022</v>
      </c>
      <c r="AW154" s="21">
        <f>EXP(-LN(2)/2)*AW153+(1-EXP(-LN(2)/2))/(LN(2)/2)*AQ154*AT154*VLOOKUP('Données projet'!$B$10,Paramètres!$A$1:$I$89,3,0)*0.475*44/12</f>
        <v>1.4743557185271552E-17</v>
      </c>
      <c r="AX154" s="21">
        <f t="shared" ref="AX154:AX203" si="166">SUM(AU154:AW154)</f>
        <v>1.0135529665897598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553.99999999999955</v>
      </c>
      <c r="BE154" s="13">
        <f>BD154*VLOOKUP('Données projet'!$B$11,Paramètres!$A$1:$I$89,3,0)*VLOOKUP('Données projet'!$B$11,Paramètres!$A$1:$I$89,5,0)</f>
        <v>331.29199999999975</v>
      </c>
      <c r="BF154" s="13">
        <f t="shared" ref="BF154:BF203" si="167">EXP(-1.0587+0.8836*LN(BE154)+0.284)</f>
        <v>77.698110787752</v>
      </c>
      <c r="BG154" s="20">
        <f t="shared" ref="BG154:BG203" si="168">(BE154+BF154)*0.475*44/12</f>
        <v>712.32444295533423</v>
      </c>
      <c r="BH154" s="59">
        <f t="shared" si="116"/>
        <v>1005.6577762886675</v>
      </c>
      <c r="BI154" s="59">
        <f ca="1">AVERAGE(OFFSET($BH$3,0,0,'Données projet'!$E$11+1,1))-AVERAGE(OFFSET($H$3,0,0,'Données projet'!$E$11+1,1))</f>
        <v>316.58509520829671</v>
      </c>
      <c r="BJ154" s="59">
        <f t="shared" si="146"/>
        <v>240.71332110643596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0.23077922130661435</v>
      </c>
      <c r="BQ154" s="21">
        <f>EXP(-LN(2)/25)*BQ153+(1-EXP(-LN(2)/25))/(LN(2)/25)*Calculateur!BL154*Calculateur!BN154*VLOOKUP('Données projet'!$B$11,Paramètres!$A$1:$I$89,3,0)*0.475*44/12</f>
        <v>0.53308306718595533</v>
      </c>
      <c r="BR154" s="21">
        <f>EXP(-LN(2)/2)*BR153+(1-EXP(-LN(2)/2))/(LN(2)/2)*BL154*BO154*VLOOKUP('Données projet'!$B$11,Paramètres!$A$1:$I$89,3,0)*0.475*44/12</f>
        <v>1.3455780118322039E-17</v>
      </c>
      <c r="BS154" s="22">
        <f t="shared" ref="BS154:BS203" si="169">SUM(BP154:BR154)</f>
        <v>0.76386228849256965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497</v>
      </c>
      <c r="BZ154" s="13">
        <f>BY154*VLOOKUP('Données projet'!$B$12,Paramètres!$A$1:$I$89,3,0)*VLOOKUP('Données projet'!$B$12,Paramètres!$A$1:$I$89,5,0)</f>
        <v>297.20600000000002</v>
      </c>
      <c r="CA154" s="13">
        <f t="shared" ref="CA154:CA203" si="170">EXP(-1.0587+0.8836*LN(BZ154)+0.284)</f>
        <v>70.590415164571112</v>
      </c>
      <c r="CB154" s="20">
        <f t="shared" ref="CB154:CB203" si="171">(BZ154+CA154)*0.475*44/12</f>
        <v>640.57875641162809</v>
      </c>
      <c r="CC154" s="59">
        <f t="shared" si="119"/>
        <v>933.91208974496135</v>
      </c>
      <c r="CD154" s="59">
        <f ca="1">AVERAGE(OFFSET($CC$3,0,0,'Données projet'!$E$12+1,1))-AVERAGE(OFFSET($H$3,0,0,'Données projet'!$E$12+1,1))</f>
        <v>270.30888762640245</v>
      </c>
      <c r="CE154" s="59">
        <f t="shared" si="148"/>
        <v>202.23783851977691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0.19502469406192743</v>
      </c>
      <c r="CL154" s="21">
        <f>EXP(-LN(2)/25)*CL153+(1-EXP(-LN(2)/25))/(LN(2)/25)*Calculateur!CG154*Calculateur!CI154*VLOOKUP('Données projet'!$B$12,Paramètres!$A$1:$I$89,3,0)*0.475*44/12</f>
        <v>0.42928993596140741</v>
      </c>
      <c r="CM154" s="21">
        <f>EXP(-LN(2)/2)*CM153+(1-EXP(-LN(2)/2))/(LN(2)/2)*CG154*CJ154*VLOOKUP('Données projet'!$B$12,Paramètres!$A$1:$I$89,3,0)*0.475*44/12</f>
        <v>1.1341838001170207E-17</v>
      </c>
      <c r="CN154" s="22">
        <f t="shared" ref="CN154:CN203" si="172">SUM(CK154:CM154)</f>
        <v>0.62431463002333487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-5.1159076974727213E-13</v>
      </c>
      <c r="CU154" s="17">
        <f>CT154*VLOOKUP('Données projet'!$B$13,Paramètres!$A$1:$I$89,3,0)*VLOOKUP('Données projet'!$B$13,Paramètres!$A$1:$I$89,5,0)</f>
        <v>-3.4317508834647017E-13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207.93042467236967</v>
      </c>
      <c r="CZ154" s="59">
        <f t="shared" si="150"/>
        <v>250.70954318710835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0.25050152531158831</v>
      </c>
      <c r="DG154" s="21">
        <f>EXP(-LN(2)/25)*DG153+(1-EXP(-LN(2)/25))/(LN(2)/25)*Calculateur!DB154*Calculateur!DD154*VLOOKUP('Données projet'!$B$13,Paramètres!$A$1:$I$89,3,0)*0.475*44/12</f>
        <v>0.604062740636641</v>
      </c>
      <c r="DH154" s="21">
        <f>EXP(-LN(2)/2)*DH153+(1-EXP(-LN(2)/2))/(LN(2)/2)*DB154*DE154*VLOOKUP('Données projet'!$B$13,Paramètres!$A$1:$I$89,3,0)*0.475*44/12</f>
        <v>1.2430842332679935E-17</v>
      </c>
      <c r="DI154" s="22">
        <f t="shared" ref="DI154:DI203" si="175">SUM(DF154:DH154)</f>
        <v>0.85456426594822932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5.6843418860808015E-14</v>
      </c>
      <c r="DP154" s="17">
        <f>DO154*VLOOKUP('Données projet'!$B$14,Paramètres!$A$1:$I$89,3,0)*VLOOKUP('Données projet'!$B$14,Paramètres!$A$1:$I$89,5,0)</f>
        <v>3.813056537183002E-14</v>
      </c>
      <c r="DQ154" s="13">
        <f t="shared" ref="DQ154:DQ203" si="176">EXP(-1.0587+0.8836*LN(DP154)+0.284)</f>
        <v>6.4086286045526829E-13</v>
      </c>
      <c r="DR154" s="20">
        <f t="shared" ref="DR154:DR203" si="177">(DP154+DQ154)*0.475*44/12</f>
        <v>1.1825802166488628E-12</v>
      </c>
      <c r="DS154" s="59">
        <f t="shared" si="125"/>
        <v>293.33333333333451</v>
      </c>
      <c r="DT154" s="59">
        <f ca="1">AVERAGE(OFFSET($DS$3,0,0,'Données projet'!$E$14+1,1))-AVERAGE(OFFSET($H$3,0,0,'Données projet'!$E$14+1,1))</f>
        <v>156.63226020379989</v>
      </c>
      <c r="DU154" s="59">
        <f t="shared" si="152"/>
        <v>196.0481096619543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0.30271360665811559</v>
      </c>
      <c r="EC154" s="21">
        <f>EXP(-LN(2)/2)*EC153+(1-EXP(-LN(2)/2))/(LN(2)/2)*DW154*DZ154*VLOOKUP('Données projet'!$B$14,Paramètres!$A$1:$I$89,3,0)*0.475*44/12</f>
        <v>5.5649172189479611E-18</v>
      </c>
      <c r="ED154" s="22">
        <f t="shared" ref="ED154:ED203" si="178">SUM(EA154:EC154)</f>
        <v>0.30271360665811559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3.0945512820512846</v>
      </c>
      <c r="EJ154" s="12">
        <f>IF('Données projet'!$A$192&gt;35,EJ153+EI154-ER153,IF(A154&lt;'Données projet'!$A$192,$EG$205^A154,IF(A154='Données projet'!$A$192,'Données projet'!$B$192,EJ153+EI154-ER153)))</f>
        <v>188.86858974358921</v>
      </c>
      <c r="EK154" s="17">
        <f>EJ154*VLOOKUP('Données projet'!$B$15,Paramètres!$A$1:$I$89,3,0)*VLOOKUP('Données projet'!$B$15,Paramètres!$A$1:$I$89,5,0)</f>
        <v>191.51274999999947</v>
      </c>
      <c r="EL154" s="13">
        <f t="shared" ref="EL154:EL203" si="179">EXP(-1.0587+0.8836*LN(EK154)+0.284)</f>
        <v>47.874245879088207</v>
      </c>
      <c r="EM154" s="20">
        <f t="shared" ref="EM154:EM203" si="180">(EK154+EL154)*0.475*44/12</f>
        <v>416.93235115607769</v>
      </c>
      <c r="EN154" s="59">
        <f t="shared" si="128"/>
        <v>710.265684489411</v>
      </c>
      <c r="EO154" s="59">
        <f ca="1">AVERAGE(OFFSET($EN$3,0,0,'Données projet'!$E$15+1,1))-AVERAGE(OFFSET($H$3,0,0,'Données projet'!$E$15+1,1))</f>
        <v>190.21499310415584</v>
      </c>
      <c r="EP154" s="59">
        <f t="shared" si="154"/>
        <v>136.15730566500173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7.1054273576010019E-14</v>
      </c>
      <c r="FF154" s="17">
        <f>FE154*VLOOKUP('Données projet'!$B$16,Paramètres!$A$1:$I$89,3,0)*VLOOKUP('Données projet'!$B$16,Paramètres!$A$1:$I$89,5,0)</f>
        <v>8.1854523159563538E-14</v>
      </c>
      <c r="FG154" s="13">
        <f t="shared" ref="FG154:FG203" si="182">EXP(-1.0587+0.8836*LN(FF154)+0.284)</f>
        <v>1.2586836169904262E-12</v>
      </c>
      <c r="FH154" s="20">
        <f t="shared" ref="FH154:FH203" si="183">(FF154+FG154)*0.475*44/12</f>
        <v>2.3347705940945655E-12</v>
      </c>
      <c r="FI154" s="59">
        <f t="shared" si="131"/>
        <v>293.33333333333564</v>
      </c>
      <c r="FJ154" s="59">
        <f ca="1">AVERAGE(OFFSET($FI$3,0,0,'Données projet'!$E$16+1,1))-AVERAGE(OFFSET($H$3,0,0,'Données projet'!$E$16+1,1))</f>
        <v>14.847345852478327</v>
      </c>
      <c r="FK154" s="59">
        <f t="shared" si="156"/>
        <v>46.764428272166299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6.1966615109579584E-2</v>
      </c>
      <c r="FS154" s="21">
        <f>EXP(-LN(2)/2)*FS153+(1-EXP(-LN(2)/2))/(LN(2)/2)*FM154*FP154*VLOOKUP('Données projet'!$B$16,Paramètres!$A$1:$I$89,3,0)*0.475*44/12</f>
        <v>1.2100724009727247E-18</v>
      </c>
      <c r="FT154" s="22">
        <f t="shared" ref="FT154:FT203" si="184">SUM(FQ154:FS154)</f>
        <v>6.1966615109579584E-2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4.1145540308207271E-13</v>
      </c>
      <c r="P155" s="13">
        <f t="shared" si="141"/>
        <v>5.2428527960910789E-12</v>
      </c>
      <c r="Q155" s="20">
        <f t="shared" si="162"/>
        <v>9.8479201135599071E-12</v>
      </c>
      <c r="R155" s="59">
        <f t="shared" si="109"/>
        <v>293.33333333334315</v>
      </c>
      <c r="S155" s="59">
        <f ca="1">AVERAGE(OFFSET($R$3,0,0,'Données projet'!$E$9+1,1))-AVERAGE(OFFSET($H$3,0,0,'Données projet'!$E$9+1,1))</f>
        <v>221.7429870520005</v>
      </c>
      <c r="T155" s="59">
        <f t="shared" si="142"/>
        <v>182.2029938397186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-5.1159076974727213E-13</v>
      </c>
      <c r="AJ155" s="13">
        <f>AI155*VLOOKUP('Données projet'!$B$10,Paramètres!$A$1:$I$89,3,0)*VLOOKUP('Données projet'!$B$10,Paramètres!$A$1:$I$89,5,0)</f>
        <v>-4.0702161641092972E-13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260.20517190557814</v>
      </c>
      <c r="AO155" s="59">
        <f t="shared" si="144"/>
        <v>307.22009971147133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0.29128038378475979</v>
      </c>
      <c r="AV155" s="21">
        <f>EXP(-LN(2)/25)*AV154+(1-EXP(-LN(2)/25))/(LN(2)/25)*Calculateur!AQ155*Calculateur!AS155*VLOOKUP('Données projet'!$B$10,Paramètres!$A$1:$I$89,3,0)*0.475*44/12</f>
        <v>0.6968552389444248</v>
      </c>
      <c r="AW155" s="21">
        <f>EXP(-LN(2)/2)*AW154+(1-EXP(-LN(2)/2))/(LN(2)/2)*AQ155*AT155*VLOOKUP('Données projet'!$B$10,Paramètres!$A$1:$I$89,3,0)*0.475*44/12</f>
        <v>1.0425269264517162E-17</v>
      </c>
      <c r="AX155" s="21">
        <f t="shared" si="166"/>
        <v>0.98813562272918465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553.99999999999955</v>
      </c>
      <c r="BE155" s="13">
        <f>BD155*VLOOKUP('Données projet'!$B$11,Paramètres!$A$1:$I$89,3,0)*VLOOKUP('Données projet'!$B$11,Paramètres!$A$1:$I$89,5,0)</f>
        <v>331.29199999999975</v>
      </c>
      <c r="BF155" s="13">
        <f t="shared" si="167"/>
        <v>77.698110787752</v>
      </c>
      <c r="BG155" s="20">
        <f t="shared" si="168"/>
        <v>712.32444295533423</v>
      </c>
      <c r="BH155" s="59">
        <f t="shared" si="116"/>
        <v>1005.6577762886675</v>
      </c>
      <c r="BI155" s="59">
        <f ca="1">AVERAGE(OFFSET($BH$3,0,0,'Données projet'!$E$11+1,1))-AVERAGE(OFFSET($H$3,0,0,'Données projet'!$E$11+1,1))</f>
        <v>316.58509520829671</v>
      </c>
      <c r="BJ155" s="59">
        <f t="shared" si="146"/>
        <v>240.71332110643596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0.2262537815382176</v>
      </c>
      <c r="BQ155" s="21">
        <f>EXP(-LN(2)/25)*BQ154+(1-EXP(-LN(2)/25))/(LN(2)/25)*Calculateur!BL155*Calculateur!BN155*VLOOKUP('Données projet'!$B$11,Paramètres!$A$1:$I$89,3,0)*0.475*44/12</f>
        <v>0.5185058826801352</v>
      </c>
      <c r="BR155" s="21">
        <f>EXP(-LN(2)/2)*BR154+(1-EXP(-LN(2)/2))/(LN(2)/2)*BL155*BO155*VLOOKUP('Données projet'!$B$11,Paramètres!$A$1:$I$89,3,0)*0.475*44/12</f>
        <v>9.5146733678206382E-18</v>
      </c>
      <c r="BS155" s="22">
        <f t="shared" si="169"/>
        <v>0.74475966421835282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497</v>
      </c>
      <c r="BZ155" s="13">
        <f>BY155*VLOOKUP('Données projet'!$B$12,Paramètres!$A$1:$I$89,3,0)*VLOOKUP('Données projet'!$B$12,Paramètres!$A$1:$I$89,5,0)</f>
        <v>297.20600000000002</v>
      </c>
      <c r="CA155" s="13">
        <f t="shared" si="170"/>
        <v>70.590415164571112</v>
      </c>
      <c r="CB155" s="20">
        <f t="shared" si="171"/>
        <v>640.57875641162809</v>
      </c>
      <c r="CC155" s="59">
        <f t="shared" si="119"/>
        <v>933.91208974496135</v>
      </c>
      <c r="CD155" s="59">
        <f ca="1">AVERAGE(OFFSET($CC$3,0,0,'Données projet'!$E$12+1,1))-AVERAGE(OFFSET($H$3,0,0,'Données projet'!$E$12+1,1))</f>
        <v>270.30888762640245</v>
      </c>
      <c r="CE155" s="59">
        <f t="shared" si="148"/>
        <v>202.23783851977691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0.19120037876469076</v>
      </c>
      <c r="CL155" s="21">
        <f>EXP(-LN(2)/25)*CL154+(1-EXP(-LN(2)/25))/(LN(2)/25)*Calculateur!CG155*Calculateur!CI155*VLOOKUP('Données projet'!$B$12,Paramètres!$A$1:$I$89,3,0)*0.475*44/12</f>
        <v>0.41755098008716612</v>
      </c>
      <c r="CM155" s="21">
        <f>EXP(-LN(2)/2)*CM154+(1-EXP(-LN(2)/2))/(LN(2)/2)*CG155*CJ155*VLOOKUP('Données projet'!$B$12,Paramètres!$A$1:$I$89,3,0)*0.475*44/12</f>
        <v>8.0198905617467307E-18</v>
      </c>
      <c r="CN155" s="22">
        <f t="shared" si="172"/>
        <v>0.60875135885185694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-5.1159076974727213E-13</v>
      </c>
      <c r="CU155" s="17">
        <f>CT155*VLOOKUP('Données projet'!$B$13,Paramètres!$A$1:$I$89,3,0)*VLOOKUP('Données projet'!$B$13,Paramètres!$A$1:$I$89,5,0)</f>
        <v>-3.4317508834647017E-13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207.93042467236967</v>
      </c>
      <c r="CZ155" s="59">
        <f t="shared" si="150"/>
        <v>250.70954318710835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0.24558934319107167</v>
      </c>
      <c r="DG155" s="21">
        <f>EXP(-LN(2)/25)*DG154+(1-EXP(-LN(2)/25))/(LN(2)/25)*Calculateur!DB155*Calculateur!DD155*VLOOKUP('Données projet'!$B$13,Paramètres!$A$1:$I$89,3,0)*0.475*44/12</f>
        <v>0.58754461322765317</v>
      </c>
      <c r="DH155" s="21">
        <f>EXP(-LN(2)/2)*DH154+(1-EXP(-LN(2)/2))/(LN(2)/2)*DB155*DE155*VLOOKUP('Données projet'!$B$13,Paramètres!$A$1:$I$89,3,0)*0.475*44/12</f>
        <v>8.7899329092987828E-18</v>
      </c>
      <c r="DI155" s="22">
        <f t="shared" si="175"/>
        <v>0.83313395641872479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5.6843418860808015E-14</v>
      </c>
      <c r="DP155" s="17">
        <f>DO155*VLOOKUP('Données projet'!$B$14,Paramètres!$A$1:$I$89,3,0)*VLOOKUP('Données projet'!$B$14,Paramètres!$A$1:$I$89,5,0)</f>
        <v>3.813056537183002E-14</v>
      </c>
      <c r="DQ155" s="13">
        <f t="shared" si="176"/>
        <v>6.4086286045526829E-13</v>
      </c>
      <c r="DR155" s="20">
        <f t="shared" si="177"/>
        <v>1.1825802166488628E-12</v>
      </c>
      <c r="DS155" s="59">
        <f t="shared" si="125"/>
        <v>293.33333333333451</v>
      </c>
      <c r="DT155" s="59">
        <f ca="1">AVERAGE(OFFSET($DS$3,0,0,'Données projet'!$E$14+1,1))-AVERAGE(OFFSET($H$3,0,0,'Données projet'!$E$14+1,1))</f>
        <v>156.63226020379989</v>
      </c>
      <c r="DU155" s="59">
        <f t="shared" si="152"/>
        <v>196.0481096619543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0.29443588716503272</v>
      </c>
      <c r="EC155" s="21">
        <f>EXP(-LN(2)/2)*EC154+(1-EXP(-LN(2)/2))/(LN(2)/2)*DW155*DZ155*VLOOKUP('Données projet'!$B$14,Paramètres!$A$1:$I$89,3,0)*0.475*44/12</f>
        <v>3.9349907022598865E-18</v>
      </c>
      <c r="ED155" s="22">
        <f t="shared" si="178"/>
        <v>0.29443588716503272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3.0945512820512846</v>
      </c>
      <c r="EJ155" s="12">
        <f>IF('Données projet'!$A$192&gt;35,EJ154+EI155-ER154,IF(A155&lt;'Données projet'!$A$192,$EG$205^A155,IF(A155='Données projet'!$A$192,'Données projet'!$B$192,EJ154+EI155-ER154)))</f>
        <v>191.96314102564048</v>
      </c>
      <c r="EK155" s="17">
        <f>EJ155*VLOOKUP('Données projet'!$B$15,Paramètres!$A$1:$I$89,3,0)*VLOOKUP('Données projet'!$B$15,Paramètres!$A$1:$I$89,5,0)</f>
        <v>194.65062499999945</v>
      </c>
      <c r="EL155" s="13">
        <f t="shared" si="179"/>
        <v>48.566688465444784</v>
      </c>
      <c r="EM155" s="20">
        <f t="shared" si="180"/>
        <v>423.60348761898211</v>
      </c>
      <c r="EN155" s="59">
        <f t="shared" si="128"/>
        <v>716.93682095231543</v>
      </c>
      <c r="EO155" s="59">
        <f ca="1">AVERAGE(OFFSET($EN$3,0,0,'Données projet'!$E$15+1,1))-AVERAGE(OFFSET($H$3,0,0,'Données projet'!$E$15+1,1))</f>
        <v>190.21499310415584</v>
      </c>
      <c r="EP155" s="59">
        <f t="shared" si="154"/>
        <v>136.15730566500173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7.1054273576010019E-14</v>
      </c>
      <c r="FF155" s="17">
        <f>FE155*VLOOKUP('Données projet'!$B$16,Paramètres!$A$1:$I$89,3,0)*VLOOKUP('Données projet'!$B$16,Paramètres!$A$1:$I$89,5,0)</f>
        <v>8.1854523159563538E-14</v>
      </c>
      <c r="FG155" s="13">
        <f t="shared" si="182"/>
        <v>1.2586836169904262E-12</v>
      </c>
      <c r="FH155" s="20">
        <f t="shared" si="183"/>
        <v>2.3347705940945655E-12</v>
      </c>
      <c r="FI155" s="59">
        <f t="shared" si="131"/>
        <v>293.33333333333564</v>
      </c>
      <c r="FJ155" s="59">
        <f ca="1">AVERAGE(OFFSET($FI$3,0,0,'Données projet'!$E$16+1,1))-AVERAGE(OFFSET($H$3,0,0,'Données projet'!$E$16+1,1))</f>
        <v>14.847345852478327</v>
      </c>
      <c r="FK155" s="59">
        <f t="shared" si="156"/>
        <v>46.764428272166299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6.0272134760725467E-2</v>
      </c>
      <c r="FS155" s="21">
        <f>EXP(-LN(2)/2)*FS154+(1-EXP(-LN(2)/2))/(LN(2)/2)*FM155*FP155*VLOOKUP('Données projet'!$B$16,Paramètres!$A$1:$I$89,3,0)*0.475*44/12</f>
        <v>8.5565040045450075E-19</v>
      </c>
      <c r="FT155" s="22">
        <f t="shared" si="184"/>
        <v>6.0272134760725467E-2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4.1145540308207271E-13</v>
      </c>
      <c r="P156" s="13">
        <f t="shared" si="141"/>
        <v>5.2428527960910789E-12</v>
      </c>
      <c r="Q156" s="20">
        <f t="shared" si="162"/>
        <v>9.8479201135599071E-12</v>
      </c>
      <c r="R156" s="59">
        <f t="shared" si="109"/>
        <v>293.33333333334315</v>
      </c>
      <c r="S156" s="59">
        <f ca="1">AVERAGE(OFFSET($R$3,0,0,'Données projet'!$E$9+1,1))-AVERAGE(OFFSET($H$3,0,0,'Données projet'!$E$9+1,1))</f>
        <v>221.7429870520005</v>
      </c>
      <c r="T156" s="59">
        <f t="shared" si="142"/>
        <v>182.2029938397186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-5.1159076974727213E-13</v>
      </c>
      <c r="AJ156" s="13">
        <f>AI156*VLOOKUP('Données projet'!$B$10,Paramètres!$A$1:$I$89,3,0)*VLOOKUP('Données projet'!$B$10,Paramètres!$A$1:$I$89,5,0)</f>
        <v>-4.0702161641092972E-13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260.20517190557814</v>
      </c>
      <c r="AO156" s="59">
        <f t="shared" si="144"/>
        <v>307.22009971147133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0.28556855312223195</v>
      </c>
      <c r="AV156" s="21">
        <f>EXP(-LN(2)/25)*AV155+(1-EXP(-LN(2)/25))/(LN(2)/25)*Calculateur!AQ156*Calculateur!AS156*VLOOKUP('Données projet'!$B$10,Paramètres!$A$1:$I$89,3,0)*0.475*44/12</f>
        <v>0.6777996957894652</v>
      </c>
      <c r="AW156" s="21">
        <f>EXP(-LN(2)/2)*AW155+(1-EXP(-LN(2)/2))/(LN(2)/2)*AQ156*AT156*VLOOKUP('Données projet'!$B$10,Paramètres!$A$1:$I$89,3,0)*0.475*44/12</f>
        <v>7.3717785926357759E-18</v>
      </c>
      <c r="AX156" s="21">
        <f t="shared" si="166"/>
        <v>0.96336824891169714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553.99999999999955</v>
      </c>
      <c r="BE156" s="13">
        <f>BD156*VLOOKUP('Données projet'!$B$11,Paramètres!$A$1:$I$89,3,0)*VLOOKUP('Données projet'!$B$11,Paramètres!$A$1:$I$89,5,0)</f>
        <v>331.29199999999975</v>
      </c>
      <c r="BF156" s="13">
        <f t="shared" si="167"/>
        <v>77.698110787752</v>
      </c>
      <c r="BG156" s="20">
        <f t="shared" si="168"/>
        <v>712.32444295533423</v>
      </c>
      <c r="BH156" s="59">
        <f t="shared" si="116"/>
        <v>1005.6577762886675</v>
      </c>
      <c r="BI156" s="59">
        <f ca="1">AVERAGE(OFFSET($BH$3,0,0,'Données projet'!$E$11+1,1))-AVERAGE(OFFSET($H$3,0,0,'Données projet'!$E$11+1,1))</f>
        <v>316.58509520829671</v>
      </c>
      <c r="BJ156" s="59">
        <f t="shared" si="146"/>
        <v>240.71332110643596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0.22181708288343341</v>
      </c>
      <c r="BQ156" s="21">
        <f>EXP(-LN(2)/25)*BQ155+(1-EXP(-LN(2)/25))/(LN(2)/25)*Calculateur!BL156*Calculateur!BN156*VLOOKUP('Données projet'!$B$11,Paramètres!$A$1:$I$89,3,0)*0.475*44/12</f>
        <v>0.50432731205120762</v>
      </c>
      <c r="BR156" s="21">
        <f>EXP(-LN(2)/2)*BR155+(1-EXP(-LN(2)/2))/(LN(2)/2)*BL156*BO156*VLOOKUP('Données projet'!$B$11,Paramètres!$A$1:$I$89,3,0)*0.475*44/12</f>
        <v>6.7278900591610193E-18</v>
      </c>
      <c r="BS156" s="22">
        <f t="shared" si="169"/>
        <v>0.726144394934641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497</v>
      </c>
      <c r="BZ156" s="13">
        <f>BY156*VLOOKUP('Données projet'!$B$12,Paramètres!$A$1:$I$89,3,0)*VLOOKUP('Données projet'!$B$12,Paramètres!$A$1:$I$89,5,0)</f>
        <v>297.20600000000002</v>
      </c>
      <c r="CA156" s="13">
        <f t="shared" si="170"/>
        <v>70.590415164571112</v>
      </c>
      <c r="CB156" s="20">
        <f t="shared" si="171"/>
        <v>640.57875641162809</v>
      </c>
      <c r="CC156" s="59">
        <f t="shared" si="119"/>
        <v>933.91208974496135</v>
      </c>
      <c r="CD156" s="59">
        <f ca="1">AVERAGE(OFFSET($CC$3,0,0,'Données projet'!$E$12+1,1))-AVERAGE(OFFSET($H$3,0,0,'Données projet'!$E$12+1,1))</f>
        <v>270.30888762640245</v>
      </c>
      <c r="CE156" s="59">
        <f t="shared" si="148"/>
        <v>202.23783851977691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0.18745105595783088</v>
      </c>
      <c r="CL156" s="21">
        <f>EXP(-LN(2)/25)*CL155+(1-EXP(-LN(2)/25))/(LN(2)/25)*Calculateur!CG156*Calculateur!CI156*VLOOKUP('Données projet'!$B$12,Paramètres!$A$1:$I$89,3,0)*0.475*44/12</f>
        <v>0.40613302657863087</v>
      </c>
      <c r="CM156" s="21">
        <f>EXP(-LN(2)/2)*CM155+(1-EXP(-LN(2)/2))/(LN(2)/2)*CG156*CJ156*VLOOKUP('Données projet'!$B$12,Paramètres!$A$1:$I$89,3,0)*0.475*44/12</f>
        <v>5.6709190005851033E-18</v>
      </c>
      <c r="CN156" s="22">
        <f t="shared" si="172"/>
        <v>0.59358408253646178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-5.1159076974727213E-13</v>
      </c>
      <c r="CU156" s="17">
        <f>CT156*VLOOKUP('Données projet'!$B$13,Paramètres!$A$1:$I$89,3,0)*VLOOKUP('Données projet'!$B$13,Paramètres!$A$1:$I$89,5,0)</f>
        <v>-3.4317508834647017E-13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207.93042467236967</v>
      </c>
      <c r="CZ156" s="59">
        <f t="shared" si="150"/>
        <v>250.70954318710835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0.24077348596580311</v>
      </c>
      <c r="DG156" s="21">
        <f>EXP(-LN(2)/25)*DG155+(1-EXP(-LN(2)/25))/(LN(2)/25)*Calculateur!DB156*Calculateur!DD156*VLOOKUP('Données projet'!$B$13,Paramètres!$A$1:$I$89,3,0)*0.475*44/12</f>
        <v>0.57147817488131458</v>
      </c>
      <c r="DH156" s="21">
        <f>EXP(-LN(2)/2)*DH155+(1-EXP(-LN(2)/2))/(LN(2)/2)*DB156*DE156*VLOOKUP('Données projet'!$B$13,Paramètres!$A$1:$I$89,3,0)*0.475*44/12</f>
        <v>6.2154211663399676E-18</v>
      </c>
      <c r="DI156" s="22">
        <f t="shared" si="175"/>
        <v>0.81225166084711775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5.6843418860808015E-14</v>
      </c>
      <c r="DP156" s="17">
        <f>DO156*VLOOKUP('Données projet'!$B$14,Paramètres!$A$1:$I$89,3,0)*VLOOKUP('Données projet'!$B$14,Paramètres!$A$1:$I$89,5,0)</f>
        <v>3.813056537183002E-14</v>
      </c>
      <c r="DQ156" s="13">
        <f t="shared" si="176"/>
        <v>6.4086286045526829E-13</v>
      </c>
      <c r="DR156" s="20">
        <f t="shared" si="177"/>
        <v>1.1825802166488628E-12</v>
      </c>
      <c r="DS156" s="59">
        <f t="shared" si="125"/>
        <v>293.33333333333451</v>
      </c>
      <c r="DT156" s="59">
        <f ca="1">AVERAGE(OFFSET($DS$3,0,0,'Données projet'!$E$14+1,1))-AVERAGE(OFFSET($H$3,0,0,'Données projet'!$E$14+1,1))</f>
        <v>156.63226020379989</v>
      </c>
      <c r="DU156" s="59">
        <f t="shared" si="152"/>
        <v>196.0481096619543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0.28638452234679451</v>
      </c>
      <c r="EC156" s="21">
        <f>EXP(-LN(2)/2)*EC155+(1-EXP(-LN(2)/2))/(LN(2)/2)*DW156*DZ156*VLOOKUP('Données projet'!$B$14,Paramètres!$A$1:$I$89,3,0)*0.475*44/12</f>
        <v>2.7824586094739806E-18</v>
      </c>
      <c r="ED156" s="22">
        <f t="shared" si="178"/>
        <v>0.28638452234679451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>
        <f>VLOOKUP(A156,'Données projet'!$A$191:$I$211,2,0)</f>
        <v>195.05769230769232</v>
      </c>
      <c r="EH156" s="12">
        <f>VLOOKUP(A156,'Données projet'!$A$191:$I$211,9,0)</f>
        <v>3.0945512820512846</v>
      </c>
      <c r="EI156" s="12">
        <f t="array" ref="EI156">INDEX(EH:EH,MIN(IF(ISNUMBER(EH156:EH352),ROW(EH156:EH352),"")))</f>
        <v>3.0945512820512846</v>
      </c>
      <c r="EJ156" s="12">
        <f>IF('Données projet'!$A$192&gt;35,EJ155+EI156-ER155,IF(A156&lt;'Données projet'!$A$192,$EG$205^A156,IF(A156='Données projet'!$A$192,'Données projet'!$B$192,EJ155+EI156-ER155)))</f>
        <v>195.05769230769175</v>
      </c>
      <c r="EK156" s="17">
        <f>EJ156*VLOOKUP('Données projet'!$B$15,Paramètres!$A$1:$I$89,3,0)*VLOOKUP('Données projet'!$B$15,Paramètres!$A$1:$I$89,5,0)</f>
        <v>197.78849999999943</v>
      </c>
      <c r="EL156" s="13">
        <f t="shared" si="179"/>
        <v>49.257832889250977</v>
      </c>
      <c r="EM156" s="20">
        <f t="shared" si="180"/>
        <v>430.27236311544448</v>
      </c>
      <c r="EN156" s="59">
        <f t="shared" si="128"/>
        <v>723.60569644877773</v>
      </c>
      <c r="EO156" s="59">
        <f ca="1">AVERAGE(OFFSET($EN$3,0,0,'Données projet'!$E$15+1,1))-AVERAGE(OFFSET($H$3,0,0,'Données projet'!$E$15+1,1))</f>
        <v>190.21499310415584</v>
      </c>
      <c r="EP156" s="59">
        <f t="shared" si="154"/>
        <v>136.15730566500173</v>
      </c>
      <c r="EQ156" s="15">
        <f>IF(ISNA(VLOOKUP(A156,'Données projet'!$A$191:$I$211,3,0)),0,VLOOKUP(A156,'Données projet'!$A$191:$I$211,3,0))</f>
        <v>13</v>
      </c>
      <c r="ER156" s="15">
        <f>IF(ISNA(VLOOKUP(A156,'Données projet'!$A$191:$I$211,4,0)),0,VLOOKUP(A156,'Données projet'!$A$191:$I$211,4,0))</f>
        <v>70.115384615384613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7.1054273576010019E-14</v>
      </c>
      <c r="FF156" s="17">
        <f>FE156*VLOOKUP('Données projet'!$B$16,Paramètres!$A$1:$I$89,3,0)*VLOOKUP('Données projet'!$B$16,Paramètres!$A$1:$I$89,5,0)</f>
        <v>8.1854523159563538E-14</v>
      </c>
      <c r="FG156" s="13">
        <f t="shared" si="182"/>
        <v>1.2586836169904262E-12</v>
      </c>
      <c r="FH156" s="20">
        <f t="shared" si="183"/>
        <v>2.3347705940945655E-12</v>
      </c>
      <c r="FI156" s="59">
        <f t="shared" si="131"/>
        <v>293.33333333333564</v>
      </c>
      <c r="FJ156" s="59">
        <f ca="1">AVERAGE(OFFSET($FI$3,0,0,'Données projet'!$E$16+1,1))-AVERAGE(OFFSET($H$3,0,0,'Données projet'!$E$16+1,1))</f>
        <v>14.847345852478327</v>
      </c>
      <c r="FK156" s="59">
        <f t="shared" si="156"/>
        <v>46.764428272166299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5.8623990066119618E-2</v>
      </c>
      <c r="FS156" s="21">
        <f>EXP(-LN(2)/2)*FS155+(1-EXP(-LN(2)/2))/(LN(2)/2)*FM156*FP156*VLOOKUP('Données projet'!$B$16,Paramètres!$A$1:$I$89,3,0)*0.475*44/12</f>
        <v>6.0503620048636247E-19</v>
      </c>
      <c r="FT156" s="22">
        <f t="shared" si="184"/>
        <v>5.8623990066119618E-2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4.1145540308207271E-13</v>
      </c>
      <c r="P157" s="13">
        <f t="shared" si="141"/>
        <v>5.2428527960910789E-12</v>
      </c>
      <c r="Q157" s="20">
        <f t="shared" si="162"/>
        <v>9.8479201135599071E-12</v>
      </c>
      <c r="R157" s="59">
        <f t="shared" si="109"/>
        <v>293.33333333334315</v>
      </c>
      <c r="S157" s="59">
        <f ca="1">AVERAGE(OFFSET($R$3,0,0,'Données projet'!$E$9+1,1))-AVERAGE(OFFSET($H$3,0,0,'Données projet'!$E$9+1,1))</f>
        <v>221.7429870520005</v>
      </c>
      <c r="T157" s="59">
        <f t="shared" si="142"/>
        <v>182.2029938397186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-5.1159076974727213E-13</v>
      </c>
      <c r="AJ157" s="13">
        <f>AI157*VLOOKUP('Données projet'!$B$10,Paramètres!$A$1:$I$89,3,0)*VLOOKUP('Données projet'!$B$10,Paramètres!$A$1:$I$89,5,0)</f>
        <v>-4.0702161641092972E-13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260.20517190557814</v>
      </c>
      <c r="AO157" s="59">
        <f t="shared" si="144"/>
        <v>307.22009971147133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0.27996872797512357</v>
      </c>
      <c r="AV157" s="21">
        <f>EXP(-LN(2)/25)*AV156+(1-EXP(-LN(2)/25))/(LN(2)/25)*Calculateur!AQ157*Calculateur!AS157*VLOOKUP('Données projet'!$B$10,Paramètres!$A$1:$I$89,3,0)*0.475*44/12</f>
        <v>0.65926522746416538</v>
      </c>
      <c r="AW157" s="21">
        <f>EXP(-LN(2)/2)*AW156+(1-EXP(-LN(2)/2))/(LN(2)/2)*AQ157*AT157*VLOOKUP('Données projet'!$B$10,Paramètres!$A$1:$I$89,3,0)*0.475*44/12</f>
        <v>5.2126346322585809E-18</v>
      </c>
      <c r="AX157" s="21">
        <f t="shared" si="166"/>
        <v>0.939233955439289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553.99999999999955</v>
      </c>
      <c r="BE157" s="13">
        <f>BD157*VLOOKUP('Données projet'!$B$11,Paramètres!$A$1:$I$89,3,0)*VLOOKUP('Données projet'!$B$11,Paramètres!$A$1:$I$89,5,0)</f>
        <v>331.29199999999975</v>
      </c>
      <c r="BF157" s="13">
        <f t="shared" si="167"/>
        <v>77.698110787752</v>
      </c>
      <c r="BG157" s="20">
        <f t="shared" si="168"/>
        <v>712.32444295533423</v>
      </c>
      <c r="BH157" s="59">
        <f t="shared" si="116"/>
        <v>1005.6577762886675</v>
      </c>
      <c r="BI157" s="59">
        <f ca="1">AVERAGE(OFFSET($BH$3,0,0,'Données projet'!$E$11+1,1))-AVERAGE(OFFSET($H$3,0,0,'Données projet'!$E$11+1,1))</f>
        <v>316.58509520829671</v>
      </c>
      <c r="BJ157" s="59">
        <f t="shared" si="146"/>
        <v>240.71332110643596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0.21746738518315056</v>
      </c>
      <c r="BQ157" s="21">
        <f>EXP(-LN(2)/25)*BQ156+(1-EXP(-LN(2)/25))/(LN(2)/25)*Calculateur!BL157*Calculateur!BN157*VLOOKUP('Données projet'!$B$11,Paramètres!$A$1:$I$89,3,0)*0.475*44/12</f>
        <v>0.49053645518174666</v>
      </c>
      <c r="BR157" s="21">
        <f>EXP(-LN(2)/2)*BR156+(1-EXP(-LN(2)/2))/(LN(2)/2)*BL157*BO157*VLOOKUP('Données projet'!$B$11,Paramètres!$A$1:$I$89,3,0)*0.475*44/12</f>
        <v>4.7573366839103191E-18</v>
      </c>
      <c r="BS157" s="22">
        <f t="shared" si="169"/>
        <v>0.70800384036489716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497</v>
      </c>
      <c r="BZ157" s="13">
        <f>BY157*VLOOKUP('Données projet'!$B$12,Paramètres!$A$1:$I$89,3,0)*VLOOKUP('Données projet'!$B$12,Paramètres!$A$1:$I$89,5,0)</f>
        <v>297.20600000000002</v>
      </c>
      <c r="CA157" s="13">
        <f t="shared" si="170"/>
        <v>70.590415164571112</v>
      </c>
      <c r="CB157" s="20">
        <f t="shared" si="171"/>
        <v>640.57875641162809</v>
      </c>
      <c r="CC157" s="59">
        <f t="shared" si="119"/>
        <v>933.91208974496135</v>
      </c>
      <c r="CD157" s="59">
        <f ca="1">AVERAGE(OFFSET($CC$3,0,0,'Données projet'!$E$12+1,1))-AVERAGE(OFFSET($H$3,0,0,'Données projet'!$E$12+1,1))</f>
        <v>270.30888762640245</v>
      </c>
      <c r="CE157" s="59">
        <f t="shared" si="148"/>
        <v>202.23783851977691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0.18377525508435241</v>
      </c>
      <c r="CL157" s="21">
        <f>EXP(-LN(2)/25)*CL156+(1-EXP(-LN(2)/25))/(LN(2)/25)*Calculateur!CG157*Calculateur!CI157*VLOOKUP('Données projet'!$B$12,Paramètres!$A$1:$I$89,3,0)*0.475*44/12</f>
        <v>0.39502729760923055</v>
      </c>
      <c r="CM157" s="21">
        <f>EXP(-LN(2)/2)*CM156+(1-EXP(-LN(2)/2))/(LN(2)/2)*CG157*CJ157*VLOOKUP('Données projet'!$B$12,Paramètres!$A$1:$I$89,3,0)*0.475*44/12</f>
        <v>4.0099452808733654E-18</v>
      </c>
      <c r="CN157" s="22">
        <f t="shared" si="172"/>
        <v>0.57880255269358294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-5.1159076974727213E-13</v>
      </c>
      <c r="CU157" s="17">
        <f>CT157*VLOOKUP('Données projet'!$B$13,Paramètres!$A$1:$I$89,3,0)*VLOOKUP('Données projet'!$B$13,Paramètres!$A$1:$I$89,5,0)</f>
        <v>-3.4317508834647017E-13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207.93042467236967</v>
      </c>
      <c r="CZ157" s="59">
        <f t="shared" si="150"/>
        <v>250.70954318710835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0.2360520647633392</v>
      </c>
      <c r="DG157" s="21">
        <f>EXP(-LN(2)/25)*DG156+(1-EXP(-LN(2)/25))/(LN(2)/25)*Calculateur!DB157*Calculateur!DD157*VLOOKUP('Données projet'!$B$13,Paramètres!$A$1:$I$89,3,0)*0.475*44/12</f>
        <v>0.55585107413645396</v>
      </c>
      <c r="DH157" s="21">
        <f>EXP(-LN(2)/2)*DH156+(1-EXP(-LN(2)/2))/(LN(2)/2)*DB157*DE157*VLOOKUP('Données projet'!$B$13,Paramètres!$A$1:$I$89,3,0)*0.475*44/12</f>
        <v>4.3949664546493914E-18</v>
      </c>
      <c r="DI157" s="22">
        <f t="shared" si="175"/>
        <v>0.79190313889979314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5.6843418860808015E-14</v>
      </c>
      <c r="DP157" s="17">
        <f>DO157*VLOOKUP('Données projet'!$B$14,Paramètres!$A$1:$I$89,3,0)*VLOOKUP('Données projet'!$B$14,Paramètres!$A$1:$I$89,5,0)</f>
        <v>3.813056537183002E-14</v>
      </c>
      <c r="DQ157" s="13">
        <f t="shared" si="176"/>
        <v>6.4086286045526829E-13</v>
      </c>
      <c r="DR157" s="20">
        <f t="shared" si="177"/>
        <v>1.1825802166488628E-12</v>
      </c>
      <c r="DS157" s="59">
        <f t="shared" si="125"/>
        <v>293.33333333333451</v>
      </c>
      <c r="DT157" s="59">
        <f ca="1">AVERAGE(OFFSET($DS$3,0,0,'Données projet'!$E$14+1,1))-AVERAGE(OFFSET($H$3,0,0,'Données projet'!$E$14+1,1))</f>
        <v>156.63226020379989</v>
      </c>
      <c r="DU157" s="59">
        <f t="shared" si="152"/>
        <v>196.0481096619543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0.27855332252291393</v>
      </c>
      <c r="EC157" s="21">
        <f>EXP(-LN(2)/2)*EC156+(1-EXP(-LN(2)/2))/(LN(2)/2)*DW157*DZ157*VLOOKUP('Données projet'!$B$14,Paramètres!$A$1:$I$89,3,0)*0.475*44/12</f>
        <v>1.9674953511299433E-18</v>
      </c>
      <c r="ED157" s="22">
        <f t="shared" si="178"/>
        <v>0.27855332252291393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1.8717948717948687</v>
      </c>
      <c r="EJ157" s="12">
        <f>IF('Données projet'!$A$192&gt;35,EJ156+EI157-ER156,IF(A157&lt;'Données projet'!$A$192,$EG$205^A157,IF(A157='Données projet'!$A$192,'Données projet'!$B$192,EJ156+EI157-ER156)))</f>
        <v>126.814102564102</v>
      </c>
      <c r="EK157" s="17">
        <f>EJ157*VLOOKUP('Données projet'!$B$15,Paramètres!$A$1:$I$89,3,0)*VLOOKUP('Données projet'!$B$15,Paramètres!$A$1:$I$89,5,0)</f>
        <v>128.58949999999945</v>
      </c>
      <c r="EL157" s="13">
        <f t="shared" si="179"/>
        <v>33.670227547903842</v>
      </c>
      <c r="EM157" s="20">
        <f t="shared" si="180"/>
        <v>282.6023588125982</v>
      </c>
      <c r="EN157" s="59">
        <f t="shared" si="128"/>
        <v>575.93569214593151</v>
      </c>
      <c r="EO157" s="59">
        <f ca="1">AVERAGE(OFFSET($EN$3,0,0,'Données projet'!$E$15+1,1))-AVERAGE(OFFSET($H$3,0,0,'Données projet'!$E$15+1,1))</f>
        <v>190.21499310415584</v>
      </c>
      <c r="EP157" s="59">
        <f t="shared" si="154"/>
        <v>136.15730566500173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7.1054273576010019E-14</v>
      </c>
      <c r="FF157" s="17">
        <f>FE157*VLOOKUP('Données projet'!$B$16,Paramètres!$A$1:$I$89,3,0)*VLOOKUP('Données projet'!$B$16,Paramètres!$A$1:$I$89,5,0)</f>
        <v>8.1854523159563538E-14</v>
      </c>
      <c r="FG157" s="13">
        <f t="shared" si="182"/>
        <v>1.2586836169904262E-12</v>
      </c>
      <c r="FH157" s="20">
        <f t="shared" si="183"/>
        <v>2.3347705940945655E-12</v>
      </c>
      <c r="FI157" s="59">
        <f t="shared" si="131"/>
        <v>293.33333333333564</v>
      </c>
      <c r="FJ157" s="59">
        <f ca="1">AVERAGE(OFFSET($FI$3,0,0,'Données projet'!$E$16+1,1))-AVERAGE(OFFSET($H$3,0,0,'Données projet'!$E$16+1,1))</f>
        <v>14.847345852478327</v>
      </c>
      <c r="FK157" s="59">
        <f t="shared" si="156"/>
        <v>46.764428272166299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5.7020913974859928E-2</v>
      </c>
      <c r="FS157" s="21">
        <f>EXP(-LN(2)/2)*FS156+(1-EXP(-LN(2)/2))/(LN(2)/2)*FM157*FP157*VLOOKUP('Données projet'!$B$16,Paramètres!$A$1:$I$89,3,0)*0.475*44/12</f>
        <v>4.2782520022725042E-19</v>
      </c>
      <c r="FT157" s="22">
        <f t="shared" si="184"/>
        <v>5.7020913974859928E-2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4.1145540308207271E-13</v>
      </c>
      <c r="P158" s="13">
        <f t="shared" si="141"/>
        <v>5.2428527960910789E-12</v>
      </c>
      <c r="Q158" s="20">
        <f t="shared" si="162"/>
        <v>9.8479201135599071E-12</v>
      </c>
      <c r="R158" s="59">
        <f t="shared" si="109"/>
        <v>293.33333333334315</v>
      </c>
      <c r="S158" s="59">
        <f ca="1">AVERAGE(OFFSET($R$3,0,0,'Données projet'!$E$9+1,1))-AVERAGE(OFFSET($H$3,0,0,'Données projet'!$E$9+1,1))</f>
        <v>221.7429870520005</v>
      </c>
      <c r="T158" s="59">
        <f t="shared" si="142"/>
        <v>182.2029938397186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-5.1159076974727213E-13</v>
      </c>
      <c r="AJ158" s="13">
        <f>AI158*VLOOKUP('Données projet'!$B$10,Paramètres!$A$1:$I$89,3,0)*VLOOKUP('Données projet'!$B$10,Paramètres!$A$1:$I$89,5,0)</f>
        <v>-4.0702161641092972E-13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260.20517190557814</v>
      </c>
      <c r="AO158" s="59">
        <f t="shared" si="144"/>
        <v>307.22009971147133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0.27447871198359391</v>
      </c>
      <c r="AV158" s="21">
        <f>EXP(-LN(2)/25)*AV157+(1-EXP(-LN(2)/25))/(LN(2)/25)*Calculateur!AQ158*Calculateur!AS158*VLOOKUP('Données projet'!$B$10,Paramètres!$A$1:$I$89,3,0)*0.475*44/12</f>
        <v>0.64123758514990625</v>
      </c>
      <c r="AW158" s="21">
        <f>EXP(-LN(2)/2)*AW157+(1-EXP(-LN(2)/2))/(LN(2)/2)*AQ158*AT158*VLOOKUP('Données projet'!$B$10,Paramètres!$A$1:$I$89,3,0)*0.475*44/12</f>
        <v>3.6858892963178879E-18</v>
      </c>
      <c r="AX158" s="21">
        <f t="shared" si="166"/>
        <v>0.91571629713350022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553.99999999999955</v>
      </c>
      <c r="BE158" s="13">
        <f>BD158*VLOOKUP('Données projet'!$B$11,Paramètres!$A$1:$I$89,3,0)*VLOOKUP('Données projet'!$B$11,Paramètres!$A$1:$I$89,5,0)</f>
        <v>331.29199999999975</v>
      </c>
      <c r="BF158" s="13">
        <f t="shared" si="167"/>
        <v>77.698110787752</v>
      </c>
      <c r="BG158" s="20">
        <f t="shared" si="168"/>
        <v>712.32444295533423</v>
      </c>
      <c r="BH158" s="59">
        <f t="shared" si="116"/>
        <v>1005.6577762886675</v>
      </c>
      <c r="BI158" s="59">
        <f ca="1">AVERAGE(OFFSET($BH$3,0,0,'Données projet'!$E$11+1,1))-AVERAGE(OFFSET($H$3,0,0,'Données projet'!$E$11+1,1))</f>
        <v>316.58509520829671</v>
      </c>
      <c r="BJ158" s="59">
        <f t="shared" si="146"/>
        <v>240.71332110643596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0.21320298240171665</v>
      </c>
      <c r="BQ158" s="21">
        <f>EXP(-LN(2)/25)*BQ157+(1-EXP(-LN(2)/25))/(LN(2)/25)*Calculateur!BL158*Calculateur!BN158*VLOOKUP('Données projet'!$B$11,Paramètres!$A$1:$I$89,3,0)*0.475*44/12</f>
        <v>0.47712271001861073</v>
      </c>
      <c r="BR158" s="21">
        <f>EXP(-LN(2)/2)*BR157+(1-EXP(-LN(2)/2))/(LN(2)/2)*BL158*BO158*VLOOKUP('Données projet'!$B$11,Paramètres!$A$1:$I$89,3,0)*0.475*44/12</f>
        <v>3.3639450295805096E-18</v>
      </c>
      <c r="BS158" s="22">
        <f t="shared" si="169"/>
        <v>0.69032569242032737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497</v>
      </c>
      <c r="BZ158" s="13">
        <f>BY158*VLOOKUP('Données projet'!$B$12,Paramètres!$A$1:$I$89,3,0)*VLOOKUP('Données projet'!$B$12,Paramètres!$A$1:$I$89,5,0)</f>
        <v>297.20600000000002</v>
      </c>
      <c r="CA158" s="13">
        <f t="shared" si="170"/>
        <v>70.590415164571112</v>
      </c>
      <c r="CB158" s="20">
        <f t="shared" si="171"/>
        <v>640.57875641162809</v>
      </c>
      <c r="CC158" s="59">
        <f t="shared" si="119"/>
        <v>933.91208974496135</v>
      </c>
      <c r="CD158" s="59">
        <f ca="1">AVERAGE(OFFSET($CC$3,0,0,'Données projet'!$E$12+1,1))-AVERAGE(OFFSET($H$3,0,0,'Données projet'!$E$12+1,1))</f>
        <v>270.30888762640245</v>
      </c>
      <c r="CE158" s="59">
        <f t="shared" si="148"/>
        <v>202.23783851977691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0.1801715344239857</v>
      </c>
      <c r="CL158" s="21">
        <f>EXP(-LN(2)/25)*CL157+(1-EXP(-LN(2)/25))/(LN(2)/25)*Calculateur!CG158*Calculateur!CI158*VLOOKUP('Données projet'!$B$12,Paramètres!$A$1:$I$89,3,0)*0.475*44/12</f>
        <v>0.38422525538252339</v>
      </c>
      <c r="CM158" s="21">
        <f>EXP(-LN(2)/2)*CM157+(1-EXP(-LN(2)/2))/(LN(2)/2)*CG158*CJ158*VLOOKUP('Données projet'!$B$12,Paramètres!$A$1:$I$89,3,0)*0.475*44/12</f>
        <v>2.8354595002925516E-18</v>
      </c>
      <c r="CN158" s="22">
        <f t="shared" si="172"/>
        <v>0.56439678980650909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-5.1159076974727213E-13</v>
      </c>
      <c r="CU158" s="17">
        <f>CT158*VLOOKUP('Données projet'!$B$13,Paramètres!$A$1:$I$89,3,0)*VLOOKUP('Données projet'!$B$13,Paramètres!$A$1:$I$89,5,0)</f>
        <v>-3.4317508834647017E-13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207.93042467236967</v>
      </c>
      <c r="CZ158" s="59">
        <f t="shared" si="150"/>
        <v>250.70954318710835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0.23142322775087301</v>
      </c>
      <c r="DG158" s="21">
        <f>EXP(-LN(2)/25)*DG157+(1-EXP(-LN(2)/25))/(LN(2)/25)*Calculateur!DB158*Calculateur!DD158*VLOOKUP('Données projet'!$B$13,Paramètres!$A$1:$I$89,3,0)*0.475*44/12</f>
        <v>0.54065129728325501</v>
      </c>
      <c r="DH158" s="21">
        <f>EXP(-LN(2)/2)*DH157+(1-EXP(-LN(2)/2))/(LN(2)/2)*DB158*DE158*VLOOKUP('Données projet'!$B$13,Paramètres!$A$1:$I$89,3,0)*0.475*44/12</f>
        <v>3.1077105831699838E-18</v>
      </c>
      <c r="DI158" s="22">
        <f t="shared" si="175"/>
        <v>0.77207452503412799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5.6843418860808015E-14</v>
      </c>
      <c r="DP158" s="17">
        <f>DO158*VLOOKUP('Données projet'!$B$14,Paramètres!$A$1:$I$89,3,0)*VLOOKUP('Données projet'!$B$14,Paramètres!$A$1:$I$89,5,0)</f>
        <v>3.813056537183002E-14</v>
      </c>
      <c r="DQ158" s="13">
        <f t="shared" si="176"/>
        <v>6.4086286045526829E-13</v>
      </c>
      <c r="DR158" s="20">
        <f t="shared" si="177"/>
        <v>1.1825802166488628E-12</v>
      </c>
      <c r="DS158" s="59">
        <f t="shared" si="125"/>
        <v>293.33333333333451</v>
      </c>
      <c r="DT158" s="59">
        <f ca="1">AVERAGE(OFFSET($DS$3,0,0,'Données projet'!$E$14+1,1))-AVERAGE(OFFSET($H$3,0,0,'Données projet'!$E$14+1,1))</f>
        <v>156.63226020379989</v>
      </c>
      <c r="DU158" s="59">
        <f t="shared" si="152"/>
        <v>196.0481096619543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0.27093626727004227</v>
      </c>
      <c r="EC158" s="21">
        <f>EXP(-LN(2)/2)*EC157+(1-EXP(-LN(2)/2))/(LN(2)/2)*DW158*DZ158*VLOOKUP('Données projet'!$B$14,Paramètres!$A$1:$I$89,3,0)*0.475*44/12</f>
        <v>1.3912293047369903E-18</v>
      </c>
      <c r="ED158" s="22">
        <f t="shared" si="178"/>
        <v>0.27093626727004227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1.8717948717948687</v>
      </c>
      <c r="EJ158" s="12">
        <f>IF('Données projet'!$A$192&gt;35,EJ157+EI158-ER157,IF(A158&lt;'Données projet'!$A$192,$EG$205^A158,IF(A158='Données projet'!$A$192,'Données projet'!$B$192,EJ157+EI158-ER157)))</f>
        <v>128.68589743589686</v>
      </c>
      <c r="EK158" s="17">
        <f>EJ158*VLOOKUP('Données projet'!$B$15,Paramètres!$A$1:$I$89,3,0)*VLOOKUP('Données projet'!$B$15,Paramètres!$A$1:$I$89,5,0)</f>
        <v>130.48749999999941</v>
      </c>
      <c r="EL158" s="13">
        <f t="shared" si="179"/>
        <v>34.10898171804417</v>
      </c>
      <c r="EM158" s="20">
        <f t="shared" si="180"/>
        <v>286.67220565892586</v>
      </c>
      <c r="EN158" s="59">
        <f t="shared" si="128"/>
        <v>580.00553899225918</v>
      </c>
      <c r="EO158" s="59">
        <f ca="1">AVERAGE(OFFSET($EN$3,0,0,'Données projet'!$E$15+1,1))-AVERAGE(OFFSET($H$3,0,0,'Données projet'!$E$15+1,1))</f>
        <v>190.21499310415584</v>
      </c>
      <c r="EP158" s="59">
        <f t="shared" si="154"/>
        <v>136.15730566500173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7.1054273576010019E-14</v>
      </c>
      <c r="FF158" s="17">
        <f>FE158*VLOOKUP('Données projet'!$B$16,Paramètres!$A$1:$I$89,3,0)*VLOOKUP('Données projet'!$B$16,Paramètres!$A$1:$I$89,5,0)</f>
        <v>8.1854523159563538E-14</v>
      </c>
      <c r="FG158" s="13">
        <f t="shared" si="182"/>
        <v>1.2586836169904262E-12</v>
      </c>
      <c r="FH158" s="20">
        <f t="shared" si="183"/>
        <v>2.3347705940945655E-12</v>
      </c>
      <c r="FI158" s="59">
        <f t="shared" si="131"/>
        <v>293.33333333333564</v>
      </c>
      <c r="FJ158" s="59">
        <f ca="1">AVERAGE(OFFSET($FI$3,0,0,'Données projet'!$E$16+1,1))-AVERAGE(OFFSET($H$3,0,0,'Données projet'!$E$16+1,1))</f>
        <v>14.847345852478327</v>
      </c>
      <c r="FK158" s="59">
        <f t="shared" si="156"/>
        <v>46.764428272166299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5.5461674083617837E-2</v>
      </c>
      <c r="FS158" s="21">
        <f>EXP(-LN(2)/2)*FS157+(1-EXP(-LN(2)/2))/(LN(2)/2)*FM158*FP158*VLOOKUP('Données projet'!$B$16,Paramètres!$A$1:$I$89,3,0)*0.475*44/12</f>
        <v>3.0251810024318128E-19</v>
      </c>
      <c r="FT158" s="22">
        <f t="shared" si="184"/>
        <v>5.5461674083617837E-2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4.1145540308207271E-13</v>
      </c>
      <c r="P159" s="13">
        <f t="shared" si="141"/>
        <v>5.2428527960910789E-12</v>
      </c>
      <c r="Q159" s="20">
        <f t="shared" si="162"/>
        <v>9.8479201135599071E-12</v>
      </c>
      <c r="R159" s="59">
        <f t="shared" si="109"/>
        <v>293.33333333334315</v>
      </c>
      <c r="S159" s="59">
        <f ca="1">AVERAGE(OFFSET($R$3,0,0,'Données projet'!$E$9+1,1))-AVERAGE(OFFSET($H$3,0,0,'Données projet'!$E$9+1,1))</f>
        <v>221.7429870520005</v>
      </c>
      <c r="T159" s="59">
        <f t="shared" si="142"/>
        <v>182.2029938397186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-5.1159076974727213E-13</v>
      </c>
      <c r="AJ159" s="13">
        <f>AI159*VLOOKUP('Données projet'!$B$10,Paramètres!$A$1:$I$89,3,0)*VLOOKUP('Données projet'!$B$10,Paramètres!$A$1:$I$89,5,0)</f>
        <v>-4.0702161641092972E-13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260.20517190557814</v>
      </c>
      <c r="AO159" s="59">
        <f t="shared" si="144"/>
        <v>307.22009971147133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0.26909635185707903</v>
      </c>
      <c r="AV159" s="21">
        <f>EXP(-LN(2)/25)*AV158+(1-EXP(-LN(2)/25))/(LN(2)/25)*Calculateur!AQ159*Calculateur!AS159*VLOOKUP('Données projet'!$B$10,Paramètres!$A$1:$I$89,3,0)*0.475*44/12</f>
        <v>0.62370290966276298</v>
      </c>
      <c r="AW159" s="21">
        <f>EXP(-LN(2)/2)*AW158+(1-EXP(-LN(2)/2))/(LN(2)/2)*AQ159*AT159*VLOOKUP('Données projet'!$B$10,Paramètres!$A$1:$I$89,3,0)*0.475*44/12</f>
        <v>2.6063173161292904E-18</v>
      </c>
      <c r="AX159" s="21">
        <f t="shared" si="166"/>
        <v>0.89279926151984201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553.99999999999955</v>
      </c>
      <c r="BE159" s="13">
        <f>BD159*VLOOKUP('Données projet'!$B$11,Paramètres!$A$1:$I$89,3,0)*VLOOKUP('Données projet'!$B$11,Paramètres!$A$1:$I$89,5,0)</f>
        <v>331.29199999999975</v>
      </c>
      <c r="BF159" s="13">
        <f t="shared" si="167"/>
        <v>77.698110787752</v>
      </c>
      <c r="BG159" s="20">
        <f t="shared" si="168"/>
        <v>712.32444295533423</v>
      </c>
      <c r="BH159" s="59">
        <f t="shared" si="116"/>
        <v>1005.6577762886675</v>
      </c>
      <c r="BI159" s="59">
        <f ca="1">AVERAGE(OFFSET($BH$3,0,0,'Données projet'!$E$11+1,1))-AVERAGE(OFFSET($H$3,0,0,'Données projet'!$E$11+1,1))</f>
        <v>316.58509520829671</v>
      </c>
      <c r="BJ159" s="59">
        <f t="shared" si="146"/>
        <v>240.71332110643596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0.20902220195779778</v>
      </c>
      <c r="BQ159" s="21">
        <f>EXP(-LN(2)/25)*BQ158+(1-EXP(-LN(2)/25))/(LN(2)/25)*Calculateur!BL159*Calculateur!BN159*VLOOKUP('Données projet'!$B$11,Paramètres!$A$1:$I$89,3,0)*0.475*44/12</f>
        <v>0.46407576442235898</v>
      </c>
      <c r="BR159" s="21">
        <f>EXP(-LN(2)/2)*BR158+(1-EXP(-LN(2)/2))/(LN(2)/2)*BL159*BO159*VLOOKUP('Données projet'!$B$11,Paramètres!$A$1:$I$89,3,0)*0.475*44/12</f>
        <v>2.3786683419551595E-18</v>
      </c>
      <c r="BS159" s="22">
        <f t="shared" si="169"/>
        <v>0.67309796638015673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497</v>
      </c>
      <c r="BZ159" s="13">
        <f>BY159*VLOOKUP('Données projet'!$B$12,Paramètres!$A$1:$I$89,3,0)*VLOOKUP('Données projet'!$B$12,Paramètres!$A$1:$I$89,5,0)</f>
        <v>297.20600000000002</v>
      </c>
      <c r="CA159" s="13">
        <f t="shared" si="170"/>
        <v>70.590415164571112</v>
      </c>
      <c r="CB159" s="20">
        <f t="shared" si="171"/>
        <v>640.57875641162809</v>
      </c>
      <c r="CC159" s="59">
        <f t="shared" si="119"/>
        <v>933.91208974496135</v>
      </c>
      <c r="CD159" s="59">
        <f ca="1">AVERAGE(OFFSET($CC$3,0,0,'Données projet'!$E$12+1,1))-AVERAGE(OFFSET($H$3,0,0,'Données projet'!$E$12+1,1))</f>
        <v>270.30888762640245</v>
      </c>
      <c r="CE159" s="59">
        <f t="shared" si="148"/>
        <v>202.23783851977691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0.17663848052771622</v>
      </c>
      <c r="CL159" s="21">
        <f>EXP(-LN(2)/25)*CL158+(1-EXP(-LN(2)/25))/(LN(2)/25)*Calculateur!CG159*Calculateur!CI159*VLOOKUP('Données projet'!$B$12,Paramètres!$A$1:$I$89,3,0)*0.475*44/12</f>
        <v>0.37371859556856024</v>
      </c>
      <c r="CM159" s="21">
        <f>EXP(-LN(2)/2)*CM158+(1-EXP(-LN(2)/2))/(LN(2)/2)*CG159*CJ159*VLOOKUP('Données projet'!$B$12,Paramètres!$A$1:$I$89,3,0)*0.475*44/12</f>
        <v>2.0049726404366827E-18</v>
      </c>
      <c r="CN159" s="22">
        <f t="shared" si="172"/>
        <v>0.55035707609627649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-5.1159076974727213E-13</v>
      </c>
      <c r="CU159" s="17">
        <f>CT159*VLOOKUP('Données projet'!$B$13,Paramètres!$A$1:$I$89,3,0)*VLOOKUP('Données projet'!$B$13,Paramètres!$A$1:$I$89,5,0)</f>
        <v>-3.4317508834647017E-13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207.93042467236967</v>
      </c>
      <c r="CZ159" s="59">
        <f t="shared" si="150"/>
        <v>250.70954318710835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0.22688515940890949</v>
      </c>
      <c r="DG159" s="21">
        <f>EXP(-LN(2)/25)*DG158+(1-EXP(-LN(2)/25))/(LN(2)/25)*Calculateur!DB159*Calculateur!DD159*VLOOKUP('Données projet'!$B$13,Paramètres!$A$1:$I$89,3,0)*0.475*44/12</f>
        <v>0.52586715912742832</v>
      </c>
      <c r="DH159" s="21">
        <f>EXP(-LN(2)/2)*DH158+(1-EXP(-LN(2)/2))/(LN(2)/2)*DB159*DE159*VLOOKUP('Données projet'!$B$13,Paramètres!$A$1:$I$89,3,0)*0.475*44/12</f>
        <v>2.1974832273246957E-18</v>
      </c>
      <c r="DI159" s="22">
        <f t="shared" si="175"/>
        <v>0.75275231853633784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5.6843418860808015E-14</v>
      </c>
      <c r="DP159" s="17">
        <f>DO159*VLOOKUP('Données projet'!$B$14,Paramètres!$A$1:$I$89,3,0)*VLOOKUP('Données projet'!$B$14,Paramètres!$A$1:$I$89,5,0)</f>
        <v>3.813056537183002E-14</v>
      </c>
      <c r="DQ159" s="13">
        <f t="shared" si="176"/>
        <v>6.4086286045526829E-13</v>
      </c>
      <c r="DR159" s="20">
        <f t="shared" si="177"/>
        <v>1.1825802166488628E-12</v>
      </c>
      <c r="DS159" s="59">
        <f t="shared" si="125"/>
        <v>293.33333333333451</v>
      </c>
      <c r="DT159" s="59">
        <f ca="1">AVERAGE(OFFSET($DS$3,0,0,'Données projet'!$E$14+1,1))-AVERAGE(OFFSET($H$3,0,0,'Données projet'!$E$14+1,1))</f>
        <v>156.63226020379989</v>
      </c>
      <c r="DU159" s="59">
        <f t="shared" si="152"/>
        <v>196.0481096619543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0.26352750079362391</v>
      </c>
      <c r="EC159" s="21">
        <f>EXP(-LN(2)/2)*EC158+(1-EXP(-LN(2)/2))/(LN(2)/2)*DW159*DZ159*VLOOKUP('Données projet'!$B$14,Paramètres!$A$1:$I$89,3,0)*0.475*44/12</f>
        <v>9.8374767556497163E-19</v>
      </c>
      <c r="ED159" s="22">
        <f t="shared" si="178"/>
        <v>0.26352750079362391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1.8717948717948687</v>
      </c>
      <c r="EJ159" s="12">
        <f>IF('Données projet'!$A$192&gt;35,EJ158+EI159-ER158,IF(A159&lt;'Données projet'!$A$192,$EG$205^A159,IF(A159='Données projet'!$A$192,'Données projet'!$B$192,EJ158+EI159-ER158)))</f>
        <v>130.55769230769172</v>
      </c>
      <c r="EK159" s="17">
        <f>EJ159*VLOOKUP('Données projet'!$B$15,Paramètres!$A$1:$I$89,3,0)*VLOOKUP('Données projet'!$B$15,Paramètres!$A$1:$I$89,5,0)</f>
        <v>132.38549999999941</v>
      </c>
      <c r="EL159" s="13">
        <f t="shared" si="179"/>
        <v>34.546993638315612</v>
      </c>
      <c r="EM159" s="20">
        <f t="shared" si="180"/>
        <v>290.74075975339866</v>
      </c>
      <c r="EN159" s="59">
        <f t="shared" si="128"/>
        <v>584.07409308673198</v>
      </c>
      <c r="EO159" s="59">
        <f ca="1">AVERAGE(OFFSET($EN$3,0,0,'Données projet'!$E$15+1,1))-AVERAGE(OFFSET($H$3,0,0,'Données projet'!$E$15+1,1))</f>
        <v>190.21499310415584</v>
      </c>
      <c r="EP159" s="59">
        <f t="shared" si="154"/>
        <v>136.15730566500173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7.1054273576010019E-14</v>
      </c>
      <c r="FF159" s="17">
        <f>FE159*VLOOKUP('Données projet'!$B$16,Paramètres!$A$1:$I$89,3,0)*VLOOKUP('Données projet'!$B$16,Paramètres!$A$1:$I$89,5,0)</f>
        <v>8.1854523159563538E-14</v>
      </c>
      <c r="FG159" s="13">
        <f t="shared" si="182"/>
        <v>1.2586836169904262E-12</v>
      </c>
      <c r="FH159" s="20">
        <f t="shared" si="183"/>
        <v>2.3347705940945655E-12</v>
      </c>
      <c r="FI159" s="59">
        <f t="shared" si="131"/>
        <v>293.33333333333564</v>
      </c>
      <c r="FJ159" s="59">
        <f ca="1">AVERAGE(OFFSET($FI$3,0,0,'Données projet'!$E$16+1,1))-AVERAGE(OFFSET($H$3,0,0,'Données projet'!$E$16+1,1))</f>
        <v>14.847345852478327</v>
      </c>
      <c r="FK159" s="59">
        <f t="shared" si="156"/>
        <v>46.764428272166299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5.3945071689198626E-2</v>
      </c>
      <c r="FS159" s="21">
        <f>EXP(-LN(2)/2)*FS158+(1-EXP(-LN(2)/2))/(LN(2)/2)*FM159*FP159*VLOOKUP('Données projet'!$B$16,Paramètres!$A$1:$I$89,3,0)*0.475*44/12</f>
        <v>2.1391260011362526E-19</v>
      </c>
      <c r="FT159" s="22">
        <f t="shared" si="184"/>
        <v>5.3945071689198626E-2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4.1145540308207271E-13</v>
      </c>
      <c r="P160" s="13">
        <f t="shared" si="141"/>
        <v>5.2428527960910789E-12</v>
      </c>
      <c r="Q160" s="20">
        <f t="shared" si="162"/>
        <v>9.8479201135599071E-12</v>
      </c>
      <c r="R160" s="59">
        <f t="shared" si="109"/>
        <v>293.33333333334315</v>
      </c>
      <c r="S160" s="59">
        <f ca="1">AVERAGE(OFFSET($R$3,0,0,'Données projet'!$E$9+1,1))-AVERAGE(OFFSET($H$3,0,0,'Données projet'!$E$9+1,1))</f>
        <v>221.7429870520005</v>
      </c>
      <c r="T160" s="59">
        <f t="shared" si="142"/>
        <v>182.2029938397186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-5.1159076974727213E-13</v>
      </c>
      <c r="AJ160" s="13">
        <f>AI160*VLOOKUP('Données projet'!$B$10,Paramètres!$A$1:$I$89,3,0)*VLOOKUP('Données projet'!$B$10,Paramètres!$A$1:$I$89,5,0)</f>
        <v>-4.0702161641092972E-13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260.20517190557814</v>
      </c>
      <c r="AO160" s="59">
        <f t="shared" si="144"/>
        <v>307.22009971147133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0.26381953652972961</v>
      </c>
      <c r="AV160" s="21">
        <f>EXP(-LN(2)/25)*AV159+(1-EXP(-LN(2)/25))/(LN(2)/25)*Calculateur!AQ160*Calculateur!AS160*VLOOKUP('Données projet'!$B$10,Paramètres!$A$1:$I$89,3,0)*0.475*44/12</f>
        <v>0.60664772079892415</v>
      </c>
      <c r="AW160" s="21">
        <f>EXP(-LN(2)/2)*AW159+(1-EXP(-LN(2)/2))/(LN(2)/2)*AQ160*AT160*VLOOKUP('Données projet'!$B$10,Paramètres!$A$1:$I$89,3,0)*0.475*44/12</f>
        <v>1.842944648158944E-18</v>
      </c>
      <c r="AX160" s="21">
        <f t="shared" si="166"/>
        <v>0.87046725732865382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553.99999999999955</v>
      </c>
      <c r="BE160" s="13">
        <f>BD160*VLOOKUP('Données projet'!$B$11,Paramètres!$A$1:$I$89,3,0)*VLOOKUP('Données projet'!$B$11,Paramètres!$A$1:$I$89,5,0)</f>
        <v>331.29199999999975</v>
      </c>
      <c r="BF160" s="13">
        <f t="shared" si="167"/>
        <v>77.698110787752</v>
      </c>
      <c r="BG160" s="20">
        <f t="shared" si="168"/>
        <v>712.32444295533423</v>
      </c>
      <c r="BH160" s="59">
        <f t="shared" si="116"/>
        <v>1005.6577762886675</v>
      </c>
      <c r="BI160" s="59">
        <f ca="1">AVERAGE(OFFSET($BH$3,0,0,'Données projet'!$E$11+1,1))-AVERAGE(OFFSET($H$3,0,0,'Données projet'!$E$11+1,1))</f>
        <v>316.58509520829671</v>
      </c>
      <c r="BJ160" s="59">
        <f t="shared" si="146"/>
        <v>240.71332110643596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0.20492340406835988</v>
      </c>
      <c r="BQ160" s="21">
        <f>EXP(-LN(2)/25)*BQ159+(1-EXP(-LN(2)/25))/(LN(2)/25)*Calculateur!BL160*Calculateur!BN160*VLOOKUP('Données projet'!$B$11,Paramètres!$A$1:$I$89,3,0)*0.475*44/12</f>
        <v>0.45138558823954578</v>
      </c>
      <c r="BR160" s="21">
        <f>EXP(-LN(2)/2)*BR159+(1-EXP(-LN(2)/2))/(LN(2)/2)*BL160*BO160*VLOOKUP('Données projet'!$B$11,Paramètres!$A$1:$I$89,3,0)*0.475*44/12</f>
        <v>1.6819725147902548E-18</v>
      </c>
      <c r="BS160" s="22">
        <f t="shared" si="169"/>
        <v>0.65630899230790563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497</v>
      </c>
      <c r="BZ160" s="13">
        <f>BY160*VLOOKUP('Données projet'!$B$12,Paramètres!$A$1:$I$89,3,0)*VLOOKUP('Données projet'!$B$12,Paramètres!$A$1:$I$89,5,0)</f>
        <v>297.20600000000002</v>
      </c>
      <c r="CA160" s="13">
        <f t="shared" si="170"/>
        <v>70.590415164571112</v>
      </c>
      <c r="CB160" s="20">
        <f t="shared" si="171"/>
        <v>640.57875641162809</v>
      </c>
      <c r="CC160" s="59">
        <f t="shared" si="119"/>
        <v>933.91208974496135</v>
      </c>
      <c r="CD160" s="59">
        <f ca="1">AVERAGE(OFFSET($CC$3,0,0,'Données projet'!$E$12+1,1))-AVERAGE(OFFSET($H$3,0,0,'Données projet'!$E$12+1,1))</f>
        <v>270.30888762640245</v>
      </c>
      <c r="CE160" s="59">
        <f t="shared" si="148"/>
        <v>202.23783851977691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0.17317470766340251</v>
      </c>
      <c r="CL160" s="21">
        <f>EXP(-LN(2)/25)*CL159+(1-EXP(-LN(2)/25))/(LN(2)/25)*Calculateur!CG160*Calculateur!CI160*VLOOKUP('Données projet'!$B$12,Paramètres!$A$1:$I$89,3,0)*0.475*44/12</f>
        <v>0.36349924091973118</v>
      </c>
      <c r="CM160" s="21">
        <f>EXP(-LN(2)/2)*CM159+(1-EXP(-LN(2)/2))/(LN(2)/2)*CG160*CJ160*VLOOKUP('Données projet'!$B$12,Paramètres!$A$1:$I$89,3,0)*0.475*44/12</f>
        <v>1.4177297501462758E-18</v>
      </c>
      <c r="CN160" s="22">
        <f t="shared" si="172"/>
        <v>0.53667394858313366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-5.1159076974727213E-13</v>
      </c>
      <c r="CU160" s="17">
        <f>CT160*VLOOKUP('Données projet'!$B$13,Paramètres!$A$1:$I$89,3,0)*VLOOKUP('Données projet'!$B$13,Paramètres!$A$1:$I$89,5,0)</f>
        <v>-3.4317508834647017E-13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207.93042467236967</v>
      </c>
      <c r="CZ160" s="59">
        <f t="shared" si="150"/>
        <v>250.70954318710835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0.22243607981918351</v>
      </c>
      <c r="DG160" s="21">
        <f>EXP(-LN(2)/25)*DG159+(1-EXP(-LN(2)/25))/(LN(2)/25)*Calculateur!DB160*Calculateur!DD160*VLOOKUP('Données projet'!$B$13,Paramètres!$A$1:$I$89,3,0)*0.475*44/12</f>
        <v>0.51148729400693682</v>
      </c>
      <c r="DH160" s="21">
        <f>EXP(-LN(2)/2)*DH159+(1-EXP(-LN(2)/2))/(LN(2)/2)*DB160*DE160*VLOOKUP('Données projet'!$B$13,Paramètres!$A$1:$I$89,3,0)*0.475*44/12</f>
        <v>1.5538552915849919E-18</v>
      </c>
      <c r="DI160" s="22">
        <f t="shared" si="175"/>
        <v>0.73392337382612038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5.6843418860808015E-14</v>
      </c>
      <c r="DP160" s="17">
        <f>DO160*VLOOKUP('Données projet'!$B$14,Paramètres!$A$1:$I$89,3,0)*VLOOKUP('Données projet'!$B$14,Paramètres!$A$1:$I$89,5,0)</f>
        <v>3.813056537183002E-14</v>
      </c>
      <c r="DQ160" s="13">
        <f t="shared" si="176"/>
        <v>6.4086286045526829E-13</v>
      </c>
      <c r="DR160" s="20">
        <f t="shared" si="177"/>
        <v>1.1825802166488628E-12</v>
      </c>
      <c r="DS160" s="59">
        <f t="shared" si="125"/>
        <v>293.33333333333451</v>
      </c>
      <c r="DT160" s="59">
        <f ca="1">AVERAGE(OFFSET($DS$3,0,0,'Données projet'!$E$14+1,1))-AVERAGE(OFFSET($H$3,0,0,'Données projet'!$E$14+1,1))</f>
        <v>156.63226020379989</v>
      </c>
      <c r="DU160" s="59">
        <f t="shared" si="152"/>
        <v>196.0481096619543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0.2563213274261133</v>
      </c>
      <c r="EC160" s="21">
        <f>EXP(-LN(2)/2)*EC159+(1-EXP(-LN(2)/2))/(LN(2)/2)*DW160*DZ160*VLOOKUP('Données projet'!$B$14,Paramètres!$A$1:$I$89,3,0)*0.475*44/12</f>
        <v>6.9561465236849514E-19</v>
      </c>
      <c r="ED160" s="22">
        <f t="shared" si="178"/>
        <v>0.2563213274261133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>
        <f>VLOOKUP(A160,'Données projet'!$A$191:$I$211,2,0)</f>
        <v>132.42948717948718</v>
      </c>
      <c r="EH160" s="12">
        <f>VLOOKUP(A160,'Données projet'!$A$191:$I$211,9,0)</f>
        <v>1.8717948717948687</v>
      </c>
      <c r="EI160" s="12">
        <f t="array" ref="EI160">INDEX(EH:EH,MIN(IF(ISNUMBER(EH160:EH356),ROW(EH160:EH356),"")))</f>
        <v>1.8717948717948687</v>
      </c>
      <c r="EJ160" s="12">
        <f>IF('Données projet'!$A$192&gt;35,EJ159+EI160-ER159,IF(A160&lt;'Données projet'!$A$192,$EG$205^A160,IF(A160='Données projet'!$A$192,'Données projet'!$B$192,EJ159+EI160-ER159)))</f>
        <v>132.42948717948659</v>
      </c>
      <c r="EK160" s="17">
        <f>EJ160*VLOOKUP('Données projet'!$B$15,Paramètres!$A$1:$I$89,3,0)*VLOOKUP('Données projet'!$B$15,Paramètres!$A$1:$I$89,5,0)</f>
        <v>134.28349999999941</v>
      </c>
      <c r="EL160" s="13">
        <f t="shared" si="179"/>
        <v>34.984275179883845</v>
      </c>
      <c r="EM160" s="20">
        <f t="shared" si="180"/>
        <v>294.80804177162997</v>
      </c>
      <c r="EN160" s="59">
        <f t="shared" si="128"/>
        <v>588.14137510496334</v>
      </c>
      <c r="EO160" s="59">
        <f ca="1">AVERAGE(OFFSET($EN$3,0,0,'Données projet'!$E$15+1,1))-AVERAGE(OFFSET($H$3,0,0,'Données projet'!$E$15+1,1))</f>
        <v>190.21499310415584</v>
      </c>
      <c r="EP160" s="59">
        <f t="shared" si="154"/>
        <v>136.15730566500173</v>
      </c>
      <c r="EQ160" s="15">
        <f>IF(ISNA(VLOOKUP(A160,'Données projet'!$A$191:$I$211,3,0)),0,VLOOKUP(A160,'Données projet'!$A$191:$I$211,3,0))</f>
        <v>14</v>
      </c>
      <c r="ER160" s="15">
        <f>IF(ISNA(VLOOKUP(A160,'Données projet'!$A$191:$I$211,4,0)),0,VLOOKUP(A160,'Données projet'!$A$191:$I$211,4,0))</f>
        <v>45.71153846153846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7.1054273576010019E-14</v>
      </c>
      <c r="FF160" s="17">
        <f>FE160*VLOOKUP('Données projet'!$B$16,Paramètres!$A$1:$I$89,3,0)*VLOOKUP('Données projet'!$B$16,Paramètres!$A$1:$I$89,5,0)</f>
        <v>8.1854523159563538E-14</v>
      </c>
      <c r="FG160" s="13">
        <f t="shared" si="182"/>
        <v>1.2586836169904262E-12</v>
      </c>
      <c r="FH160" s="20">
        <f t="shared" si="183"/>
        <v>2.3347705940945655E-12</v>
      </c>
      <c r="FI160" s="59">
        <f t="shared" si="131"/>
        <v>293.33333333333564</v>
      </c>
      <c r="FJ160" s="59">
        <f ca="1">AVERAGE(OFFSET($FI$3,0,0,'Données projet'!$E$16+1,1))-AVERAGE(OFFSET($H$3,0,0,'Données projet'!$E$16+1,1))</f>
        <v>14.847345852478327</v>
      </c>
      <c r="FK160" s="59">
        <f t="shared" si="156"/>
        <v>46.764428272166299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5.2469940867009464E-2</v>
      </c>
      <c r="FS160" s="21">
        <f>EXP(-LN(2)/2)*FS159+(1-EXP(-LN(2)/2))/(LN(2)/2)*FM160*FP160*VLOOKUP('Données projet'!$B$16,Paramètres!$A$1:$I$89,3,0)*0.475*44/12</f>
        <v>1.5125905012159067E-19</v>
      </c>
      <c r="FT160" s="22">
        <f t="shared" si="184"/>
        <v>5.2469940867009464E-2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4.1145540308207271E-13</v>
      </c>
      <c r="P161" s="13">
        <f t="shared" si="141"/>
        <v>5.2428527960910789E-12</v>
      </c>
      <c r="Q161" s="20">
        <f t="shared" si="162"/>
        <v>9.8479201135599071E-12</v>
      </c>
      <c r="R161" s="59">
        <f t="shared" si="109"/>
        <v>293.33333333334315</v>
      </c>
      <c r="S161" s="59">
        <f ca="1">AVERAGE(OFFSET($R$3,0,0,'Données projet'!$E$9+1,1))-AVERAGE(OFFSET($H$3,0,0,'Données projet'!$E$9+1,1))</f>
        <v>221.7429870520005</v>
      </c>
      <c r="T161" s="59">
        <f t="shared" si="142"/>
        <v>182.2029938397186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-5.1159076974727213E-13</v>
      </c>
      <c r="AJ161" s="13">
        <f>AI161*VLOOKUP('Données projet'!$B$10,Paramètres!$A$1:$I$89,3,0)*VLOOKUP('Données projet'!$B$10,Paramètres!$A$1:$I$89,5,0)</f>
        <v>-4.0702161641092972E-13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260.20517190557814</v>
      </c>
      <c r="AO161" s="59">
        <f t="shared" si="144"/>
        <v>307.22009971147133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0.25864619633240998</v>
      </c>
      <c r="AV161" s="21">
        <f>EXP(-LN(2)/25)*AV160+(1-EXP(-LN(2)/25))/(LN(2)/25)*Calculateur!AQ161*Calculateur!AS161*VLOOKUP('Données projet'!$B$10,Paramètres!$A$1:$I$89,3,0)*0.475*44/12</f>
        <v>0.59005890697146046</v>
      </c>
      <c r="AW161" s="21">
        <f>EXP(-LN(2)/2)*AW160+(1-EXP(-LN(2)/2))/(LN(2)/2)*AQ161*AT161*VLOOKUP('Données projet'!$B$10,Paramètres!$A$1:$I$89,3,0)*0.475*44/12</f>
        <v>1.3031586580646452E-18</v>
      </c>
      <c r="AX161" s="21">
        <f t="shared" si="166"/>
        <v>0.84870510330387039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553.99999999999955</v>
      </c>
      <c r="BE161" s="13">
        <f>BD161*VLOOKUP('Données projet'!$B$11,Paramètres!$A$1:$I$89,3,0)*VLOOKUP('Données projet'!$B$11,Paramètres!$A$1:$I$89,5,0)</f>
        <v>331.29199999999975</v>
      </c>
      <c r="BF161" s="13">
        <f t="shared" si="167"/>
        <v>77.698110787752</v>
      </c>
      <c r="BG161" s="20">
        <f t="shared" si="168"/>
        <v>712.32444295533423</v>
      </c>
      <c r="BH161" s="59">
        <f t="shared" si="116"/>
        <v>1005.6577762886675</v>
      </c>
      <c r="BI161" s="59">
        <f ca="1">AVERAGE(OFFSET($BH$3,0,0,'Données projet'!$E$11+1,1))-AVERAGE(OFFSET($H$3,0,0,'Données projet'!$E$11+1,1))</f>
        <v>316.58509520829671</v>
      </c>
      <c r="BJ161" s="59">
        <f t="shared" si="146"/>
        <v>240.71332110643596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0.200904981105514</v>
      </c>
      <c r="BQ161" s="21">
        <f>EXP(-LN(2)/25)*BQ160+(1-EXP(-LN(2)/25))/(LN(2)/25)*Calculateur!BL161*Calculateur!BN161*VLOOKUP('Données projet'!$B$11,Paramètres!$A$1:$I$89,3,0)*0.475*44/12</f>
        <v>0.43904242559179896</v>
      </c>
      <c r="BR161" s="21">
        <f>EXP(-LN(2)/2)*BR160+(1-EXP(-LN(2)/2))/(LN(2)/2)*BL161*BO161*VLOOKUP('Données projet'!$B$11,Paramètres!$A$1:$I$89,3,0)*0.475*44/12</f>
        <v>1.1893341709775798E-18</v>
      </c>
      <c r="BS161" s="22">
        <f t="shared" si="169"/>
        <v>0.63994740669731298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497</v>
      </c>
      <c r="BZ161" s="13">
        <f>BY161*VLOOKUP('Données projet'!$B$12,Paramètres!$A$1:$I$89,3,0)*VLOOKUP('Données projet'!$B$12,Paramètres!$A$1:$I$89,5,0)</f>
        <v>297.20600000000002</v>
      </c>
      <c r="CA161" s="13">
        <f t="shared" si="170"/>
        <v>70.590415164571112</v>
      </c>
      <c r="CB161" s="20">
        <f t="shared" si="171"/>
        <v>640.57875641162809</v>
      </c>
      <c r="CC161" s="59">
        <f t="shared" si="119"/>
        <v>933.91208974496135</v>
      </c>
      <c r="CD161" s="59">
        <f ca="1">AVERAGE(OFFSET($CC$3,0,0,'Données projet'!$E$12+1,1))-AVERAGE(OFFSET($H$3,0,0,'Données projet'!$E$12+1,1))</f>
        <v>270.30888762640245</v>
      </c>
      <c r="CE161" s="59">
        <f t="shared" si="148"/>
        <v>202.23783851977691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0.16977885727226516</v>
      </c>
      <c r="CL161" s="21">
        <f>EXP(-LN(2)/25)*CL160+(1-EXP(-LN(2)/25))/(LN(2)/25)*Calculateur!CG161*Calculateur!CI161*VLOOKUP('Données projet'!$B$12,Paramètres!$A$1:$I$89,3,0)*0.475*44/12</f>
        <v>0.35355933506118686</v>
      </c>
      <c r="CM161" s="21">
        <f>EXP(-LN(2)/2)*CM160+(1-EXP(-LN(2)/2))/(LN(2)/2)*CG161*CJ161*VLOOKUP('Données projet'!$B$12,Paramètres!$A$1:$I$89,3,0)*0.475*44/12</f>
        <v>1.0024863202183413E-18</v>
      </c>
      <c r="CN161" s="22">
        <f t="shared" si="172"/>
        <v>0.52333819233345202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-5.1159076974727213E-13</v>
      </c>
      <c r="CU161" s="17">
        <f>CT161*VLOOKUP('Données projet'!$B$13,Paramètres!$A$1:$I$89,3,0)*VLOOKUP('Données projet'!$B$13,Paramètres!$A$1:$I$89,5,0)</f>
        <v>-3.4317508834647017E-13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207.93042467236967</v>
      </c>
      <c r="CZ161" s="59">
        <f t="shared" si="150"/>
        <v>250.70954318710835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0.21807424396654146</v>
      </c>
      <c r="DG161" s="21">
        <f>EXP(-LN(2)/25)*DG160+(1-EXP(-LN(2)/25))/(LN(2)/25)*Calculateur!DB161*Calculateur!DD161*VLOOKUP('Données projet'!$B$13,Paramètres!$A$1:$I$89,3,0)*0.475*44/12</f>
        <v>0.49750064705436936</v>
      </c>
      <c r="DH161" s="21">
        <f>EXP(-LN(2)/2)*DH160+(1-EXP(-LN(2)/2))/(LN(2)/2)*DB161*DE161*VLOOKUP('Données projet'!$B$13,Paramètres!$A$1:$I$89,3,0)*0.475*44/12</f>
        <v>1.0987416136623479E-18</v>
      </c>
      <c r="DI161" s="22">
        <f t="shared" si="175"/>
        <v>0.71557489102091076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5.6843418860808015E-14</v>
      </c>
      <c r="DP161" s="17">
        <f>DO161*VLOOKUP('Données projet'!$B$14,Paramètres!$A$1:$I$89,3,0)*VLOOKUP('Données projet'!$B$14,Paramètres!$A$1:$I$89,5,0)</f>
        <v>3.813056537183002E-14</v>
      </c>
      <c r="DQ161" s="13">
        <f t="shared" si="176"/>
        <v>6.4086286045526829E-13</v>
      </c>
      <c r="DR161" s="20">
        <f t="shared" si="177"/>
        <v>1.1825802166488628E-12</v>
      </c>
      <c r="DS161" s="59">
        <f t="shared" si="125"/>
        <v>293.33333333333451</v>
      </c>
      <c r="DT161" s="59">
        <f ca="1">AVERAGE(OFFSET($DS$3,0,0,'Données projet'!$E$14+1,1))-AVERAGE(OFFSET($H$3,0,0,'Données projet'!$E$14+1,1))</f>
        <v>156.63226020379989</v>
      </c>
      <c r="DU161" s="59">
        <f t="shared" si="152"/>
        <v>196.0481096619543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0.24931220724829345</v>
      </c>
      <c r="EC161" s="21">
        <f>EXP(-LN(2)/2)*EC160+(1-EXP(-LN(2)/2))/(LN(2)/2)*DW161*DZ161*VLOOKUP('Données projet'!$B$14,Paramètres!$A$1:$I$89,3,0)*0.475*44/12</f>
        <v>4.9187383778248581E-19</v>
      </c>
      <c r="ED161" s="22">
        <f t="shared" si="178"/>
        <v>0.24931220724829345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1.1618589743589709</v>
      </c>
      <c r="EJ161" s="12">
        <f>IF('Données projet'!$A$192&gt;35,EJ160+EI161-ER160,IF(A161&lt;'Données projet'!$A$192,$EG$205^A161,IF(A161='Données projet'!$A$192,'Données projet'!$B$192,EJ160+EI161-ER160)))</f>
        <v>87.879807692307111</v>
      </c>
      <c r="EK161" s="17">
        <f>EJ161*VLOOKUP('Données projet'!$B$15,Paramètres!$A$1:$I$89,3,0)*VLOOKUP('Données projet'!$B$15,Paramètres!$A$1:$I$89,5,0)</f>
        <v>89.110124999999414</v>
      </c>
      <c r="EL161" s="13">
        <f t="shared" si="179"/>
        <v>24.350484613685037</v>
      </c>
      <c r="EM161" s="20">
        <f t="shared" si="180"/>
        <v>197.61056174383373</v>
      </c>
      <c r="EN161" s="59">
        <f t="shared" si="128"/>
        <v>490.94389507716704</v>
      </c>
      <c r="EO161" s="59">
        <f ca="1">AVERAGE(OFFSET($EN$3,0,0,'Données projet'!$E$15+1,1))-AVERAGE(OFFSET($H$3,0,0,'Données projet'!$E$15+1,1))</f>
        <v>190.21499310415584</v>
      </c>
      <c r="EP161" s="59">
        <f t="shared" si="154"/>
        <v>136.15730566500173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7.1054273576010019E-14</v>
      </c>
      <c r="FF161" s="17">
        <f>FE161*VLOOKUP('Données projet'!$B$16,Paramètres!$A$1:$I$89,3,0)*VLOOKUP('Données projet'!$B$16,Paramètres!$A$1:$I$89,5,0)</f>
        <v>8.1854523159563538E-14</v>
      </c>
      <c r="FG161" s="13">
        <f t="shared" si="182"/>
        <v>1.2586836169904262E-12</v>
      </c>
      <c r="FH161" s="20">
        <f t="shared" si="183"/>
        <v>2.3347705940945655E-12</v>
      </c>
      <c r="FI161" s="59">
        <f t="shared" si="131"/>
        <v>293.33333333333564</v>
      </c>
      <c r="FJ161" s="59">
        <f ca="1">AVERAGE(OFFSET($FI$3,0,0,'Données projet'!$E$16+1,1))-AVERAGE(OFFSET($H$3,0,0,'Données projet'!$E$16+1,1))</f>
        <v>14.847345852478327</v>
      </c>
      <c r="FK161" s="59">
        <f t="shared" si="156"/>
        <v>46.764428272166299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5.1035147574726825E-2</v>
      </c>
      <c r="FS161" s="21">
        <f>EXP(-LN(2)/2)*FS160+(1-EXP(-LN(2)/2))/(LN(2)/2)*FM161*FP161*VLOOKUP('Données projet'!$B$16,Paramètres!$A$1:$I$89,3,0)*0.475*44/12</f>
        <v>1.0695630005681264E-19</v>
      </c>
      <c r="FT161" s="22">
        <f t="shared" si="184"/>
        <v>5.1035147574726825E-2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4.1145540308207271E-13</v>
      </c>
      <c r="P162" s="13">
        <f t="shared" si="141"/>
        <v>5.2428527960910789E-12</v>
      </c>
      <c r="Q162" s="20">
        <f t="shared" si="162"/>
        <v>9.8479201135599071E-12</v>
      </c>
      <c r="R162" s="59">
        <f t="shared" si="109"/>
        <v>293.33333333334315</v>
      </c>
      <c r="S162" s="59">
        <f ca="1">AVERAGE(OFFSET($R$3,0,0,'Données projet'!$E$9+1,1))-AVERAGE(OFFSET($H$3,0,0,'Données projet'!$E$9+1,1))</f>
        <v>221.7429870520005</v>
      </c>
      <c r="T162" s="59">
        <f t="shared" si="142"/>
        <v>182.2029938397186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-5.1159076974727213E-13</v>
      </c>
      <c r="AJ162" s="13">
        <f>AI162*VLOOKUP('Données projet'!$B$10,Paramètres!$A$1:$I$89,3,0)*VLOOKUP('Données projet'!$B$10,Paramètres!$A$1:$I$89,5,0)</f>
        <v>-4.0702161641092972E-13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260.20517190557814</v>
      </c>
      <c r="AO162" s="59">
        <f t="shared" si="144"/>
        <v>307.22009971147133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0.2535743021809338</v>
      </c>
      <c r="AV162" s="21">
        <f>EXP(-LN(2)/25)*AV161+(1-EXP(-LN(2)/25))/(LN(2)/25)*Calculateur!AQ162*Calculateur!AS162*VLOOKUP('Données projet'!$B$10,Paramètres!$A$1:$I$89,3,0)*0.475*44/12</f>
        <v>0.57392371513047657</v>
      </c>
      <c r="AW162" s="21">
        <f>EXP(-LN(2)/2)*AW161+(1-EXP(-LN(2)/2))/(LN(2)/2)*AQ162*AT162*VLOOKUP('Données projet'!$B$10,Paramètres!$A$1:$I$89,3,0)*0.475*44/12</f>
        <v>9.2147232407947199E-19</v>
      </c>
      <c r="AX162" s="21">
        <f t="shared" si="166"/>
        <v>0.82749801731141037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553.99999999999955</v>
      </c>
      <c r="BE162" s="13">
        <f>BD162*VLOOKUP('Données projet'!$B$11,Paramètres!$A$1:$I$89,3,0)*VLOOKUP('Données projet'!$B$11,Paramètres!$A$1:$I$89,5,0)</f>
        <v>331.29199999999975</v>
      </c>
      <c r="BF162" s="13">
        <f t="shared" si="167"/>
        <v>77.698110787752</v>
      </c>
      <c r="BG162" s="20">
        <f t="shared" si="168"/>
        <v>712.32444295533423</v>
      </c>
      <c r="BH162" s="59">
        <f t="shared" si="116"/>
        <v>1005.6577762886675</v>
      </c>
      <c r="BI162" s="59">
        <f ca="1">AVERAGE(OFFSET($BH$3,0,0,'Données projet'!$E$11+1,1))-AVERAGE(OFFSET($H$3,0,0,'Données projet'!$E$11+1,1))</f>
        <v>316.58509520829671</v>
      </c>
      <c r="BJ162" s="59">
        <f t="shared" si="146"/>
        <v>240.71332110643596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0.19696535696597353</v>
      </c>
      <c r="BQ162" s="21">
        <f>EXP(-LN(2)/25)*BQ161+(1-EXP(-LN(2)/25))/(LN(2)/25)*Calculateur!BL162*Calculateur!BN162*VLOOKUP('Données projet'!$B$11,Paramètres!$A$1:$I$89,3,0)*0.475*44/12</f>
        <v>0.42703678737575351</v>
      </c>
      <c r="BR162" s="21">
        <f>EXP(-LN(2)/2)*BR161+(1-EXP(-LN(2)/2))/(LN(2)/2)*BL162*BO162*VLOOKUP('Données projet'!$B$11,Paramètres!$A$1:$I$89,3,0)*0.475*44/12</f>
        <v>8.4098625739512741E-19</v>
      </c>
      <c r="BS162" s="22">
        <f t="shared" si="169"/>
        <v>0.62400214434172707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497</v>
      </c>
      <c r="BZ162" s="13">
        <f>BY162*VLOOKUP('Données projet'!$B$12,Paramètres!$A$1:$I$89,3,0)*VLOOKUP('Données projet'!$B$12,Paramètres!$A$1:$I$89,5,0)</f>
        <v>297.20600000000002</v>
      </c>
      <c r="CA162" s="13">
        <f t="shared" si="170"/>
        <v>70.590415164571112</v>
      </c>
      <c r="CB162" s="20">
        <f t="shared" si="171"/>
        <v>640.57875641162809</v>
      </c>
      <c r="CC162" s="59">
        <f t="shared" si="119"/>
        <v>933.91208974496135</v>
      </c>
      <c r="CD162" s="59">
        <f ca="1">AVERAGE(OFFSET($CC$3,0,0,'Données projet'!$E$12+1,1))-AVERAGE(OFFSET($H$3,0,0,'Données projet'!$E$12+1,1))</f>
        <v>270.30888762640245</v>
      </c>
      <c r="CE162" s="59">
        <f t="shared" si="148"/>
        <v>202.23783851977691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0.16644959743603377</v>
      </c>
      <c r="CL162" s="21">
        <f>EXP(-LN(2)/25)*CL161+(1-EXP(-LN(2)/25))/(LN(2)/25)*Calculateur!CG162*Calculateur!CI162*VLOOKUP('Données projet'!$B$12,Paramètres!$A$1:$I$89,3,0)*0.475*44/12</f>
        <v>0.34389123645106134</v>
      </c>
      <c r="CM162" s="21">
        <f>EXP(-LN(2)/2)*CM161+(1-EXP(-LN(2)/2))/(LN(2)/2)*CG162*CJ162*VLOOKUP('Données projet'!$B$12,Paramètres!$A$1:$I$89,3,0)*0.475*44/12</f>
        <v>7.0886487507313791E-19</v>
      </c>
      <c r="CN162" s="22">
        <f t="shared" si="172"/>
        <v>0.51034083388709517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-5.1159076974727213E-13</v>
      </c>
      <c r="CU162" s="17">
        <f>CT162*VLOOKUP('Données projet'!$B$13,Paramètres!$A$1:$I$89,3,0)*VLOOKUP('Données projet'!$B$13,Paramètres!$A$1:$I$89,5,0)</f>
        <v>-3.4317508834647017E-13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207.93042467236967</v>
      </c>
      <c r="CZ162" s="59">
        <f t="shared" si="150"/>
        <v>250.70954318710835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0.21379794105451255</v>
      </c>
      <c r="DG162" s="21">
        <f>EXP(-LN(2)/25)*DG161+(1-EXP(-LN(2)/25))/(LN(2)/25)*Calculateur!DB162*Calculateur!DD162*VLOOKUP('Données projet'!$B$13,Paramètres!$A$1:$I$89,3,0)*0.475*44/12</f>
        <v>0.48389646569824568</v>
      </c>
      <c r="DH162" s="21">
        <f>EXP(-LN(2)/2)*DH161+(1-EXP(-LN(2)/2))/(LN(2)/2)*DB162*DE162*VLOOKUP('Données projet'!$B$13,Paramètres!$A$1:$I$89,3,0)*0.475*44/12</f>
        <v>7.7692764579249595E-19</v>
      </c>
      <c r="DI162" s="22">
        <f t="shared" si="175"/>
        <v>0.69769440675275818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5.6843418860808015E-14</v>
      </c>
      <c r="DP162" s="17">
        <f>DO162*VLOOKUP('Données projet'!$B$14,Paramètres!$A$1:$I$89,3,0)*VLOOKUP('Données projet'!$B$14,Paramètres!$A$1:$I$89,5,0)</f>
        <v>3.813056537183002E-14</v>
      </c>
      <c r="DQ162" s="13">
        <f t="shared" si="176"/>
        <v>6.4086286045526829E-13</v>
      </c>
      <c r="DR162" s="20">
        <f t="shared" si="177"/>
        <v>1.1825802166488628E-12</v>
      </c>
      <c r="DS162" s="59">
        <f t="shared" si="125"/>
        <v>293.33333333333451</v>
      </c>
      <c r="DT162" s="59">
        <f ca="1">AVERAGE(OFFSET($DS$3,0,0,'Données projet'!$E$14+1,1))-AVERAGE(OFFSET($H$3,0,0,'Données projet'!$E$14+1,1))</f>
        <v>156.63226020379989</v>
      </c>
      <c r="DU162" s="59">
        <f t="shared" si="152"/>
        <v>196.0481096619543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0.2424947518303297</v>
      </c>
      <c r="EC162" s="21">
        <f>EXP(-LN(2)/2)*EC161+(1-EXP(-LN(2)/2))/(LN(2)/2)*DW162*DZ162*VLOOKUP('Données projet'!$B$14,Paramètres!$A$1:$I$89,3,0)*0.475*44/12</f>
        <v>3.4780732618424757E-19</v>
      </c>
      <c r="ED162" s="22">
        <f t="shared" si="178"/>
        <v>0.2424947518303297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1.1618589743589709</v>
      </c>
      <c r="EJ162" s="12">
        <f>IF('Données projet'!$A$192&gt;35,EJ161+EI162-ER161,IF(A162&lt;'Données projet'!$A$192,$EG$205^A162,IF(A162='Données projet'!$A$192,'Données projet'!$B$192,EJ161+EI162-ER161)))</f>
        <v>89.041666666666089</v>
      </c>
      <c r="EK162" s="17">
        <f>EJ162*VLOOKUP('Données projet'!$B$15,Paramètres!$A$1:$I$89,3,0)*VLOOKUP('Données projet'!$B$15,Paramètres!$A$1:$I$89,5,0)</f>
        <v>90.288249999999422</v>
      </c>
      <c r="EL162" s="13">
        <f t="shared" si="179"/>
        <v>24.63473100983283</v>
      </c>
      <c r="EM162" s="20">
        <f t="shared" si="180"/>
        <v>200.15752525879114</v>
      </c>
      <c r="EN162" s="59">
        <f t="shared" si="128"/>
        <v>493.49085859212448</v>
      </c>
      <c r="EO162" s="59">
        <f ca="1">AVERAGE(OFFSET($EN$3,0,0,'Données projet'!$E$15+1,1))-AVERAGE(OFFSET($H$3,0,0,'Données projet'!$E$15+1,1))</f>
        <v>190.21499310415584</v>
      </c>
      <c r="EP162" s="59">
        <f t="shared" si="154"/>
        <v>136.15730566500173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7.1054273576010019E-14</v>
      </c>
      <c r="FF162" s="17">
        <f>FE162*VLOOKUP('Données projet'!$B$16,Paramètres!$A$1:$I$89,3,0)*VLOOKUP('Données projet'!$B$16,Paramètres!$A$1:$I$89,5,0)</f>
        <v>8.1854523159563538E-14</v>
      </c>
      <c r="FG162" s="13">
        <f t="shared" si="182"/>
        <v>1.2586836169904262E-12</v>
      </c>
      <c r="FH162" s="20">
        <f t="shared" si="183"/>
        <v>2.3347705940945655E-12</v>
      </c>
      <c r="FI162" s="59">
        <f t="shared" si="131"/>
        <v>293.33333333333564</v>
      </c>
      <c r="FJ162" s="59">
        <f ca="1">AVERAGE(OFFSET($FI$3,0,0,'Données projet'!$E$16+1,1))-AVERAGE(OFFSET($H$3,0,0,'Données projet'!$E$16+1,1))</f>
        <v>14.847345852478327</v>
      </c>
      <c r="FK162" s="59">
        <f t="shared" si="156"/>
        <v>46.764428272166299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4.9639588780474149E-2</v>
      </c>
      <c r="FS162" s="21">
        <f>EXP(-LN(2)/2)*FS161+(1-EXP(-LN(2)/2))/(LN(2)/2)*FM162*FP162*VLOOKUP('Données projet'!$B$16,Paramètres!$A$1:$I$89,3,0)*0.475*44/12</f>
        <v>7.5629525060795345E-20</v>
      </c>
      <c r="FT162" s="22">
        <f t="shared" si="184"/>
        <v>4.9639588780474149E-2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4.1145540308207271E-13</v>
      </c>
      <c r="P163" s="13">
        <f t="shared" si="141"/>
        <v>5.2428527960910789E-12</v>
      </c>
      <c r="Q163" s="20">
        <f t="shared" si="162"/>
        <v>9.8479201135599071E-12</v>
      </c>
      <c r="R163" s="59">
        <f t="shared" si="109"/>
        <v>293.33333333334315</v>
      </c>
      <c r="S163" s="59">
        <f ca="1">AVERAGE(OFFSET($R$3,0,0,'Données projet'!$E$9+1,1))-AVERAGE(OFFSET($H$3,0,0,'Données projet'!$E$9+1,1))</f>
        <v>221.7429870520005</v>
      </c>
      <c r="T163" s="59">
        <f t="shared" si="142"/>
        <v>182.2029938397186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-5.1159076974727213E-13</v>
      </c>
      <c r="AJ163" s="13">
        <f>AI163*VLOOKUP('Données projet'!$B$10,Paramètres!$A$1:$I$89,3,0)*VLOOKUP('Données projet'!$B$10,Paramètres!$A$1:$I$89,5,0)</f>
        <v>-4.0702161641092972E-13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260.20517190557814</v>
      </c>
      <c r="AO163" s="59">
        <f t="shared" si="144"/>
        <v>307.22009971147133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0.24860186478021812</v>
      </c>
      <c r="AV163" s="21">
        <f>EXP(-LN(2)/25)*AV162+(1-EXP(-LN(2)/25))/(LN(2)/25)*Calculateur!AQ163*Calculateur!AS163*VLOOKUP('Données projet'!$B$10,Paramètres!$A$1:$I$89,3,0)*0.475*44/12</f>
        <v>0.55822974095889721</v>
      </c>
      <c r="AW163" s="21">
        <f>EXP(-LN(2)/2)*AW162+(1-EXP(-LN(2)/2))/(LN(2)/2)*AQ163*AT163*VLOOKUP('Données projet'!$B$10,Paramètres!$A$1:$I$89,3,0)*0.475*44/12</f>
        <v>6.5157932903232261E-19</v>
      </c>
      <c r="AX163" s="21">
        <f t="shared" si="166"/>
        <v>0.80683160573911539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553.99999999999955</v>
      </c>
      <c r="BE163" s="13">
        <f>BD163*VLOOKUP('Données projet'!$B$11,Paramètres!$A$1:$I$89,3,0)*VLOOKUP('Données projet'!$B$11,Paramètres!$A$1:$I$89,5,0)</f>
        <v>331.29199999999975</v>
      </c>
      <c r="BF163" s="13">
        <f t="shared" si="167"/>
        <v>77.698110787752</v>
      </c>
      <c r="BG163" s="20">
        <f t="shared" si="168"/>
        <v>712.32444295533423</v>
      </c>
      <c r="BH163" s="59">
        <f t="shared" si="116"/>
        <v>1005.6577762886675</v>
      </c>
      <c r="BI163" s="59">
        <f ca="1">AVERAGE(OFFSET($BH$3,0,0,'Données projet'!$E$11+1,1))-AVERAGE(OFFSET($H$3,0,0,'Données projet'!$E$11+1,1))</f>
        <v>316.58509520829671</v>
      </c>
      <c r="BJ163" s="59">
        <f t="shared" si="146"/>
        <v>240.71332110643596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0.19310298645287599</v>
      </c>
      <c r="BQ163" s="21">
        <f>EXP(-LN(2)/25)*BQ162+(1-EXP(-LN(2)/25))/(LN(2)/25)*Calculateur!BL163*Calculateur!BN163*VLOOKUP('Données projet'!$B$11,Paramètres!$A$1:$I$89,3,0)*0.475*44/12</f>
        <v>0.41535944396807489</v>
      </c>
      <c r="BR163" s="21">
        <f>EXP(-LN(2)/2)*BR162+(1-EXP(-LN(2)/2))/(LN(2)/2)*BL163*BO163*VLOOKUP('Données projet'!$B$11,Paramètres!$A$1:$I$89,3,0)*0.475*44/12</f>
        <v>5.9466708548878988E-19</v>
      </c>
      <c r="BS163" s="22">
        <f t="shared" si="169"/>
        <v>0.60846243042095094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497</v>
      </c>
      <c r="BZ163" s="13">
        <f>BY163*VLOOKUP('Données projet'!$B$12,Paramètres!$A$1:$I$89,3,0)*VLOOKUP('Données projet'!$B$12,Paramètres!$A$1:$I$89,5,0)</f>
        <v>297.20600000000002</v>
      </c>
      <c r="CA163" s="13">
        <f t="shared" si="170"/>
        <v>70.590415164571112</v>
      </c>
      <c r="CB163" s="20">
        <f t="shared" si="171"/>
        <v>640.57875641162809</v>
      </c>
      <c r="CC163" s="59">
        <f t="shared" si="119"/>
        <v>933.91208974496135</v>
      </c>
      <c r="CD163" s="59">
        <f ca="1">AVERAGE(OFFSET($CC$3,0,0,'Données projet'!$E$12+1,1))-AVERAGE(OFFSET($H$3,0,0,'Données projet'!$E$12+1,1))</f>
        <v>270.30888762640245</v>
      </c>
      <c r="CE163" s="59">
        <f t="shared" si="148"/>
        <v>202.23783851977691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0.1631856223545429</v>
      </c>
      <c r="CL163" s="21">
        <f>EXP(-LN(2)/25)*CL162+(1-EXP(-LN(2)/25))/(LN(2)/25)*Calculateur!CG163*Calculateur!CI163*VLOOKUP('Données projet'!$B$12,Paramètres!$A$1:$I$89,3,0)*0.475*44/12</f>
        <v>0.3344875125058529</v>
      </c>
      <c r="CM163" s="21">
        <f>EXP(-LN(2)/2)*CM162+(1-EXP(-LN(2)/2))/(LN(2)/2)*CG163*CJ163*VLOOKUP('Données projet'!$B$12,Paramètres!$A$1:$I$89,3,0)*0.475*44/12</f>
        <v>5.0124316010917067E-19</v>
      </c>
      <c r="CN163" s="22">
        <f t="shared" si="172"/>
        <v>0.49767313486039577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-5.1159076974727213E-13</v>
      </c>
      <c r="CU163" s="17">
        <f>CT163*VLOOKUP('Données projet'!$B$13,Paramètres!$A$1:$I$89,3,0)*VLOOKUP('Données projet'!$B$13,Paramètres!$A$1:$I$89,5,0)</f>
        <v>-3.4317508834647017E-13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207.93042467236967</v>
      </c>
      <c r="CZ163" s="59">
        <f t="shared" si="150"/>
        <v>250.70954318710835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0.2096054938343013</v>
      </c>
      <c r="DG163" s="21">
        <f>EXP(-LN(2)/25)*DG162+(1-EXP(-LN(2)/25))/(LN(2)/25)*Calculateur!DB163*Calculateur!DD163*VLOOKUP('Données projet'!$B$13,Paramètres!$A$1:$I$89,3,0)*0.475*44/12</f>
        <v>0.470664291396718</v>
      </c>
      <c r="DH163" s="21">
        <f>EXP(-LN(2)/2)*DH162+(1-EXP(-LN(2)/2))/(LN(2)/2)*DB163*DE163*VLOOKUP('Données projet'!$B$13,Paramètres!$A$1:$I$89,3,0)*0.475*44/12</f>
        <v>5.4937080683117393E-19</v>
      </c>
      <c r="DI163" s="22">
        <f t="shared" si="175"/>
        <v>0.68026978523101933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5.6843418860808015E-14</v>
      </c>
      <c r="DP163" s="17">
        <f>DO163*VLOOKUP('Données projet'!$B$14,Paramètres!$A$1:$I$89,3,0)*VLOOKUP('Données projet'!$B$14,Paramètres!$A$1:$I$89,5,0)</f>
        <v>3.813056537183002E-14</v>
      </c>
      <c r="DQ163" s="13">
        <f t="shared" si="176"/>
        <v>6.4086286045526829E-13</v>
      </c>
      <c r="DR163" s="20">
        <f t="shared" si="177"/>
        <v>1.1825802166488628E-12</v>
      </c>
      <c r="DS163" s="59">
        <f t="shared" si="125"/>
        <v>293.33333333333451</v>
      </c>
      <c r="DT163" s="59">
        <f ca="1">AVERAGE(OFFSET($DS$3,0,0,'Données projet'!$E$14+1,1))-AVERAGE(OFFSET($H$3,0,0,'Données projet'!$E$14+1,1))</f>
        <v>156.63226020379989</v>
      </c>
      <c r="DU163" s="59">
        <f t="shared" si="152"/>
        <v>196.0481096619543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0.23586372008928458</v>
      </c>
      <c r="EC163" s="21">
        <f>EXP(-LN(2)/2)*EC162+(1-EXP(-LN(2)/2))/(LN(2)/2)*DW163*DZ163*VLOOKUP('Données projet'!$B$14,Paramètres!$A$1:$I$89,3,0)*0.475*44/12</f>
        <v>2.4593691889124291E-19</v>
      </c>
      <c r="ED163" s="22">
        <f t="shared" si="178"/>
        <v>0.23586372008928458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1.1618589743589709</v>
      </c>
      <c r="EJ163" s="12">
        <f>IF('Données projet'!$A$192&gt;35,EJ162+EI163-ER162,IF(A163&lt;'Données projet'!$A$192,$EG$205^A163,IF(A163='Données projet'!$A$192,'Données projet'!$B$192,EJ162+EI163-ER162)))</f>
        <v>90.203525641025067</v>
      </c>
      <c r="EK163" s="17">
        <f>EJ163*VLOOKUP('Données projet'!$B$15,Paramètres!$A$1:$I$89,3,0)*VLOOKUP('Données projet'!$B$15,Paramètres!$A$1:$I$89,5,0)</f>
        <v>91.466374999999431</v>
      </c>
      <c r="EL163" s="13">
        <f t="shared" si="179"/>
        <v>24.918545994850888</v>
      </c>
      <c r="EM163" s="20">
        <f t="shared" si="180"/>
        <v>202.70373739936429</v>
      </c>
      <c r="EN163" s="59">
        <f t="shared" si="128"/>
        <v>496.0370707326976</v>
      </c>
      <c r="EO163" s="59">
        <f ca="1">AVERAGE(OFFSET($EN$3,0,0,'Données projet'!$E$15+1,1))-AVERAGE(OFFSET($H$3,0,0,'Données projet'!$E$15+1,1))</f>
        <v>190.21499310415584</v>
      </c>
      <c r="EP163" s="59">
        <f t="shared" si="154"/>
        <v>136.15730566500173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7.1054273576010019E-14</v>
      </c>
      <c r="FF163" s="17">
        <f>FE163*VLOOKUP('Données projet'!$B$16,Paramètres!$A$1:$I$89,3,0)*VLOOKUP('Données projet'!$B$16,Paramètres!$A$1:$I$89,5,0)</f>
        <v>8.1854523159563538E-14</v>
      </c>
      <c r="FG163" s="13">
        <f t="shared" si="182"/>
        <v>1.2586836169904262E-12</v>
      </c>
      <c r="FH163" s="20">
        <f t="shared" si="183"/>
        <v>2.3347705940945655E-12</v>
      </c>
      <c r="FI163" s="59">
        <f t="shared" si="131"/>
        <v>293.33333333333564</v>
      </c>
      <c r="FJ163" s="59">
        <f ca="1">AVERAGE(OFFSET($FI$3,0,0,'Données projet'!$E$16+1,1))-AVERAGE(OFFSET($H$3,0,0,'Données projet'!$E$16+1,1))</f>
        <v>14.847345852478327</v>
      </c>
      <c r="FK163" s="59">
        <f t="shared" si="156"/>
        <v>46.764428272166299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4.8282191614839563E-2</v>
      </c>
      <c r="FS163" s="21">
        <f>EXP(-LN(2)/2)*FS162+(1-EXP(-LN(2)/2))/(LN(2)/2)*FM163*FP163*VLOOKUP('Données projet'!$B$16,Paramètres!$A$1:$I$89,3,0)*0.475*44/12</f>
        <v>5.3478150028406327E-20</v>
      </c>
      <c r="FT163" s="22">
        <f t="shared" si="184"/>
        <v>4.8282191614839563E-2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4.1145540308207271E-13</v>
      </c>
      <c r="P164" s="13">
        <f t="shared" si="141"/>
        <v>5.2428527960910789E-12</v>
      </c>
      <c r="Q164" s="20">
        <f t="shared" si="162"/>
        <v>9.8479201135599071E-12</v>
      </c>
      <c r="R164" s="59">
        <f t="shared" si="109"/>
        <v>293.33333333334315</v>
      </c>
      <c r="S164" s="59">
        <f ca="1">AVERAGE(OFFSET($R$3,0,0,'Données projet'!$E$9+1,1))-AVERAGE(OFFSET($H$3,0,0,'Données projet'!$E$9+1,1))</f>
        <v>221.7429870520005</v>
      </c>
      <c r="T164" s="59">
        <f t="shared" si="142"/>
        <v>182.2029938397186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-5.1159076974727213E-13</v>
      </c>
      <c r="AJ164" s="13">
        <f>AI164*VLOOKUP('Données projet'!$B$10,Paramètres!$A$1:$I$89,3,0)*VLOOKUP('Données projet'!$B$10,Paramètres!$A$1:$I$89,5,0)</f>
        <v>-4.0702161641092972E-13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260.20517190557814</v>
      </c>
      <c r="AO164" s="59">
        <f t="shared" si="144"/>
        <v>307.22009971147133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0.24372693384404312</v>
      </c>
      <c r="AV164" s="21">
        <f>EXP(-LN(2)/25)*AV163+(1-EXP(-LN(2)/25))/(LN(2)/25)*Calculateur!AQ164*Calculateur!AS164*VLOOKUP('Données projet'!$B$10,Paramètres!$A$1:$I$89,3,0)*0.475*44/12</f>
        <v>0.54296491933634994</v>
      </c>
      <c r="AW164" s="21">
        <f>EXP(-LN(2)/2)*AW163+(1-EXP(-LN(2)/2))/(LN(2)/2)*AQ164*AT164*VLOOKUP('Données projet'!$B$10,Paramètres!$A$1:$I$89,3,0)*0.475*44/12</f>
        <v>4.6073616203973599E-19</v>
      </c>
      <c r="AX164" s="21">
        <f t="shared" si="166"/>
        <v>0.78669185318039303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553.99999999999955</v>
      </c>
      <c r="BE164" s="13">
        <f>BD164*VLOOKUP('Données projet'!$B$11,Paramètres!$A$1:$I$89,3,0)*VLOOKUP('Données projet'!$B$11,Paramètres!$A$1:$I$89,5,0)</f>
        <v>331.29199999999975</v>
      </c>
      <c r="BF164" s="13">
        <f t="shared" si="167"/>
        <v>77.698110787752</v>
      </c>
      <c r="BG164" s="20">
        <f t="shared" si="168"/>
        <v>712.32444295533423</v>
      </c>
      <c r="BH164" s="59">
        <f t="shared" si="116"/>
        <v>1005.6577762886675</v>
      </c>
      <c r="BI164" s="59">
        <f ca="1">AVERAGE(OFFSET($BH$3,0,0,'Données projet'!$E$11+1,1))-AVERAGE(OFFSET($H$3,0,0,'Données projet'!$E$11+1,1))</f>
        <v>316.58509520829671</v>
      </c>
      <c r="BJ164" s="59">
        <f t="shared" si="146"/>
        <v>240.71332110643596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0.18931635466972691</v>
      </c>
      <c r="BQ164" s="21">
        <f>EXP(-LN(2)/25)*BQ163+(1-EXP(-LN(2)/25))/(LN(2)/25)*Calculateur!BL164*Calculateur!BN164*VLOOKUP('Données projet'!$B$11,Paramètres!$A$1:$I$89,3,0)*0.475*44/12</f>
        <v>0.40400141812996404</v>
      </c>
      <c r="BR164" s="21">
        <f>EXP(-LN(2)/2)*BR163+(1-EXP(-LN(2)/2))/(LN(2)/2)*BL164*BO164*VLOOKUP('Données projet'!$B$11,Paramètres!$A$1:$I$89,3,0)*0.475*44/12</f>
        <v>4.204931286975637E-19</v>
      </c>
      <c r="BS164" s="22">
        <f t="shared" si="169"/>
        <v>0.593317772799691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497</v>
      </c>
      <c r="BZ164" s="13">
        <f>BY164*VLOOKUP('Données projet'!$B$12,Paramètres!$A$1:$I$89,3,0)*VLOOKUP('Données projet'!$B$12,Paramètres!$A$1:$I$89,5,0)</f>
        <v>297.20600000000002</v>
      </c>
      <c r="CA164" s="13">
        <f t="shared" si="170"/>
        <v>70.590415164571112</v>
      </c>
      <c r="CB164" s="20">
        <f t="shared" si="171"/>
        <v>640.57875641162809</v>
      </c>
      <c r="CC164" s="59">
        <f t="shared" si="119"/>
        <v>933.91208974496135</v>
      </c>
      <c r="CD164" s="59">
        <f ca="1">AVERAGE(OFFSET($CC$3,0,0,'Données projet'!$E$12+1,1))-AVERAGE(OFFSET($H$3,0,0,'Données projet'!$E$12+1,1))</f>
        <v>270.30888762640245</v>
      </c>
      <c r="CE164" s="59">
        <f t="shared" si="148"/>
        <v>202.23783851977691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0.15998565183357183</v>
      </c>
      <c r="CL164" s="21">
        <f>EXP(-LN(2)/25)*CL163+(1-EXP(-LN(2)/25))/(LN(2)/25)*Calculateur!CG164*Calculateur!CI164*VLOOKUP('Données projet'!$B$12,Paramètres!$A$1:$I$89,3,0)*0.475*44/12</f>
        <v>0.32534093388644653</v>
      </c>
      <c r="CM164" s="21">
        <f>EXP(-LN(2)/2)*CM163+(1-EXP(-LN(2)/2))/(LN(2)/2)*CG164*CJ164*VLOOKUP('Données projet'!$B$12,Paramètres!$A$1:$I$89,3,0)*0.475*44/12</f>
        <v>3.5443243753656895E-19</v>
      </c>
      <c r="CN164" s="22">
        <f t="shared" si="172"/>
        <v>0.48532658572001836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-5.1159076974727213E-13</v>
      </c>
      <c r="CU164" s="17">
        <f>CT164*VLOOKUP('Données projet'!$B$13,Paramètres!$A$1:$I$89,3,0)*VLOOKUP('Données projet'!$B$13,Paramètres!$A$1:$I$89,5,0)</f>
        <v>-3.4317508834647017E-13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207.93042467236967</v>
      </c>
      <c r="CZ164" s="59">
        <f t="shared" si="150"/>
        <v>250.70954318710835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0.20549525794693807</v>
      </c>
      <c r="DG164" s="21">
        <f>EXP(-LN(2)/25)*DG163+(1-EXP(-LN(2)/25))/(LN(2)/25)*Calculateur!DB164*Calculateur!DD164*VLOOKUP('Données projet'!$B$13,Paramètres!$A$1:$I$89,3,0)*0.475*44/12</f>
        <v>0.4577939515973154</v>
      </c>
      <c r="DH164" s="21">
        <f>EXP(-LN(2)/2)*DH163+(1-EXP(-LN(2)/2))/(LN(2)/2)*DB164*DE164*VLOOKUP('Données projet'!$B$13,Paramètres!$A$1:$I$89,3,0)*0.475*44/12</f>
        <v>3.8846382289624797E-19</v>
      </c>
      <c r="DI164" s="22">
        <f t="shared" si="175"/>
        <v>0.66328920954425352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5.6843418860808015E-14</v>
      </c>
      <c r="DP164" s="17">
        <f>DO164*VLOOKUP('Données projet'!$B$14,Paramètres!$A$1:$I$89,3,0)*VLOOKUP('Données projet'!$B$14,Paramètres!$A$1:$I$89,5,0)</f>
        <v>3.813056537183002E-14</v>
      </c>
      <c r="DQ164" s="13">
        <f t="shared" si="176"/>
        <v>6.4086286045526829E-13</v>
      </c>
      <c r="DR164" s="20">
        <f t="shared" si="177"/>
        <v>1.1825802166488628E-12</v>
      </c>
      <c r="DS164" s="59">
        <f t="shared" si="125"/>
        <v>293.33333333333451</v>
      </c>
      <c r="DT164" s="59">
        <f ca="1">AVERAGE(OFFSET($DS$3,0,0,'Données projet'!$E$14+1,1))-AVERAGE(OFFSET($H$3,0,0,'Données projet'!$E$14+1,1))</f>
        <v>156.63226020379989</v>
      </c>
      <c r="DU164" s="59">
        <f t="shared" si="152"/>
        <v>196.0481096619543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0.22941401425990912</v>
      </c>
      <c r="EC164" s="21">
        <f>EXP(-LN(2)/2)*EC163+(1-EXP(-LN(2)/2))/(LN(2)/2)*DW164*DZ164*VLOOKUP('Données projet'!$B$14,Paramètres!$A$1:$I$89,3,0)*0.475*44/12</f>
        <v>1.7390366309212378E-19</v>
      </c>
      <c r="ED164" s="22">
        <f t="shared" si="178"/>
        <v>0.22941401425990912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>
        <f>VLOOKUP(A164,'Données projet'!$A$191:$I$211,2,0)</f>
        <v>91.365384615384613</v>
      </c>
      <c r="EH164" s="12">
        <f>VLOOKUP(A164,'Données projet'!$A$191:$I$211,9,0)</f>
        <v>1.1618589743589709</v>
      </c>
      <c r="EI164" s="12">
        <f t="array" ref="EI164">INDEX(EH:EH,MIN(IF(ISNUMBER(EH164:EH360),ROW(EH164:EH360),"")))</f>
        <v>1.1618589743589709</v>
      </c>
      <c r="EJ164" s="12">
        <f>IF('Données projet'!$A$192&gt;35,EJ163+EI164-ER163,IF(A164&lt;'Données projet'!$A$192,$EG$205^A164,IF(A164='Données projet'!$A$192,'Données projet'!$B$192,EJ163+EI164-ER163)))</f>
        <v>91.365384615384045</v>
      </c>
      <c r="EK164" s="17">
        <f>EJ164*VLOOKUP('Données projet'!$B$15,Paramètres!$A$1:$I$89,3,0)*VLOOKUP('Données projet'!$B$15,Paramètres!$A$1:$I$89,5,0)</f>
        <v>92.644499999999425</v>
      </c>
      <c r="EL164" s="13">
        <f t="shared" si="179"/>
        <v>25.201935767997195</v>
      </c>
      <c r="EM164" s="20">
        <f t="shared" si="180"/>
        <v>205.24920896259411</v>
      </c>
      <c r="EN164" s="59">
        <f t="shared" si="128"/>
        <v>498.5825422959274</v>
      </c>
      <c r="EO164" s="59">
        <f ca="1">AVERAGE(OFFSET($EN$3,0,0,'Données projet'!$E$15+1,1))-AVERAGE(OFFSET($H$3,0,0,'Données projet'!$E$15+1,1))</f>
        <v>190.21499310415584</v>
      </c>
      <c r="EP164" s="59">
        <f t="shared" si="154"/>
        <v>136.15730566500173</v>
      </c>
      <c r="EQ164" s="15">
        <f>IF(ISNA(VLOOKUP(A164,'Données projet'!$A$191:$I$211,3,0)),0,VLOOKUP(A164,'Données projet'!$A$191:$I$211,3,0))</f>
        <v>15</v>
      </c>
      <c r="ER164" s="15">
        <f>IF(ISNA(VLOOKUP(A164,'Données projet'!$A$191:$I$211,4,0)),0,VLOOKUP(A164,'Données projet'!$A$191:$I$211,4,0))</f>
        <v>91.365384615384613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7.1054273576010019E-14</v>
      </c>
      <c r="FF164" s="17">
        <f>FE164*VLOOKUP('Données projet'!$B$16,Paramètres!$A$1:$I$89,3,0)*VLOOKUP('Données projet'!$B$16,Paramètres!$A$1:$I$89,5,0)</f>
        <v>8.1854523159563538E-14</v>
      </c>
      <c r="FG164" s="13">
        <f t="shared" si="182"/>
        <v>1.2586836169904262E-12</v>
      </c>
      <c r="FH164" s="20">
        <f t="shared" si="183"/>
        <v>2.3347705940945655E-12</v>
      </c>
      <c r="FI164" s="59">
        <f t="shared" si="131"/>
        <v>293.33333333333564</v>
      </c>
      <c r="FJ164" s="59">
        <f ca="1">AVERAGE(OFFSET($FI$3,0,0,'Données projet'!$E$16+1,1))-AVERAGE(OFFSET($H$3,0,0,'Données projet'!$E$16+1,1))</f>
        <v>14.847345852478327</v>
      </c>
      <c r="FK164" s="59">
        <f t="shared" si="156"/>
        <v>46.764428272166299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4.6961912546081667E-2</v>
      </c>
      <c r="FS164" s="21">
        <f>EXP(-LN(2)/2)*FS163+(1-EXP(-LN(2)/2))/(LN(2)/2)*FM164*FP164*VLOOKUP('Données projet'!$B$16,Paramètres!$A$1:$I$89,3,0)*0.475*44/12</f>
        <v>3.7814762530397678E-20</v>
      </c>
      <c r="FT164" s="22">
        <f t="shared" si="184"/>
        <v>4.6961912546081667E-2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4.1145540308207271E-13</v>
      </c>
      <c r="P165" s="13">
        <f t="shared" si="141"/>
        <v>5.2428527960910789E-12</v>
      </c>
      <c r="Q165" s="20">
        <f t="shared" si="162"/>
        <v>9.8479201135599071E-12</v>
      </c>
      <c r="R165" s="59">
        <f t="shared" si="109"/>
        <v>293.33333333334315</v>
      </c>
      <c r="S165" s="59">
        <f ca="1">AVERAGE(OFFSET($R$3,0,0,'Données projet'!$E$9+1,1))-AVERAGE(OFFSET($H$3,0,0,'Données projet'!$E$9+1,1))</f>
        <v>221.7429870520005</v>
      </c>
      <c r="T165" s="59">
        <f t="shared" si="142"/>
        <v>182.2029938397186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-5.1159076974727213E-13</v>
      </c>
      <c r="AJ165" s="13">
        <f>AI165*VLOOKUP('Données projet'!$B$10,Paramètres!$A$1:$I$89,3,0)*VLOOKUP('Données projet'!$B$10,Paramètres!$A$1:$I$89,5,0)</f>
        <v>-4.0702161641092972E-13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260.20517190557814</v>
      </c>
      <c r="AO165" s="59">
        <f t="shared" si="144"/>
        <v>307.22009971147133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0.23894759733011225</v>
      </c>
      <c r="AV165" s="21">
        <f>EXP(-LN(2)/25)*AV164+(1-EXP(-LN(2)/25))/(LN(2)/25)*Calculateur!AQ165*Calculateur!AS165*VLOOKUP('Données projet'!$B$10,Paramètres!$A$1:$I$89,3,0)*0.475*44/12</f>
        <v>0.52811751506381333</v>
      </c>
      <c r="AW165" s="21">
        <f>EXP(-LN(2)/2)*AW164+(1-EXP(-LN(2)/2))/(LN(2)/2)*AQ165*AT165*VLOOKUP('Données projet'!$B$10,Paramètres!$A$1:$I$89,3,0)*0.475*44/12</f>
        <v>3.2578966451616131E-19</v>
      </c>
      <c r="AX165" s="21">
        <f t="shared" si="166"/>
        <v>0.76706511239392561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553.99999999999955</v>
      </c>
      <c r="BE165" s="13">
        <f>BD165*VLOOKUP('Données projet'!$B$11,Paramètres!$A$1:$I$89,3,0)*VLOOKUP('Données projet'!$B$11,Paramètres!$A$1:$I$89,5,0)</f>
        <v>331.29199999999975</v>
      </c>
      <c r="BF165" s="13">
        <f t="shared" si="167"/>
        <v>77.698110787752</v>
      </c>
      <c r="BG165" s="20">
        <f t="shared" si="168"/>
        <v>712.32444295533423</v>
      </c>
      <c r="BH165" s="59">
        <f t="shared" si="116"/>
        <v>1005.6577762886675</v>
      </c>
      <c r="BI165" s="59">
        <f ca="1">AVERAGE(OFFSET($BH$3,0,0,'Données projet'!$E$11+1,1))-AVERAGE(OFFSET($H$3,0,0,'Données projet'!$E$11+1,1))</f>
        <v>316.58509520829671</v>
      </c>
      <c r="BJ165" s="59">
        <f t="shared" si="146"/>
        <v>240.71332110643596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0.18560397642622803</v>
      </c>
      <c r="BQ165" s="21">
        <f>EXP(-LN(2)/25)*BQ164+(1-EXP(-LN(2)/25))/(LN(2)/25)*Calculateur!BL165*Calculateur!BN165*VLOOKUP('Données projet'!$B$11,Paramètres!$A$1:$I$89,3,0)*0.475*44/12</f>
        <v>0.39295397810568894</v>
      </c>
      <c r="BR165" s="21">
        <f>EXP(-LN(2)/2)*BR164+(1-EXP(-LN(2)/2))/(LN(2)/2)*BL165*BO165*VLOOKUP('Données projet'!$B$11,Paramètres!$A$1:$I$89,3,0)*0.475*44/12</f>
        <v>2.9733354274439494E-19</v>
      </c>
      <c r="BS165" s="22">
        <f t="shared" si="169"/>
        <v>0.57855795453191694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497</v>
      </c>
      <c r="BZ165" s="13">
        <f>BY165*VLOOKUP('Données projet'!$B$12,Paramètres!$A$1:$I$89,3,0)*VLOOKUP('Données projet'!$B$12,Paramètres!$A$1:$I$89,5,0)</f>
        <v>297.20600000000002</v>
      </c>
      <c r="CA165" s="13">
        <f t="shared" si="170"/>
        <v>70.590415164571112</v>
      </c>
      <c r="CB165" s="20">
        <f t="shared" si="171"/>
        <v>640.57875641162809</v>
      </c>
      <c r="CC165" s="59">
        <f t="shared" si="119"/>
        <v>933.91208974496135</v>
      </c>
      <c r="CD165" s="59">
        <f ca="1">AVERAGE(OFFSET($CC$3,0,0,'Données projet'!$E$12+1,1))-AVERAGE(OFFSET($H$3,0,0,'Données projet'!$E$12+1,1))</f>
        <v>270.30888762640245</v>
      </c>
      <c r="CE165" s="59">
        <f t="shared" si="148"/>
        <v>202.23783851977691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0.15684843078272773</v>
      </c>
      <c r="CL165" s="21">
        <f>EXP(-LN(2)/25)*CL164+(1-EXP(-LN(2)/25))/(LN(2)/25)*Calculateur!CG165*Calculateur!CI165*VLOOKUP('Données projet'!$B$12,Paramètres!$A$1:$I$89,3,0)*0.475*44/12</f>
        <v>0.31644446894038553</v>
      </c>
      <c r="CM165" s="21">
        <f>EXP(-LN(2)/2)*CM164+(1-EXP(-LN(2)/2))/(LN(2)/2)*CG165*CJ165*VLOOKUP('Données projet'!$B$12,Paramètres!$A$1:$I$89,3,0)*0.475*44/12</f>
        <v>2.5062158005458534E-19</v>
      </c>
      <c r="CN165" s="22">
        <f t="shared" si="172"/>
        <v>0.47329289972311328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-5.1159076974727213E-13</v>
      </c>
      <c r="CU165" s="17">
        <f>CT165*VLOOKUP('Données projet'!$B$13,Paramètres!$A$1:$I$89,3,0)*VLOOKUP('Données projet'!$B$13,Paramètres!$A$1:$I$89,5,0)</f>
        <v>-3.4317508834647017E-13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207.93042467236967</v>
      </c>
      <c r="CZ165" s="59">
        <f t="shared" si="150"/>
        <v>250.70954318710835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0.2014656212783297</v>
      </c>
      <c r="DG165" s="21">
        <f>EXP(-LN(2)/25)*DG164+(1-EXP(-LN(2)/25))/(LN(2)/25)*Calculateur!DB165*Calculateur!DD165*VLOOKUP('Données projet'!$B$13,Paramètres!$A$1:$I$89,3,0)*0.475*44/12</f>
        <v>0.44527555191654922</v>
      </c>
      <c r="DH165" s="21">
        <f>EXP(-LN(2)/2)*DH164+(1-EXP(-LN(2)/2))/(LN(2)/2)*DB165*DE165*VLOOKUP('Données projet'!$B$13,Paramètres!$A$1:$I$89,3,0)*0.475*44/12</f>
        <v>2.7468540341558696E-19</v>
      </c>
      <c r="DI165" s="22">
        <f t="shared" si="175"/>
        <v>0.64674117319487889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5.6843418860808015E-14</v>
      </c>
      <c r="DP165" s="17">
        <f>DO165*VLOOKUP('Données projet'!$B$14,Paramètres!$A$1:$I$89,3,0)*VLOOKUP('Données projet'!$B$14,Paramètres!$A$1:$I$89,5,0)</f>
        <v>3.813056537183002E-14</v>
      </c>
      <c r="DQ165" s="13">
        <f t="shared" si="176"/>
        <v>6.4086286045526829E-13</v>
      </c>
      <c r="DR165" s="20">
        <f t="shared" si="177"/>
        <v>1.1825802166488628E-12</v>
      </c>
      <c r="DS165" s="59">
        <f t="shared" si="125"/>
        <v>293.33333333333451</v>
      </c>
      <c r="DT165" s="59">
        <f ca="1">AVERAGE(OFFSET($DS$3,0,0,'Données projet'!$E$14+1,1))-AVERAGE(OFFSET($H$3,0,0,'Données projet'!$E$14+1,1))</f>
        <v>156.63226020379989</v>
      </c>
      <c r="DU165" s="59">
        <f t="shared" si="152"/>
        <v>196.0481096619543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0.22314067597561324</v>
      </c>
      <c r="EC165" s="21">
        <f>EXP(-LN(2)/2)*EC164+(1-EXP(-LN(2)/2))/(LN(2)/2)*DW165*DZ165*VLOOKUP('Données projet'!$B$14,Paramètres!$A$1:$I$89,3,0)*0.475*44/12</f>
        <v>1.2296845944562145E-19</v>
      </c>
      <c r="ED165" s="22">
        <f t="shared" si="178"/>
        <v>0.22314067597561324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-5.6843418860808015E-13</v>
      </c>
      <c r="EK165" s="17">
        <f>EJ165*VLOOKUP('Données projet'!$B$15,Paramètres!$A$1:$I$89,3,0)*VLOOKUP('Données projet'!$B$15,Paramètres!$A$1:$I$89,5,0)</f>
        <v>-5.763922672485933E-13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190.21499310415584</v>
      </c>
      <c r="EP165" s="59">
        <f t="shared" si="154"/>
        <v>136.15730566500173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7.1054273576010019E-14</v>
      </c>
      <c r="FF165" s="17">
        <f>FE165*VLOOKUP('Données projet'!$B$16,Paramètres!$A$1:$I$89,3,0)*VLOOKUP('Données projet'!$B$16,Paramètres!$A$1:$I$89,5,0)</f>
        <v>8.1854523159563538E-14</v>
      </c>
      <c r="FG165" s="13">
        <f t="shared" si="182"/>
        <v>1.2586836169904262E-12</v>
      </c>
      <c r="FH165" s="20">
        <f t="shared" si="183"/>
        <v>2.3347705940945655E-12</v>
      </c>
      <c r="FI165" s="59">
        <f t="shared" si="131"/>
        <v>293.33333333333564</v>
      </c>
      <c r="FJ165" s="59">
        <f ca="1">AVERAGE(OFFSET($FI$3,0,0,'Données projet'!$E$16+1,1))-AVERAGE(OFFSET($H$3,0,0,'Données projet'!$E$16+1,1))</f>
        <v>14.847345852478327</v>
      </c>
      <c r="FK165" s="59">
        <f t="shared" si="156"/>
        <v>46.764428272166299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4.5677736577889413E-2</v>
      </c>
      <c r="FS165" s="21">
        <f>EXP(-LN(2)/2)*FS164+(1-EXP(-LN(2)/2))/(LN(2)/2)*FM165*FP165*VLOOKUP('Données projet'!$B$16,Paramètres!$A$1:$I$89,3,0)*0.475*44/12</f>
        <v>2.673907501420317E-20</v>
      </c>
      <c r="FT165" s="22">
        <f t="shared" si="184"/>
        <v>4.5677736577889413E-2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4.1145540308207271E-13</v>
      </c>
      <c r="P166" s="13">
        <f t="shared" si="141"/>
        <v>5.2428527960910789E-12</v>
      </c>
      <c r="Q166" s="20">
        <f t="shared" si="162"/>
        <v>9.8479201135599071E-12</v>
      </c>
      <c r="R166" s="59">
        <f t="shared" si="109"/>
        <v>293.33333333334315</v>
      </c>
      <c r="S166" s="59">
        <f ca="1">AVERAGE(OFFSET($R$3,0,0,'Données projet'!$E$9+1,1))-AVERAGE(OFFSET($H$3,0,0,'Données projet'!$E$9+1,1))</f>
        <v>221.7429870520005</v>
      </c>
      <c r="T166" s="59">
        <f t="shared" si="142"/>
        <v>182.2029938397186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-5.1159076974727213E-13</v>
      </c>
      <c r="AJ166" s="13">
        <f>AI166*VLOOKUP('Données projet'!$B$10,Paramètres!$A$1:$I$89,3,0)*VLOOKUP('Données projet'!$B$10,Paramètres!$A$1:$I$89,5,0)</f>
        <v>-4.0702161641092972E-13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260.20517190557814</v>
      </c>
      <c r="AO166" s="59">
        <f t="shared" si="144"/>
        <v>307.22009971147133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0.23426198069011214</v>
      </c>
      <c r="AV166" s="21">
        <f>EXP(-LN(2)/25)*AV165+(1-EXP(-LN(2)/25))/(LN(2)/25)*Calculateur!AQ166*Calculateur!AS166*VLOOKUP('Données projet'!$B$10,Paramètres!$A$1:$I$89,3,0)*0.475*44/12</f>
        <v>0.51367611384190026</v>
      </c>
      <c r="AW166" s="21">
        <f>EXP(-LN(2)/2)*AW165+(1-EXP(-LN(2)/2))/(LN(2)/2)*AQ166*AT166*VLOOKUP('Données projet'!$B$10,Paramètres!$A$1:$I$89,3,0)*0.475*44/12</f>
        <v>2.30368081019868E-19</v>
      </c>
      <c r="AX166" s="21">
        <f t="shared" si="166"/>
        <v>0.74793809453201243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553.99999999999955</v>
      </c>
      <c r="BE166" s="13">
        <f>BD166*VLOOKUP('Données projet'!$B$11,Paramètres!$A$1:$I$89,3,0)*VLOOKUP('Données projet'!$B$11,Paramètres!$A$1:$I$89,5,0)</f>
        <v>331.29199999999975</v>
      </c>
      <c r="BF166" s="13">
        <f t="shared" si="167"/>
        <v>77.698110787752</v>
      </c>
      <c r="BG166" s="20">
        <f t="shared" si="168"/>
        <v>712.32444295533423</v>
      </c>
      <c r="BH166" s="59">
        <f t="shared" si="116"/>
        <v>1005.6577762886675</v>
      </c>
      <c r="BI166" s="59">
        <f ca="1">AVERAGE(OFFSET($BH$3,0,0,'Données projet'!$E$11+1,1))-AVERAGE(OFFSET($H$3,0,0,'Données projet'!$E$11+1,1))</f>
        <v>316.58509520829671</v>
      </c>
      <c r="BJ166" s="59">
        <f t="shared" si="146"/>
        <v>240.71332110643596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0.18196439565575703</v>
      </c>
      <c r="BQ166" s="21">
        <f>EXP(-LN(2)/25)*BQ165+(1-EXP(-LN(2)/25))/(LN(2)/25)*Calculateur!BL166*Calculateur!BN166*VLOOKUP('Données projet'!$B$11,Paramètres!$A$1:$I$89,3,0)*0.475*44/12</f>
        <v>0.38220863090983725</v>
      </c>
      <c r="BR166" s="21">
        <f>EXP(-LN(2)/2)*BR165+(1-EXP(-LN(2)/2))/(LN(2)/2)*BL166*BO166*VLOOKUP('Données projet'!$B$11,Paramètres!$A$1:$I$89,3,0)*0.475*44/12</f>
        <v>2.1024656434878185E-19</v>
      </c>
      <c r="BS166" s="22">
        <f t="shared" si="169"/>
        <v>0.56417302656559432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497</v>
      </c>
      <c r="BZ166" s="13">
        <f>BY166*VLOOKUP('Données projet'!$B$12,Paramètres!$A$1:$I$89,3,0)*VLOOKUP('Données projet'!$B$12,Paramètres!$A$1:$I$89,5,0)</f>
        <v>297.20600000000002</v>
      </c>
      <c r="CA166" s="13">
        <f t="shared" si="170"/>
        <v>70.590415164571112</v>
      </c>
      <c r="CB166" s="20">
        <f t="shared" si="171"/>
        <v>640.57875641162809</v>
      </c>
      <c r="CC166" s="59">
        <f t="shared" si="119"/>
        <v>933.91208974496135</v>
      </c>
      <c r="CD166" s="59">
        <f ca="1">AVERAGE(OFFSET($CC$3,0,0,'Données projet'!$E$12+1,1))-AVERAGE(OFFSET($H$3,0,0,'Données projet'!$E$12+1,1))</f>
        <v>270.30888762640245</v>
      </c>
      <c r="CE166" s="59">
        <f t="shared" si="148"/>
        <v>202.23783851977691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0.15377272872317477</v>
      </c>
      <c r="CL166" s="21">
        <f>EXP(-LN(2)/25)*CL165+(1-EXP(-LN(2)/25))/(LN(2)/25)*Calculateur!CG166*Calculateur!CI166*VLOOKUP('Données projet'!$B$12,Paramètres!$A$1:$I$89,3,0)*0.475*44/12</f>
        <v>0.3077912782961193</v>
      </c>
      <c r="CM166" s="21">
        <f>EXP(-LN(2)/2)*CM165+(1-EXP(-LN(2)/2))/(LN(2)/2)*CG166*CJ166*VLOOKUP('Données projet'!$B$12,Paramètres!$A$1:$I$89,3,0)*0.475*44/12</f>
        <v>1.7721621876828448E-19</v>
      </c>
      <c r="CN166" s="22">
        <f t="shared" si="172"/>
        <v>0.46156400701929406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-5.1159076974727213E-13</v>
      </c>
      <c r="CU166" s="17">
        <f>CT166*VLOOKUP('Données projet'!$B$13,Paramètres!$A$1:$I$89,3,0)*VLOOKUP('Données projet'!$B$13,Paramètres!$A$1:$I$89,5,0)</f>
        <v>-3.4317508834647017E-13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207.93042467236967</v>
      </c>
      <c r="CZ166" s="59">
        <f t="shared" si="150"/>
        <v>250.70954318710835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0.19751500332695707</v>
      </c>
      <c r="DG166" s="21">
        <f>EXP(-LN(2)/25)*DG165+(1-EXP(-LN(2)/25))/(LN(2)/25)*Calculateur!DB166*Calculateur!DD166*VLOOKUP('Données projet'!$B$13,Paramètres!$A$1:$I$89,3,0)*0.475*44/12</f>
        <v>0.43309946853336762</v>
      </c>
      <c r="DH166" s="21">
        <f>EXP(-LN(2)/2)*DH165+(1-EXP(-LN(2)/2))/(LN(2)/2)*DB166*DE166*VLOOKUP('Données projet'!$B$13,Paramètres!$A$1:$I$89,3,0)*0.475*44/12</f>
        <v>1.9423191144812399E-19</v>
      </c>
      <c r="DI166" s="22">
        <f t="shared" si="175"/>
        <v>0.63061447186032471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5.6843418860808015E-14</v>
      </c>
      <c r="DP166" s="17">
        <f>DO166*VLOOKUP('Données projet'!$B$14,Paramètres!$A$1:$I$89,3,0)*VLOOKUP('Données projet'!$B$14,Paramètres!$A$1:$I$89,5,0)</f>
        <v>3.813056537183002E-14</v>
      </c>
      <c r="DQ166" s="13">
        <f t="shared" si="176"/>
        <v>6.4086286045526829E-13</v>
      </c>
      <c r="DR166" s="20">
        <f t="shared" si="177"/>
        <v>1.1825802166488628E-12</v>
      </c>
      <c r="DS166" s="59">
        <f t="shared" si="125"/>
        <v>293.33333333333451</v>
      </c>
      <c r="DT166" s="59">
        <f ca="1">AVERAGE(OFFSET($DS$3,0,0,'Données projet'!$E$14+1,1))-AVERAGE(OFFSET($H$3,0,0,'Données projet'!$E$14+1,1))</f>
        <v>156.63226020379989</v>
      </c>
      <c r="DU166" s="59">
        <f t="shared" si="152"/>
        <v>196.0481096619543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0.21703888245660194</v>
      </c>
      <c r="EC166" s="21">
        <f>EXP(-LN(2)/2)*EC165+(1-EXP(-LN(2)/2))/(LN(2)/2)*DW166*DZ166*VLOOKUP('Données projet'!$B$14,Paramètres!$A$1:$I$89,3,0)*0.475*44/12</f>
        <v>8.6951831546061892E-20</v>
      </c>
      <c r="ED166" s="22">
        <f t="shared" si="178"/>
        <v>0.21703888245660194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-5.6843418860808015E-13</v>
      </c>
      <c r="EK166" s="17">
        <f>EJ166*VLOOKUP('Données projet'!$B$15,Paramètres!$A$1:$I$89,3,0)*VLOOKUP('Données projet'!$B$15,Paramètres!$A$1:$I$89,5,0)</f>
        <v>-5.763922672485933E-13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190.21499310415584</v>
      </c>
      <c r="EP166" s="59">
        <f t="shared" si="154"/>
        <v>136.15730566500173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7.1054273576010019E-14</v>
      </c>
      <c r="FF166" s="17">
        <f>FE166*VLOOKUP('Données projet'!$B$16,Paramètres!$A$1:$I$89,3,0)*VLOOKUP('Données projet'!$B$16,Paramètres!$A$1:$I$89,5,0)</f>
        <v>8.1854523159563538E-14</v>
      </c>
      <c r="FG166" s="13">
        <f t="shared" si="182"/>
        <v>1.2586836169904262E-12</v>
      </c>
      <c r="FH166" s="20">
        <f t="shared" si="183"/>
        <v>2.3347705940945655E-12</v>
      </c>
      <c r="FI166" s="59">
        <f t="shared" si="131"/>
        <v>293.33333333333564</v>
      </c>
      <c r="FJ166" s="59">
        <f ca="1">AVERAGE(OFFSET($FI$3,0,0,'Données projet'!$E$16+1,1))-AVERAGE(OFFSET($H$3,0,0,'Données projet'!$E$16+1,1))</f>
        <v>14.847345852478327</v>
      </c>
      <c r="FK166" s="59">
        <f t="shared" si="156"/>
        <v>46.764428272166299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4.4428676469079262E-2</v>
      </c>
      <c r="FS166" s="21">
        <f>EXP(-LN(2)/2)*FS165+(1-EXP(-LN(2)/2))/(LN(2)/2)*FM166*FP166*VLOOKUP('Données projet'!$B$16,Paramètres!$A$1:$I$89,3,0)*0.475*44/12</f>
        <v>1.8907381265198842E-20</v>
      </c>
      <c r="FT166" s="22">
        <f t="shared" si="184"/>
        <v>4.4428676469079262E-2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4.1145540308207271E-13</v>
      </c>
      <c r="P167" s="13">
        <f t="shared" si="141"/>
        <v>5.2428527960910789E-12</v>
      </c>
      <c r="Q167" s="20">
        <f t="shared" si="162"/>
        <v>9.8479201135599071E-12</v>
      </c>
      <c r="R167" s="59">
        <f t="shared" si="109"/>
        <v>293.33333333334315</v>
      </c>
      <c r="S167" s="59">
        <f ca="1">AVERAGE(OFFSET($R$3,0,0,'Données projet'!$E$9+1,1))-AVERAGE(OFFSET($H$3,0,0,'Données projet'!$E$9+1,1))</f>
        <v>221.7429870520005</v>
      </c>
      <c r="T167" s="59">
        <f t="shared" si="142"/>
        <v>182.2029938397186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-5.1159076974727213E-13</v>
      </c>
      <c r="AJ167" s="13">
        <f>AI167*VLOOKUP('Données projet'!$B$10,Paramètres!$A$1:$I$89,3,0)*VLOOKUP('Données projet'!$B$10,Paramètres!$A$1:$I$89,5,0)</f>
        <v>-4.0702161641092972E-13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260.20517190557814</v>
      </c>
      <c r="AO167" s="59">
        <f t="shared" si="144"/>
        <v>307.22009971147133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0.22966824613447848</v>
      </c>
      <c r="AV167" s="21">
        <f>EXP(-LN(2)/25)*AV166+(1-EXP(-LN(2)/25))/(LN(2)/25)*Calculateur!AQ167*Calculateur!AS167*VLOOKUP('Données projet'!$B$10,Paramètres!$A$1:$I$89,3,0)*0.475*44/12</f>
        <v>0.49962961349584067</v>
      </c>
      <c r="AW167" s="21">
        <f>EXP(-LN(2)/2)*AW166+(1-EXP(-LN(2)/2))/(LN(2)/2)*AQ167*AT167*VLOOKUP('Données projet'!$B$10,Paramètres!$A$1:$I$89,3,0)*0.475*44/12</f>
        <v>1.6289483225808065E-19</v>
      </c>
      <c r="AX167" s="21">
        <f t="shared" si="166"/>
        <v>0.72929785963031912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553.99999999999955</v>
      </c>
      <c r="BE167" s="13">
        <f>BD167*VLOOKUP('Données projet'!$B$11,Paramètres!$A$1:$I$89,3,0)*VLOOKUP('Données projet'!$B$11,Paramètres!$A$1:$I$89,5,0)</f>
        <v>331.29199999999975</v>
      </c>
      <c r="BF167" s="13">
        <f t="shared" si="167"/>
        <v>77.698110787752</v>
      </c>
      <c r="BG167" s="20">
        <f t="shared" si="168"/>
        <v>712.32444295533423</v>
      </c>
      <c r="BH167" s="59">
        <f t="shared" si="116"/>
        <v>1005.6577762886675</v>
      </c>
      <c r="BI167" s="59">
        <f ca="1">AVERAGE(OFFSET($BH$3,0,0,'Données projet'!$E$11+1,1))-AVERAGE(OFFSET($H$3,0,0,'Données projet'!$E$11+1,1))</f>
        <v>316.58509520829671</v>
      </c>
      <c r="BJ167" s="59">
        <f t="shared" si="146"/>
        <v>240.71332110643596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0.17839618484426989</v>
      </c>
      <c r="BQ167" s="21">
        <f>EXP(-LN(2)/25)*BQ166+(1-EXP(-LN(2)/25))/(LN(2)/25)*Calculateur!BL167*Calculateur!BN167*VLOOKUP('Données projet'!$B$11,Paramètres!$A$1:$I$89,3,0)*0.475*44/12</f>
        <v>0.37175711579812942</v>
      </c>
      <c r="BR167" s="21">
        <f>EXP(-LN(2)/2)*BR166+(1-EXP(-LN(2)/2))/(LN(2)/2)*BL167*BO167*VLOOKUP('Données projet'!$B$11,Paramètres!$A$1:$I$89,3,0)*0.475*44/12</f>
        <v>1.4866677137219747E-19</v>
      </c>
      <c r="BS167" s="22">
        <f t="shared" si="169"/>
        <v>0.55015330064239931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497</v>
      </c>
      <c r="BZ167" s="13">
        <f>BY167*VLOOKUP('Données projet'!$B$12,Paramètres!$A$1:$I$89,3,0)*VLOOKUP('Données projet'!$B$12,Paramètres!$A$1:$I$89,5,0)</f>
        <v>297.20600000000002</v>
      </c>
      <c r="CA167" s="13">
        <f t="shared" si="170"/>
        <v>70.590415164571112</v>
      </c>
      <c r="CB167" s="20">
        <f t="shared" si="171"/>
        <v>640.57875641162809</v>
      </c>
      <c r="CC167" s="59">
        <f t="shared" si="119"/>
        <v>933.91208974496135</v>
      </c>
      <c r="CD167" s="59">
        <f ca="1">AVERAGE(OFFSET($CC$3,0,0,'Données projet'!$E$12+1,1))-AVERAGE(OFFSET($H$3,0,0,'Données projet'!$E$12+1,1))</f>
        <v>270.30888762640245</v>
      </c>
      <c r="CE167" s="59">
        <f t="shared" si="148"/>
        <v>202.23783851977691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0.15075733930501664</v>
      </c>
      <c r="CL167" s="21">
        <f>EXP(-LN(2)/25)*CL166+(1-EXP(-LN(2)/25))/(LN(2)/25)*Calculateur!CG167*Calculateur!CI167*VLOOKUP('Données projet'!$B$12,Paramètres!$A$1:$I$89,3,0)*0.475*44/12</f>
        <v>0.29937470960507206</v>
      </c>
      <c r="CM167" s="21">
        <f>EXP(-LN(2)/2)*CM166+(1-EXP(-LN(2)/2))/(LN(2)/2)*CG167*CJ167*VLOOKUP('Données projet'!$B$12,Paramètres!$A$1:$I$89,3,0)*0.475*44/12</f>
        <v>1.2531079002729267E-19</v>
      </c>
      <c r="CN167" s="22">
        <f t="shared" si="172"/>
        <v>0.45013204891008873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-5.1159076974727213E-13</v>
      </c>
      <c r="CU167" s="17">
        <f>CT167*VLOOKUP('Données projet'!$B$13,Paramètres!$A$1:$I$89,3,0)*VLOOKUP('Données projet'!$B$13,Paramètres!$A$1:$I$89,5,0)</f>
        <v>-3.4317508834647017E-13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207.93042467236967</v>
      </c>
      <c r="CZ167" s="59">
        <f t="shared" si="150"/>
        <v>250.70954318710835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0.19364185458397182</v>
      </c>
      <c r="DG167" s="21">
        <f>EXP(-LN(2)/25)*DG166+(1-EXP(-LN(2)/25))/(LN(2)/25)*Calculateur!DB167*Calculateur!DD167*VLOOKUP('Données projet'!$B$13,Paramètres!$A$1:$I$89,3,0)*0.475*44/12</f>
        <v>0.42125634079061147</v>
      </c>
      <c r="DH167" s="21">
        <f>EXP(-LN(2)/2)*DH166+(1-EXP(-LN(2)/2))/(LN(2)/2)*DB167*DE167*VLOOKUP('Données projet'!$B$13,Paramètres!$A$1:$I$89,3,0)*0.475*44/12</f>
        <v>1.3734270170779348E-19</v>
      </c>
      <c r="DI167" s="22">
        <f t="shared" si="175"/>
        <v>0.61489819537458335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5.6843418860808015E-14</v>
      </c>
      <c r="DP167" s="17">
        <f>DO167*VLOOKUP('Données projet'!$B$14,Paramètres!$A$1:$I$89,3,0)*VLOOKUP('Données projet'!$B$14,Paramètres!$A$1:$I$89,5,0)</f>
        <v>3.813056537183002E-14</v>
      </c>
      <c r="DQ167" s="13">
        <f t="shared" si="176"/>
        <v>6.4086286045526829E-13</v>
      </c>
      <c r="DR167" s="20">
        <f t="shared" si="177"/>
        <v>1.1825802166488628E-12</v>
      </c>
      <c r="DS167" s="59">
        <f t="shared" si="125"/>
        <v>293.33333333333451</v>
      </c>
      <c r="DT167" s="59">
        <f ca="1">AVERAGE(OFFSET($DS$3,0,0,'Données projet'!$E$14+1,1))-AVERAGE(OFFSET($H$3,0,0,'Données projet'!$E$14+1,1))</f>
        <v>156.63226020379989</v>
      </c>
      <c r="DU167" s="59">
        <f t="shared" si="152"/>
        <v>196.0481096619543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0.21110394280224737</v>
      </c>
      <c r="EC167" s="21">
        <f>EXP(-LN(2)/2)*EC166+(1-EXP(-LN(2)/2))/(LN(2)/2)*DW167*DZ167*VLOOKUP('Données projet'!$B$14,Paramètres!$A$1:$I$89,3,0)*0.475*44/12</f>
        <v>6.1484229722810727E-20</v>
      </c>
      <c r="ED167" s="22">
        <f t="shared" si="178"/>
        <v>0.21110394280224737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-5.6843418860808015E-13</v>
      </c>
      <c r="EK167" s="17">
        <f>EJ167*VLOOKUP('Données projet'!$B$15,Paramètres!$A$1:$I$89,3,0)*VLOOKUP('Données projet'!$B$15,Paramètres!$A$1:$I$89,5,0)</f>
        <v>-5.763922672485933E-13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190.21499310415584</v>
      </c>
      <c r="EP167" s="59">
        <f t="shared" si="154"/>
        <v>136.15730566500173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7.1054273576010019E-14</v>
      </c>
      <c r="FF167" s="17">
        <f>FE167*VLOOKUP('Données projet'!$B$16,Paramètres!$A$1:$I$89,3,0)*VLOOKUP('Données projet'!$B$16,Paramètres!$A$1:$I$89,5,0)</f>
        <v>8.1854523159563538E-14</v>
      </c>
      <c r="FG167" s="13">
        <f t="shared" si="182"/>
        <v>1.2586836169904262E-12</v>
      </c>
      <c r="FH167" s="20">
        <f t="shared" si="183"/>
        <v>2.3347705940945655E-12</v>
      </c>
      <c r="FI167" s="59">
        <f t="shared" si="131"/>
        <v>293.33333333333564</v>
      </c>
      <c r="FJ167" s="59">
        <f ca="1">AVERAGE(OFFSET($FI$3,0,0,'Données projet'!$E$16+1,1))-AVERAGE(OFFSET($H$3,0,0,'Données projet'!$E$16+1,1))</f>
        <v>14.847345852478327</v>
      </c>
      <c r="FK167" s="59">
        <f t="shared" si="156"/>
        <v>46.764428272166299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4.3213771974629736E-2</v>
      </c>
      <c r="FS167" s="21">
        <f>EXP(-LN(2)/2)*FS166+(1-EXP(-LN(2)/2))/(LN(2)/2)*FM167*FP167*VLOOKUP('Données projet'!$B$16,Paramètres!$A$1:$I$89,3,0)*0.475*44/12</f>
        <v>1.3369537507101586E-20</v>
      </c>
      <c r="FT167" s="22">
        <f t="shared" si="184"/>
        <v>4.3213771974629736E-2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4.1145540308207271E-13</v>
      </c>
      <c r="P168" s="13">
        <f t="shared" si="141"/>
        <v>5.2428527960910789E-12</v>
      </c>
      <c r="Q168" s="20">
        <f t="shared" si="162"/>
        <v>9.8479201135599071E-12</v>
      </c>
      <c r="R168" s="59">
        <f t="shared" si="109"/>
        <v>293.33333333334315</v>
      </c>
      <c r="S168" s="59">
        <f ca="1">AVERAGE(OFFSET($R$3,0,0,'Données projet'!$E$9+1,1))-AVERAGE(OFFSET($H$3,0,0,'Données projet'!$E$9+1,1))</f>
        <v>221.7429870520005</v>
      </c>
      <c r="T168" s="59">
        <f t="shared" si="142"/>
        <v>182.2029938397186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-5.1159076974727213E-13</v>
      </c>
      <c r="AJ168" s="13">
        <f>AI168*VLOOKUP('Données projet'!$B$10,Paramètres!$A$1:$I$89,3,0)*VLOOKUP('Données projet'!$B$10,Paramètres!$A$1:$I$89,5,0)</f>
        <v>-4.0702161641092972E-13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260.20517190557814</v>
      </c>
      <c r="AO168" s="59">
        <f t="shared" si="144"/>
        <v>307.22009971147133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0.22516459191157936</v>
      </c>
      <c r="AV168" s="21">
        <f>EXP(-LN(2)/25)*AV167+(1-EXP(-LN(2)/25))/(LN(2)/25)*Calculateur!AQ168*Calculateur!AS168*VLOOKUP('Données projet'!$B$10,Paramètres!$A$1:$I$89,3,0)*0.475*44/12</f>
        <v>0.48596721544041743</v>
      </c>
      <c r="AW168" s="21">
        <f>EXP(-LN(2)/2)*AW167+(1-EXP(-LN(2)/2))/(LN(2)/2)*AQ168*AT168*VLOOKUP('Données projet'!$B$10,Paramètres!$A$1:$I$89,3,0)*0.475*44/12</f>
        <v>1.15184040509934E-19</v>
      </c>
      <c r="AX168" s="21">
        <f t="shared" si="166"/>
        <v>0.71113180735199677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553.99999999999955</v>
      </c>
      <c r="BE168" s="13">
        <f>BD168*VLOOKUP('Données projet'!$B$11,Paramètres!$A$1:$I$89,3,0)*VLOOKUP('Données projet'!$B$11,Paramètres!$A$1:$I$89,5,0)</f>
        <v>331.29199999999975</v>
      </c>
      <c r="BF168" s="13">
        <f t="shared" si="167"/>
        <v>77.698110787752</v>
      </c>
      <c r="BG168" s="20">
        <f t="shared" si="168"/>
        <v>712.32444295533423</v>
      </c>
      <c r="BH168" s="59">
        <f t="shared" si="116"/>
        <v>1005.6577762886675</v>
      </c>
      <c r="BI168" s="59">
        <f ca="1">AVERAGE(OFFSET($BH$3,0,0,'Données projet'!$E$11+1,1))-AVERAGE(OFFSET($H$3,0,0,'Données projet'!$E$11+1,1))</f>
        <v>316.58509520829671</v>
      </c>
      <c r="BJ168" s="59">
        <f t="shared" si="146"/>
        <v>240.71332110643596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0.17489794447040233</v>
      </c>
      <c r="BQ168" s="21">
        <f>EXP(-LN(2)/25)*BQ167+(1-EXP(-LN(2)/25))/(LN(2)/25)*Calculateur!BL168*Calculateur!BN168*VLOOKUP('Données projet'!$B$11,Paramètres!$A$1:$I$89,3,0)*0.475*44/12</f>
        <v>0.36159139791677253</v>
      </c>
      <c r="BR168" s="21">
        <f>EXP(-LN(2)/2)*BR167+(1-EXP(-LN(2)/2))/(LN(2)/2)*BL168*BO168*VLOOKUP('Données projet'!$B$11,Paramètres!$A$1:$I$89,3,0)*0.475*44/12</f>
        <v>1.0512328217439093E-19</v>
      </c>
      <c r="BS168" s="22">
        <f t="shared" si="169"/>
        <v>0.53648934238717483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497</v>
      </c>
      <c r="BZ168" s="13">
        <f>BY168*VLOOKUP('Données projet'!$B$12,Paramètres!$A$1:$I$89,3,0)*VLOOKUP('Données projet'!$B$12,Paramètres!$A$1:$I$89,5,0)</f>
        <v>297.20600000000002</v>
      </c>
      <c r="CA168" s="13">
        <f t="shared" si="170"/>
        <v>70.590415164571112</v>
      </c>
      <c r="CB168" s="20">
        <f t="shared" si="171"/>
        <v>640.57875641162809</v>
      </c>
      <c r="CC168" s="59">
        <f t="shared" si="119"/>
        <v>933.91208974496135</v>
      </c>
      <c r="CD168" s="59">
        <f ca="1">AVERAGE(OFFSET($CC$3,0,0,'Données projet'!$E$12+1,1))-AVERAGE(OFFSET($H$3,0,0,'Données projet'!$E$12+1,1))</f>
        <v>270.30888762640245</v>
      </c>
      <c r="CE168" s="59">
        <f t="shared" si="148"/>
        <v>202.23783851977691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0.14780107983414265</v>
      </c>
      <c r="CL168" s="21">
        <f>EXP(-LN(2)/25)*CL167+(1-EXP(-LN(2)/25))/(LN(2)/25)*Calculateur!CG168*Calculateur!CI168*VLOOKUP('Données projet'!$B$12,Paramètres!$A$1:$I$89,3,0)*0.475*44/12</f>
        <v>0.29118829242748961</v>
      </c>
      <c r="CM168" s="21">
        <f>EXP(-LN(2)/2)*CM167+(1-EXP(-LN(2)/2))/(LN(2)/2)*CG168*CJ168*VLOOKUP('Données projet'!$B$12,Paramètres!$A$1:$I$89,3,0)*0.475*44/12</f>
        <v>8.8608109384142239E-20</v>
      </c>
      <c r="CN168" s="22">
        <f t="shared" si="172"/>
        <v>0.43898937226163226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-5.1159076974727213E-13</v>
      </c>
      <c r="CU168" s="17">
        <f>CT168*VLOOKUP('Données projet'!$B$13,Paramètres!$A$1:$I$89,3,0)*VLOOKUP('Données projet'!$B$13,Paramètres!$A$1:$I$89,5,0)</f>
        <v>-3.4317508834647017E-13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207.93042467236967</v>
      </c>
      <c r="CZ168" s="59">
        <f t="shared" si="150"/>
        <v>250.70954318710835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0.18984465592544905</v>
      </c>
      <c r="DG168" s="21">
        <f>EXP(-LN(2)/25)*DG167+(1-EXP(-LN(2)/25))/(LN(2)/25)*Calculateur!DB168*Calculateur!DD168*VLOOKUP('Données projet'!$B$13,Paramètres!$A$1:$I$89,3,0)*0.475*44/12</f>
        <v>0.40973706399878401</v>
      </c>
      <c r="DH168" s="21">
        <f>EXP(-LN(2)/2)*DH167+(1-EXP(-LN(2)/2))/(LN(2)/2)*DB168*DE168*VLOOKUP('Données projet'!$B$13,Paramètres!$A$1:$I$89,3,0)*0.475*44/12</f>
        <v>9.7115955724061993E-20</v>
      </c>
      <c r="DI168" s="22">
        <f t="shared" si="175"/>
        <v>0.59958171992423304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5.6843418860808015E-14</v>
      </c>
      <c r="DP168" s="17">
        <f>DO168*VLOOKUP('Données projet'!$B$14,Paramètres!$A$1:$I$89,3,0)*VLOOKUP('Données projet'!$B$14,Paramètres!$A$1:$I$89,5,0)</f>
        <v>3.813056537183002E-14</v>
      </c>
      <c r="DQ168" s="13">
        <f t="shared" si="176"/>
        <v>6.4086286045526829E-13</v>
      </c>
      <c r="DR168" s="20">
        <f t="shared" si="177"/>
        <v>1.1825802166488628E-12</v>
      </c>
      <c r="DS168" s="59">
        <f t="shared" si="125"/>
        <v>293.33333333333451</v>
      </c>
      <c r="DT168" s="59">
        <f ca="1">AVERAGE(OFFSET($DS$3,0,0,'Données projet'!$E$14+1,1))-AVERAGE(OFFSET($H$3,0,0,'Données projet'!$E$14+1,1))</f>
        <v>156.63226020379989</v>
      </c>
      <c r="DU168" s="59">
        <f t="shared" si="152"/>
        <v>196.0481096619543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0.20533129438484604</v>
      </c>
      <c r="EC168" s="21">
        <f>EXP(-LN(2)/2)*EC167+(1-EXP(-LN(2)/2))/(LN(2)/2)*DW168*DZ168*VLOOKUP('Données projet'!$B$14,Paramètres!$A$1:$I$89,3,0)*0.475*44/12</f>
        <v>4.3475915773030946E-20</v>
      </c>
      <c r="ED168" s="22">
        <f t="shared" si="178"/>
        <v>0.20533129438484604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-5.6843418860808015E-13</v>
      </c>
      <c r="EK168" s="17">
        <f>EJ168*VLOOKUP('Données projet'!$B$15,Paramètres!$A$1:$I$89,3,0)*VLOOKUP('Données projet'!$B$15,Paramètres!$A$1:$I$89,5,0)</f>
        <v>-5.763922672485933E-13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190.21499310415584</v>
      </c>
      <c r="EP168" s="59">
        <f t="shared" si="154"/>
        <v>136.15730566500173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7.1054273576010019E-14</v>
      </c>
      <c r="FF168" s="17">
        <f>FE168*VLOOKUP('Données projet'!$B$16,Paramètres!$A$1:$I$89,3,0)*VLOOKUP('Données projet'!$B$16,Paramètres!$A$1:$I$89,5,0)</f>
        <v>8.1854523159563538E-14</v>
      </c>
      <c r="FG168" s="13">
        <f t="shared" si="182"/>
        <v>1.2586836169904262E-12</v>
      </c>
      <c r="FH168" s="20">
        <f t="shared" si="183"/>
        <v>2.3347705940945655E-12</v>
      </c>
      <c r="FI168" s="59">
        <f t="shared" si="131"/>
        <v>293.33333333333564</v>
      </c>
      <c r="FJ168" s="59">
        <f ca="1">AVERAGE(OFFSET($FI$3,0,0,'Données projet'!$E$16+1,1))-AVERAGE(OFFSET($H$3,0,0,'Données projet'!$E$16+1,1))</f>
        <v>14.847345852478327</v>
      </c>
      <c r="FK168" s="59">
        <f t="shared" si="156"/>
        <v>46.764428272166299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4.2032089107469986E-2</v>
      </c>
      <c r="FS168" s="21">
        <f>EXP(-LN(2)/2)*FS167+(1-EXP(-LN(2)/2))/(LN(2)/2)*FM168*FP168*VLOOKUP('Données projet'!$B$16,Paramètres!$A$1:$I$89,3,0)*0.475*44/12</f>
        <v>9.4536906325994226E-21</v>
      </c>
      <c r="FT168" s="22">
        <f t="shared" si="184"/>
        <v>4.2032089107469986E-2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4.1145540308207271E-13</v>
      </c>
      <c r="P169" s="13">
        <f t="shared" si="141"/>
        <v>5.2428527960910789E-12</v>
      </c>
      <c r="Q169" s="20">
        <f t="shared" si="162"/>
        <v>9.8479201135599071E-12</v>
      </c>
      <c r="R169" s="59">
        <f t="shared" si="109"/>
        <v>293.33333333334315</v>
      </c>
      <c r="S169" s="59">
        <f ca="1">AVERAGE(OFFSET($R$3,0,0,'Données projet'!$E$9+1,1))-AVERAGE(OFFSET($H$3,0,0,'Données projet'!$E$9+1,1))</f>
        <v>221.7429870520005</v>
      </c>
      <c r="T169" s="59">
        <f t="shared" si="142"/>
        <v>182.2029938397186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-5.1159076974727213E-13</v>
      </c>
      <c r="AJ169" s="13">
        <f>AI169*VLOOKUP('Données projet'!$B$10,Paramètres!$A$1:$I$89,3,0)*VLOOKUP('Données projet'!$B$10,Paramètres!$A$1:$I$89,5,0)</f>
        <v>-4.0702161641092972E-13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260.20517190557814</v>
      </c>
      <c r="AO169" s="59">
        <f t="shared" si="144"/>
        <v>307.22009971147133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0.22074925160103348</v>
      </c>
      <c r="AV169" s="21">
        <f>EXP(-LN(2)/25)*AV168+(1-EXP(-LN(2)/25))/(LN(2)/25)*Calculateur!AQ169*Calculateur!AS169*VLOOKUP('Données projet'!$B$10,Paramètres!$A$1:$I$89,3,0)*0.475*44/12</f>
        <v>0.47267841637829405</v>
      </c>
      <c r="AW169" s="21">
        <f>EXP(-LN(2)/2)*AW168+(1-EXP(-LN(2)/2))/(LN(2)/2)*AQ169*AT169*VLOOKUP('Données projet'!$B$10,Paramètres!$A$1:$I$89,3,0)*0.475*44/12</f>
        <v>8.1447416129040326E-20</v>
      </c>
      <c r="AX169" s="21">
        <f t="shared" si="166"/>
        <v>0.69342766797932753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553.99999999999955</v>
      </c>
      <c r="BE169" s="13">
        <f>BD169*VLOOKUP('Données projet'!$B$11,Paramètres!$A$1:$I$89,3,0)*VLOOKUP('Données projet'!$B$11,Paramètres!$A$1:$I$89,5,0)</f>
        <v>331.29199999999975</v>
      </c>
      <c r="BF169" s="13">
        <f t="shared" si="167"/>
        <v>77.698110787752</v>
      </c>
      <c r="BG169" s="20">
        <f t="shared" si="168"/>
        <v>712.32444295533423</v>
      </c>
      <c r="BH169" s="59">
        <f t="shared" si="116"/>
        <v>1005.6577762886675</v>
      </c>
      <c r="BI169" s="59">
        <f ca="1">AVERAGE(OFFSET($BH$3,0,0,'Données projet'!$E$11+1,1))-AVERAGE(OFFSET($H$3,0,0,'Données projet'!$E$11+1,1))</f>
        <v>316.58509520829671</v>
      </c>
      <c r="BJ169" s="59">
        <f t="shared" si="146"/>
        <v>240.71332110643596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0.17146830245655037</v>
      </c>
      <c r="BQ169" s="21">
        <f>EXP(-LN(2)/25)*BQ168+(1-EXP(-LN(2)/25))/(LN(2)/25)*Calculateur!BL169*Calculateur!BN169*VLOOKUP('Données projet'!$B$11,Paramètres!$A$1:$I$89,3,0)*0.475*44/12</f>
        <v>0.35170366212547322</v>
      </c>
      <c r="BR169" s="21">
        <f>EXP(-LN(2)/2)*BR168+(1-EXP(-LN(2)/2))/(LN(2)/2)*BL169*BO169*VLOOKUP('Données projet'!$B$11,Paramètres!$A$1:$I$89,3,0)*0.475*44/12</f>
        <v>7.4333385686098736E-20</v>
      </c>
      <c r="BS169" s="22">
        <f t="shared" si="169"/>
        <v>0.52317196458202364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497</v>
      </c>
      <c r="BZ169" s="13">
        <f>BY169*VLOOKUP('Données projet'!$B$12,Paramètres!$A$1:$I$89,3,0)*VLOOKUP('Données projet'!$B$12,Paramètres!$A$1:$I$89,5,0)</f>
        <v>297.20600000000002</v>
      </c>
      <c r="CA169" s="13">
        <f t="shared" si="170"/>
        <v>70.590415164571112</v>
      </c>
      <c r="CB169" s="20">
        <f t="shared" si="171"/>
        <v>640.57875641162809</v>
      </c>
      <c r="CC169" s="59">
        <f t="shared" si="119"/>
        <v>933.91208974496135</v>
      </c>
      <c r="CD169" s="59">
        <f ca="1">AVERAGE(OFFSET($CC$3,0,0,'Données projet'!$E$12+1,1))-AVERAGE(OFFSET($H$3,0,0,'Données projet'!$E$12+1,1))</f>
        <v>270.30888762640245</v>
      </c>
      <c r="CE169" s="59">
        <f t="shared" si="148"/>
        <v>202.23783851977691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0.14490279080835225</v>
      </c>
      <c r="CL169" s="21">
        <f>EXP(-LN(2)/25)*CL168+(1-EXP(-LN(2)/25))/(LN(2)/25)*Calculateur!CG169*Calculateur!CI169*VLOOKUP('Données projet'!$B$12,Paramètres!$A$1:$I$89,3,0)*0.475*44/12</f>
        <v>0.28322573325813311</v>
      </c>
      <c r="CM169" s="21">
        <f>EXP(-LN(2)/2)*CM168+(1-EXP(-LN(2)/2))/(LN(2)/2)*CG169*CJ169*VLOOKUP('Données projet'!$B$12,Paramètres!$A$1:$I$89,3,0)*0.475*44/12</f>
        <v>6.2655395013646334E-20</v>
      </c>
      <c r="CN169" s="22">
        <f t="shared" si="172"/>
        <v>0.42812852406648538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-5.1159076974727213E-13</v>
      </c>
      <c r="CU169" s="17">
        <f>CT169*VLOOKUP('Données projet'!$B$13,Paramètres!$A$1:$I$89,3,0)*VLOOKUP('Données projet'!$B$13,Paramètres!$A$1:$I$89,5,0)</f>
        <v>-3.4317508834647017E-13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207.93042467236967</v>
      </c>
      <c r="CZ169" s="59">
        <f t="shared" si="150"/>
        <v>250.70954318710835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0.18612191801655742</v>
      </c>
      <c r="DG169" s="21">
        <f>EXP(-LN(2)/25)*DG168+(1-EXP(-LN(2)/25))/(LN(2)/25)*Calculateur!DB169*Calculateur!DD169*VLOOKUP('Données projet'!$B$13,Paramètres!$A$1:$I$89,3,0)*0.475*44/12</f>
        <v>0.39853278243660151</v>
      </c>
      <c r="DH169" s="21">
        <f>EXP(-LN(2)/2)*DH168+(1-EXP(-LN(2)/2))/(LN(2)/2)*DB169*DE169*VLOOKUP('Données projet'!$B$13,Paramètres!$A$1:$I$89,3,0)*0.475*44/12</f>
        <v>6.8671350853896741E-20</v>
      </c>
      <c r="DI169" s="22">
        <f t="shared" si="175"/>
        <v>0.58465470045315893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5.6843418860808015E-14</v>
      </c>
      <c r="DP169" s="17">
        <f>DO169*VLOOKUP('Données projet'!$B$14,Paramètres!$A$1:$I$89,3,0)*VLOOKUP('Données projet'!$B$14,Paramètres!$A$1:$I$89,5,0)</f>
        <v>3.813056537183002E-14</v>
      </c>
      <c r="DQ169" s="13">
        <f t="shared" si="176"/>
        <v>6.4086286045526829E-13</v>
      </c>
      <c r="DR169" s="20">
        <f t="shared" si="177"/>
        <v>1.1825802166488628E-12</v>
      </c>
      <c r="DS169" s="59">
        <f t="shared" si="125"/>
        <v>293.33333333333451</v>
      </c>
      <c r="DT169" s="59">
        <f ca="1">AVERAGE(OFFSET($DS$3,0,0,'Données projet'!$E$14+1,1))-AVERAGE(OFFSET($H$3,0,0,'Données projet'!$E$14+1,1))</f>
        <v>156.63226020379989</v>
      </c>
      <c r="DU169" s="59">
        <f t="shared" si="152"/>
        <v>196.0481096619543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0.19971649934198896</v>
      </c>
      <c r="EC169" s="21">
        <f>EXP(-LN(2)/2)*EC168+(1-EXP(-LN(2)/2))/(LN(2)/2)*DW169*DZ169*VLOOKUP('Données projet'!$B$14,Paramètres!$A$1:$I$89,3,0)*0.475*44/12</f>
        <v>3.0742114861405363E-20</v>
      </c>
      <c r="ED169" s="22">
        <f t="shared" si="178"/>
        <v>0.19971649934198896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-5.6843418860808015E-13</v>
      </c>
      <c r="EK169" s="17">
        <f>EJ169*VLOOKUP('Données projet'!$B$15,Paramètres!$A$1:$I$89,3,0)*VLOOKUP('Données projet'!$B$15,Paramètres!$A$1:$I$89,5,0)</f>
        <v>-5.763922672485933E-13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190.21499310415584</v>
      </c>
      <c r="EP169" s="59">
        <f t="shared" si="154"/>
        <v>136.15730566500173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7.1054273576010019E-14</v>
      </c>
      <c r="FF169" s="17">
        <f>FE169*VLOOKUP('Données projet'!$B$16,Paramètres!$A$1:$I$89,3,0)*VLOOKUP('Données projet'!$B$16,Paramètres!$A$1:$I$89,5,0)</f>
        <v>8.1854523159563538E-14</v>
      </c>
      <c r="FG169" s="13">
        <f t="shared" si="182"/>
        <v>1.2586836169904262E-12</v>
      </c>
      <c r="FH169" s="20">
        <f t="shared" si="183"/>
        <v>2.3347705940945655E-12</v>
      </c>
      <c r="FI169" s="59">
        <f t="shared" si="131"/>
        <v>293.33333333333564</v>
      </c>
      <c r="FJ169" s="59">
        <f ca="1">AVERAGE(OFFSET($FI$3,0,0,'Données projet'!$E$16+1,1))-AVERAGE(OFFSET($H$3,0,0,'Données projet'!$E$16+1,1))</f>
        <v>14.847345852478327</v>
      </c>
      <c r="FK169" s="59">
        <f t="shared" si="156"/>
        <v>46.764428272166299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4.0882719420454718E-2</v>
      </c>
      <c r="FS169" s="21">
        <f>EXP(-LN(2)/2)*FS168+(1-EXP(-LN(2)/2))/(LN(2)/2)*FM169*FP169*VLOOKUP('Données projet'!$B$16,Paramètres!$A$1:$I$89,3,0)*0.475*44/12</f>
        <v>6.6847687535507946E-21</v>
      </c>
      <c r="FT169" s="22">
        <f t="shared" si="184"/>
        <v>4.0882719420454718E-2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4.1145540308207271E-13</v>
      </c>
      <c r="P170" s="13">
        <f t="shared" si="141"/>
        <v>5.2428527960910789E-12</v>
      </c>
      <c r="Q170" s="20">
        <f t="shared" si="162"/>
        <v>9.8479201135599071E-12</v>
      </c>
      <c r="R170" s="59">
        <f t="shared" si="109"/>
        <v>293.33333333334315</v>
      </c>
      <c r="S170" s="59">
        <f ca="1">AVERAGE(OFFSET($R$3,0,0,'Données projet'!$E$9+1,1))-AVERAGE(OFFSET($H$3,0,0,'Données projet'!$E$9+1,1))</f>
        <v>221.7429870520005</v>
      </c>
      <c r="T170" s="59">
        <f t="shared" si="142"/>
        <v>182.2029938397186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-5.1159076974727213E-13</v>
      </c>
      <c r="AJ170" s="13">
        <f>AI170*VLOOKUP('Données projet'!$B$10,Paramètres!$A$1:$I$89,3,0)*VLOOKUP('Données projet'!$B$10,Paramètres!$A$1:$I$89,5,0)</f>
        <v>-4.0702161641092972E-13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260.20517190557814</v>
      </c>
      <c r="AO170" s="59">
        <f t="shared" si="144"/>
        <v>307.22009971147133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0.21642049342088573</v>
      </c>
      <c r="AV170" s="21">
        <f>EXP(-LN(2)/25)*AV169+(1-EXP(-LN(2)/25))/(LN(2)/25)*Calculateur!AQ170*Calculateur!AS170*VLOOKUP('Données projet'!$B$10,Paramètres!$A$1:$I$89,3,0)*0.475*44/12</f>
        <v>0.45975300022535198</v>
      </c>
      <c r="AW170" s="21">
        <f>EXP(-LN(2)/2)*AW169+(1-EXP(-LN(2)/2))/(LN(2)/2)*AQ170*AT170*VLOOKUP('Données projet'!$B$10,Paramètres!$A$1:$I$89,3,0)*0.475*44/12</f>
        <v>5.7592020254966999E-20</v>
      </c>
      <c r="AX170" s="21">
        <f t="shared" si="166"/>
        <v>0.67617349364623769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553.99999999999955</v>
      </c>
      <c r="BE170" s="13">
        <f>BD170*VLOOKUP('Données projet'!$B$11,Paramètres!$A$1:$I$89,3,0)*VLOOKUP('Données projet'!$B$11,Paramètres!$A$1:$I$89,5,0)</f>
        <v>331.29199999999975</v>
      </c>
      <c r="BF170" s="13">
        <f t="shared" si="167"/>
        <v>77.698110787752</v>
      </c>
      <c r="BG170" s="20">
        <f t="shared" si="168"/>
        <v>712.32444295533423</v>
      </c>
      <c r="BH170" s="59">
        <f t="shared" si="116"/>
        <v>1005.6577762886675</v>
      </c>
      <c r="BI170" s="59">
        <f ca="1">AVERAGE(OFFSET($BH$3,0,0,'Données projet'!$E$11+1,1))-AVERAGE(OFFSET($H$3,0,0,'Données projet'!$E$11+1,1))</f>
        <v>316.58509520829671</v>
      </c>
      <c r="BJ170" s="59">
        <f t="shared" si="146"/>
        <v>240.71332110643596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0.16810591363071498</v>
      </c>
      <c r="BQ170" s="21">
        <f>EXP(-LN(2)/25)*BQ169+(1-EXP(-LN(2)/25))/(LN(2)/25)*Calculateur!BL170*Calculateur!BN170*VLOOKUP('Données projet'!$B$11,Paramètres!$A$1:$I$89,3,0)*0.475*44/12</f>
        <v>0.34208630698936038</v>
      </c>
      <c r="BR170" s="21">
        <f>EXP(-LN(2)/2)*BR169+(1-EXP(-LN(2)/2))/(LN(2)/2)*BL170*BO170*VLOOKUP('Données projet'!$B$11,Paramètres!$A$1:$I$89,3,0)*0.475*44/12</f>
        <v>5.2561641087195463E-20</v>
      </c>
      <c r="BS170" s="22">
        <f t="shared" si="169"/>
        <v>0.5101922206200753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497</v>
      </c>
      <c r="BZ170" s="13">
        <f>BY170*VLOOKUP('Données projet'!$B$12,Paramètres!$A$1:$I$89,3,0)*VLOOKUP('Données projet'!$B$12,Paramètres!$A$1:$I$89,5,0)</f>
        <v>297.20600000000002</v>
      </c>
      <c r="CA170" s="13">
        <f t="shared" si="170"/>
        <v>70.590415164571112</v>
      </c>
      <c r="CB170" s="20">
        <f t="shared" si="171"/>
        <v>640.57875641162809</v>
      </c>
      <c r="CC170" s="59">
        <f t="shared" si="119"/>
        <v>933.91208974496135</v>
      </c>
      <c r="CD170" s="59">
        <f ca="1">AVERAGE(OFFSET($CC$3,0,0,'Données projet'!$E$12+1,1))-AVERAGE(OFFSET($H$3,0,0,'Données projet'!$E$12+1,1))</f>
        <v>270.30888762640245</v>
      </c>
      <c r="CE170" s="59">
        <f t="shared" si="148"/>
        <v>202.23783851977691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0.14206133546257585</v>
      </c>
      <c r="CL170" s="21">
        <f>EXP(-LN(2)/25)*CL169+(1-EXP(-LN(2)/25))/(LN(2)/25)*Calculateur!CG170*Calculateur!CI170*VLOOKUP('Données projet'!$B$12,Paramètres!$A$1:$I$89,3,0)*0.475*44/12</f>
        <v>0.27548091068799546</v>
      </c>
      <c r="CM170" s="21">
        <f>EXP(-LN(2)/2)*CM169+(1-EXP(-LN(2)/2))/(LN(2)/2)*CG170*CJ170*VLOOKUP('Données projet'!$B$12,Paramètres!$A$1:$I$89,3,0)*0.475*44/12</f>
        <v>4.4304054692071119E-20</v>
      </c>
      <c r="CN170" s="22">
        <f t="shared" si="172"/>
        <v>0.41754224615057134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-5.1159076974727213E-13</v>
      </c>
      <c r="CU170" s="17">
        <f>CT170*VLOOKUP('Données projet'!$B$13,Paramètres!$A$1:$I$89,3,0)*VLOOKUP('Données projet'!$B$13,Paramètres!$A$1:$I$89,5,0)</f>
        <v>-3.4317508834647017E-13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207.93042467236967</v>
      </c>
      <c r="CZ170" s="59">
        <f t="shared" si="150"/>
        <v>250.70954318710835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0.18247218072741322</v>
      </c>
      <c r="DG170" s="21">
        <f>EXP(-LN(2)/25)*DG169+(1-EXP(-LN(2)/25))/(LN(2)/25)*Calculateur!DB170*Calculateur!DD170*VLOOKUP('Données projet'!$B$13,Paramètres!$A$1:$I$89,3,0)*0.475*44/12</f>
        <v>0.38763488254294448</v>
      </c>
      <c r="DH170" s="21">
        <f>EXP(-LN(2)/2)*DH169+(1-EXP(-LN(2)/2))/(LN(2)/2)*DB170*DE170*VLOOKUP('Données projet'!$B$13,Paramètres!$A$1:$I$89,3,0)*0.475*44/12</f>
        <v>4.8557977862030997E-20</v>
      </c>
      <c r="DI170" s="22">
        <f t="shared" si="175"/>
        <v>0.57010706327035776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5.6843418860808015E-14</v>
      </c>
      <c r="DP170" s="17">
        <f>DO170*VLOOKUP('Données projet'!$B$14,Paramètres!$A$1:$I$89,3,0)*VLOOKUP('Données projet'!$B$14,Paramètres!$A$1:$I$89,5,0)</f>
        <v>3.813056537183002E-14</v>
      </c>
      <c r="DQ170" s="13">
        <f t="shared" si="176"/>
        <v>6.4086286045526829E-13</v>
      </c>
      <c r="DR170" s="20">
        <f t="shared" si="177"/>
        <v>1.1825802166488628E-12</v>
      </c>
      <c r="DS170" s="59">
        <f t="shared" si="125"/>
        <v>293.33333333333451</v>
      </c>
      <c r="DT170" s="59">
        <f ca="1">AVERAGE(OFFSET($DS$3,0,0,'Données projet'!$E$14+1,1))-AVERAGE(OFFSET($H$3,0,0,'Données projet'!$E$14+1,1))</f>
        <v>156.63226020379989</v>
      </c>
      <c r="DU170" s="59">
        <f t="shared" si="152"/>
        <v>196.0481096619543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0.19425524116484802</v>
      </c>
      <c r="EC170" s="21">
        <f>EXP(-LN(2)/2)*EC169+(1-EXP(-LN(2)/2))/(LN(2)/2)*DW170*DZ170*VLOOKUP('Données projet'!$B$14,Paramètres!$A$1:$I$89,3,0)*0.475*44/12</f>
        <v>2.1737957886515473E-20</v>
      </c>
      <c r="ED170" s="22">
        <f t="shared" si="178"/>
        <v>0.19425524116484802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-5.6843418860808015E-13</v>
      </c>
      <c r="EK170" s="17">
        <f>EJ170*VLOOKUP('Données projet'!$B$15,Paramètres!$A$1:$I$89,3,0)*VLOOKUP('Données projet'!$B$15,Paramètres!$A$1:$I$89,5,0)</f>
        <v>-5.763922672485933E-13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190.21499310415584</v>
      </c>
      <c r="EP170" s="59">
        <f t="shared" si="154"/>
        <v>136.15730566500173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7.1054273576010019E-14</v>
      </c>
      <c r="FF170" s="17">
        <f>FE170*VLOOKUP('Données projet'!$B$16,Paramètres!$A$1:$I$89,3,0)*VLOOKUP('Données projet'!$B$16,Paramètres!$A$1:$I$89,5,0)</f>
        <v>8.1854523159563538E-14</v>
      </c>
      <c r="FG170" s="13">
        <f t="shared" si="182"/>
        <v>1.2586836169904262E-12</v>
      </c>
      <c r="FH170" s="20">
        <f t="shared" si="183"/>
        <v>2.3347705940945655E-12</v>
      </c>
      <c r="FI170" s="59">
        <f t="shared" si="131"/>
        <v>293.33333333333564</v>
      </c>
      <c r="FJ170" s="59">
        <f ca="1">AVERAGE(OFFSET($FI$3,0,0,'Données projet'!$E$16+1,1))-AVERAGE(OFFSET($H$3,0,0,'Données projet'!$E$16+1,1))</f>
        <v>14.847345852478327</v>
      </c>
      <c r="FK170" s="59">
        <f t="shared" si="156"/>
        <v>46.764428272166299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3.9764779307973605E-2</v>
      </c>
      <c r="FS170" s="21">
        <f>EXP(-LN(2)/2)*FS169+(1-EXP(-LN(2)/2))/(LN(2)/2)*FM170*FP170*VLOOKUP('Données projet'!$B$16,Paramètres!$A$1:$I$89,3,0)*0.475*44/12</f>
        <v>4.7268453162997121E-21</v>
      </c>
      <c r="FT170" s="22">
        <f t="shared" si="184"/>
        <v>3.9764779307973605E-2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4.1145540308207271E-13</v>
      </c>
      <c r="P171" s="13">
        <f t="shared" si="141"/>
        <v>5.2428527960910789E-12</v>
      </c>
      <c r="Q171" s="20">
        <f t="shared" si="162"/>
        <v>9.8479201135599071E-12</v>
      </c>
      <c r="R171" s="59">
        <f t="shared" si="109"/>
        <v>293.33333333334315</v>
      </c>
      <c r="S171" s="59">
        <f ca="1">AVERAGE(OFFSET($R$3,0,0,'Données projet'!$E$9+1,1))-AVERAGE(OFFSET($H$3,0,0,'Données projet'!$E$9+1,1))</f>
        <v>221.7429870520005</v>
      </c>
      <c r="T171" s="59">
        <f t="shared" si="142"/>
        <v>182.2029938397186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-5.1159076974727213E-13</v>
      </c>
      <c r="AJ171" s="13">
        <f>AI171*VLOOKUP('Données projet'!$B$10,Paramètres!$A$1:$I$89,3,0)*VLOOKUP('Données projet'!$B$10,Paramètres!$A$1:$I$89,5,0)</f>
        <v>-4.0702161641092972E-13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260.20517190557814</v>
      </c>
      <c r="AO171" s="59">
        <f t="shared" si="144"/>
        <v>307.22009971147133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0.21217661954836889</v>
      </c>
      <c r="AV171" s="21">
        <f>EXP(-LN(2)/25)*AV170+(1-EXP(-LN(2)/25))/(LN(2)/25)*Calculateur!AQ171*Calculateur!AS171*VLOOKUP('Données projet'!$B$10,Paramètres!$A$1:$I$89,3,0)*0.475*44/12</f>
        <v>0.4471810302568302</v>
      </c>
      <c r="AW171" s="21">
        <f>EXP(-LN(2)/2)*AW170+(1-EXP(-LN(2)/2))/(LN(2)/2)*AQ171*AT171*VLOOKUP('Données projet'!$B$10,Paramètres!$A$1:$I$89,3,0)*0.475*44/12</f>
        <v>4.0723708064520163E-20</v>
      </c>
      <c r="AX171" s="21">
        <f t="shared" si="166"/>
        <v>0.65935764980519906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553.99999999999955</v>
      </c>
      <c r="BE171" s="13">
        <f>BD171*VLOOKUP('Données projet'!$B$11,Paramètres!$A$1:$I$89,3,0)*VLOOKUP('Données projet'!$B$11,Paramètres!$A$1:$I$89,5,0)</f>
        <v>331.29199999999975</v>
      </c>
      <c r="BF171" s="13">
        <f t="shared" si="167"/>
        <v>77.698110787752</v>
      </c>
      <c r="BG171" s="20">
        <f t="shared" si="168"/>
        <v>712.32444295533423</v>
      </c>
      <c r="BH171" s="59">
        <f t="shared" si="116"/>
        <v>1005.6577762886675</v>
      </c>
      <c r="BI171" s="59">
        <f ca="1">AVERAGE(OFFSET($BH$3,0,0,'Données projet'!$E$11+1,1))-AVERAGE(OFFSET($H$3,0,0,'Données projet'!$E$11+1,1))</f>
        <v>316.58509520829671</v>
      </c>
      <c r="BJ171" s="59">
        <f t="shared" si="146"/>
        <v>240.71332110643596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0.16480945919889953</v>
      </c>
      <c r="BQ171" s="21">
        <f>EXP(-LN(2)/25)*BQ170+(1-EXP(-LN(2)/25))/(LN(2)/25)*Calculateur!BL171*Calculateur!BN171*VLOOKUP('Données projet'!$B$11,Paramètres!$A$1:$I$89,3,0)*0.475*44/12</f>
        <v>0.33273193893519926</v>
      </c>
      <c r="BR171" s="21">
        <f>EXP(-LN(2)/2)*BR170+(1-EXP(-LN(2)/2))/(LN(2)/2)*BL171*BO171*VLOOKUP('Données projet'!$B$11,Paramètres!$A$1:$I$89,3,0)*0.475*44/12</f>
        <v>3.7166692843049368E-20</v>
      </c>
      <c r="BS171" s="22">
        <f t="shared" si="169"/>
        <v>0.49754139813409881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497</v>
      </c>
      <c r="BZ171" s="13">
        <f>BY171*VLOOKUP('Données projet'!$B$12,Paramètres!$A$1:$I$89,3,0)*VLOOKUP('Données projet'!$B$12,Paramètres!$A$1:$I$89,5,0)</f>
        <v>297.20600000000002</v>
      </c>
      <c r="CA171" s="13">
        <f t="shared" si="170"/>
        <v>70.590415164571112</v>
      </c>
      <c r="CB171" s="20">
        <f t="shared" si="171"/>
        <v>640.57875641162809</v>
      </c>
      <c r="CC171" s="59">
        <f t="shared" si="119"/>
        <v>933.91208974496135</v>
      </c>
      <c r="CD171" s="59">
        <f ca="1">AVERAGE(OFFSET($CC$3,0,0,'Données projet'!$E$12+1,1))-AVERAGE(OFFSET($H$3,0,0,'Données projet'!$E$12+1,1))</f>
        <v>270.30888762640245</v>
      </c>
      <c r="CE171" s="59">
        <f t="shared" si="148"/>
        <v>202.23783851977691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0.1392755993230135</v>
      </c>
      <c r="CL171" s="21">
        <f>EXP(-LN(2)/25)*CL170+(1-EXP(-LN(2)/25))/(LN(2)/25)*Calculateur!CG171*Calculateur!CI171*VLOOKUP('Données projet'!$B$12,Paramètres!$A$1:$I$89,3,0)*0.475*44/12</f>
        <v>0.26794787069832077</v>
      </c>
      <c r="CM171" s="21">
        <f>EXP(-LN(2)/2)*CM170+(1-EXP(-LN(2)/2))/(LN(2)/2)*CG171*CJ171*VLOOKUP('Données projet'!$B$12,Paramètres!$A$1:$I$89,3,0)*0.475*44/12</f>
        <v>3.1327697506823167E-20</v>
      </c>
      <c r="CN171" s="22">
        <f t="shared" si="172"/>
        <v>0.4072234700213343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-5.1159076974727213E-13</v>
      </c>
      <c r="CU171" s="17">
        <f>CT171*VLOOKUP('Données projet'!$B$13,Paramètres!$A$1:$I$89,3,0)*VLOOKUP('Données projet'!$B$13,Paramètres!$A$1:$I$89,5,0)</f>
        <v>-3.4317508834647017E-13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207.93042467236967</v>
      </c>
      <c r="CZ171" s="59">
        <f t="shared" si="150"/>
        <v>250.70954318710835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0.17889401256038923</v>
      </c>
      <c r="DG171" s="21">
        <f>EXP(-LN(2)/25)*DG170+(1-EXP(-LN(2)/25))/(LN(2)/25)*Calculateur!DB171*Calculateur!DD171*VLOOKUP('Données projet'!$B$13,Paramètres!$A$1:$I$89,3,0)*0.475*44/12</f>
        <v>0.37703498629497512</v>
      </c>
      <c r="DH171" s="21">
        <f>EXP(-LN(2)/2)*DH170+(1-EXP(-LN(2)/2))/(LN(2)/2)*DB171*DE171*VLOOKUP('Données projet'!$B$13,Paramètres!$A$1:$I$89,3,0)*0.475*44/12</f>
        <v>3.433567542694837E-20</v>
      </c>
      <c r="DI171" s="22">
        <f t="shared" si="175"/>
        <v>0.5559289988553644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5.6843418860808015E-14</v>
      </c>
      <c r="DP171" s="17">
        <f>DO171*VLOOKUP('Données projet'!$B$14,Paramètres!$A$1:$I$89,3,0)*VLOOKUP('Données projet'!$B$14,Paramètres!$A$1:$I$89,5,0)</f>
        <v>3.813056537183002E-14</v>
      </c>
      <c r="DQ171" s="13">
        <f t="shared" si="176"/>
        <v>6.4086286045526829E-13</v>
      </c>
      <c r="DR171" s="20">
        <f t="shared" si="177"/>
        <v>1.1825802166488628E-12</v>
      </c>
      <c r="DS171" s="59">
        <f t="shared" si="125"/>
        <v>293.33333333333451</v>
      </c>
      <c r="DT171" s="59">
        <f ca="1">AVERAGE(OFFSET($DS$3,0,0,'Données projet'!$E$14+1,1))-AVERAGE(OFFSET($H$3,0,0,'Données projet'!$E$14+1,1))</f>
        <v>156.63226020379989</v>
      </c>
      <c r="DU171" s="59">
        <f t="shared" si="152"/>
        <v>196.0481096619543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0.18894332137975609</v>
      </c>
      <c r="EC171" s="21">
        <f>EXP(-LN(2)/2)*EC170+(1-EXP(-LN(2)/2))/(LN(2)/2)*DW171*DZ171*VLOOKUP('Données projet'!$B$14,Paramètres!$A$1:$I$89,3,0)*0.475*44/12</f>
        <v>1.5371057430702682E-20</v>
      </c>
      <c r="ED171" s="22">
        <f t="shared" si="178"/>
        <v>0.18894332137975609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-5.6843418860808015E-13</v>
      </c>
      <c r="EK171" s="17">
        <f>EJ171*VLOOKUP('Données projet'!$B$15,Paramètres!$A$1:$I$89,3,0)*VLOOKUP('Données projet'!$B$15,Paramètres!$A$1:$I$89,5,0)</f>
        <v>-5.763922672485933E-13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190.21499310415584</v>
      </c>
      <c r="EP171" s="59">
        <f t="shared" si="154"/>
        <v>136.15730566500173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7.1054273576010019E-14</v>
      </c>
      <c r="FF171" s="17">
        <f>FE171*VLOOKUP('Données projet'!$B$16,Paramètres!$A$1:$I$89,3,0)*VLOOKUP('Données projet'!$B$16,Paramètres!$A$1:$I$89,5,0)</f>
        <v>8.1854523159563538E-14</v>
      </c>
      <c r="FG171" s="13">
        <f t="shared" si="182"/>
        <v>1.2586836169904262E-12</v>
      </c>
      <c r="FH171" s="20">
        <f t="shared" si="183"/>
        <v>2.3347705940945655E-12</v>
      </c>
      <c r="FI171" s="59">
        <f t="shared" si="131"/>
        <v>293.33333333333564</v>
      </c>
      <c r="FJ171" s="59">
        <f ca="1">AVERAGE(OFFSET($FI$3,0,0,'Données projet'!$E$16+1,1))-AVERAGE(OFFSET($H$3,0,0,'Données projet'!$E$16+1,1))</f>
        <v>14.847345852478327</v>
      </c>
      <c r="FK171" s="59">
        <f t="shared" si="156"/>
        <v>46.764428272166299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3.8677409326658203E-2</v>
      </c>
      <c r="FS171" s="21">
        <f>EXP(-LN(2)/2)*FS170+(1-EXP(-LN(2)/2))/(LN(2)/2)*FM171*FP171*VLOOKUP('Données projet'!$B$16,Paramètres!$A$1:$I$89,3,0)*0.475*44/12</f>
        <v>3.3423843767753977E-21</v>
      </c>
      <c r="FT171" s="22">
        <f t="shared" si="184"/>
        <v>3.8677409326658203E-2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4.1145540308207271E-13</v>
      </c>
      <c r="P172" s="13">
        <f t="shared" si="141"/>
        <v>5.2428527960910789E-12</v>
      </c>
      <c r="Q172" s="20">
        <f t="shared" si="162"/>
        <v>9.8479201135599071E-12</v>
      </c>
      <c r="R172" s="59">
        <f t="shared" si="109"/>
        <v>293.33333333334315</v>
      </c>
      <c r="S172" s="59">
        <f ca="1">AVERAGE(OFFSET($R$3,0,0,'Données projet'!$E$9+1,1))-AVERAGE(OFFSET($H$3,0,0,'Données projet'!$E$9+1,1))</f>
        <v>221.7429870520005</v>
      </c>
      <c r="T172" s="59">
        <f t="shared" si="142"/>
        <v>182.2029938397186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-5.1159076974727213E-13</v>
      </c>
      <c r="AJ172" s="13">
        <f>AI172*VLOOKUP('Données projet'!$B$10,Paramètres!$A$1:$I$89,3,0)*VLOOKUP('Données projet'!$B$10,Paramètres!$A$1:$I$89,5,0)</f>
        <v>-4.0702161641092972E-13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260.20517190557814</v>
      </c>
      <c r="AO172" s="59">
        <f t="shared" si="144"/>
        <v>307.22009971147133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0.20801596545398462</v>
      </c>
      <c r="AV172" s="21">
        <f>EXP(-LN(2)/25)*AV171+(1-EXP(-LN(2)/25))/(LN(2)/25)*Calculateur!AQ172*Calculateur!AS172*VLOOKUP('Données projet'!$B$10,Paramètres!$A$1:$I$89,3,0)*0.475*44/12</f>
        <v>0.43495284146822882</v>
      </c>
      <c r="AW172" s="21">
        <f>EXP(-LN(2)/2)*AW171+(1-EXP(-LN(2)/2))/(LN(2)/2)*AQ172*AT172*VLOOKUP('Données projet'!$B$10,Paramètres!$A$1:$I$89,3,0)*0.475*44/12</f>
        <v>2.87960101274835E-20</v>
      </c>
      <c r="AX172" s="21">
        <f t="shared" si="166"/>
        <v>0.64296880692221348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553.99999999999955</v>
      </c>
      <c r="BE172" s="13">
        <f>BD172*VLOOKUP('Données projet'!$B$11,Paramètres!$A$1:$I$89,3,0)*VLOOKUP('Données projet'!$B$11,Paramètres!$A$1:$I$89,5,0)</f>
        <v>331.29199999999975</v>
      </c>
      <c r="BF172" s="13">
        <f t="shared" si="167"/>
        <v>77.698110787752</v>
      </c>
      <c r="BG172" s="20">
        <f t="shared" si="168"/>
        <v>712.32444295533423</v>
      </c>
      <c r="BH172" s="59">
        <f t="shared" si="116"/>
        <v>1005.6577762886675</v>
      </c>
      <c r="BI172" s="59">
        <f ca="1">AVERAGE(OFFSET($BH$3,0,0,'Données projet'!$E$11+1,1))-AVERAGE(OFFSET($H$3,0,0,'Données projet'!$E$11+1,1))</f>
        <v>316.58509520829671</v>
      </c>
      <c r="BJ172" s="59">
        <f t="shared" si="146"/>
        <v>240.71332110643596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0.16157764622785331</v>
      </c>
      <c r="BQ172" s="21">
        <f>EXP(-LN(2)/25)*BQ171+(1-EXP(-LN(2)/25))/(LN(2)/25)*Calculateur!BL172*Calculateur!BN172*VLOOKUP('Données projet'!$B$11,Paramètres!$A$1:$I$89,3,0)*0.475*44/12</f>
        <v>0.32363336656740405</v>
      </c>
      <c r="BR172" s="21">
        <f>EXP(-LN(2)/2)*BR171+(1-EXP(-LN(2)/2))/(LN(2)/2)*BL172*BO172*VLOOKUP('Données projet'!$B$11,Paramètres!$A$1:$I$89,3,0)*0.475*44/12</f>
        <v>2.6280820543597732E-20</v>
      </c>
      <c r="BS172" s="22">
        <f t="shared" si="169"/>
        <v>0.48521101279525736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497</v>
      </c>
      <c r="BZ172" s="13">
        <f>BY172*VLOOKUP('Données projet'!$B$12,Paramètres!$A$1:$I$89,3,0)*VLOOKUP('Données projet'!$B$12,Paramètres!$A$1:$I$89,5,0)</f>
        <v>297.20600000000002</v>
      </c>
      <c r="CA172" s="13">
        <f t="shared" si="170"/>
        <v>70.590415164571112</v>
      </c>
      <c r="CB172" s="20">
        <f t="shared" si="171"/>
        <v>640.57875641162809</v>
      </c>
      <c r="CC172" s="59">
        <f t="shared" si="119"/>
        <v>933.91208974496135</v>
      </c>
      <c r="CD172" s="59">
        <f ca="1">AVERAGE(OFFSET($CC$3,0,0,'Données projet'!$E$12+1,1))-AVERAGE(OFFSET($H$3,0,0,'Données projet'!$E$12+1,1))</f>
        <v>270.30888762640245</v>
      </c>
      <c r="CE172" s="59">
        <f t="shared" si="148"/>
        <v>202.23783851977691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0.13654448977001671</v>
      </c>
      <c r="CL172" s="21">
        <f>EXP(-LN(2)/25)*CL171+(1-EXP(-LN(2)/25))/(LN(2)/25)*Calculateur!CG172*Calculateur!CI172*VLOOKUP('Données projet'!$B$12,Paramètres!$A$1:$I$89,3,0)*0.475*44/12</f>
        <v>0.26062082208330906</v>
      </c>
      <c r="CM172" s="21">
        <f>EXP(-LN(2)/2)*CM171+(1-EXP(-LN(2)/2))/(LN(2)/2)*CG172*CJ172*VLOOKUP('Données projet'!$B$12,Paramètres!$A$1:$I$89,3,0)*0.475*44/12</f>
        <v>2.215202734603556E-20</v>
      </c>
      <c r="CN172" s="22">
        <f t="shared" si="172"/>
        <v>0.39716531185332576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-5.1159076974727213E-13</v>
      </c>
      <c r="CU172" s="17">
        <f>CT172*VLOOKUP('Données projet'!$B$13,Paramètres!$A$1:$I$89,3,0)*VLOOKUP('Données projet'!$B$13,Paramètres!$A$1:$I$89,5,0)</f>
        <v>-3.4317508834647017E-13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207.93042467236967</v>
      </c>
      <c r="CZ172" s="59">
        <f t="shared" si="150"/>
        <v>250.70954318710835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0.17538601008865348</v>
      </c>
      <c r="DG172" s="21">
        <f>EXP(-LN(2)/25)*DG171+(1-EXP(-LN(2)/25))/(LN(2)/25)*Calculateur!DB172*Calculateur!DD172*VLOOKUP('Données projet'!$B$13,Paramètres!$A$1:$I$89,3,0)*0.475*44/12</f>
        <v>0.36672494476733081</v>
      </c>
      <c r="DH172" s="21">
        <f>EXP(-LN(2)/2)*DH171+(1-EXP(-LN(2)/2))/(LN(2)/2)*DB172*DE172*VLOOKUP('Données projet'!$B$13,Paramètres!$A$1:$I$89,3,0)*0.475*44/12</f>
        <v>2.4278988931015498E-20</v>
      </c>
      <c r="DI172" s="22">
        <f t="shared" si="175"/>
        <v>0.54211095485598426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5.6843418860808015E-14</v>
      </c>
      <c r="DP172" s="17">
        <f>DO172*VLOOKUP('Données projet'!$B$14,Paramètres!$A$1:$I$89,3,0)*VLOOKUP('Données projet'!$B$14,Paramètres!$A$1:$I$89,5,0)</f>
        <v>3.813056537183002E-14</v>
      </c>
      <c r="DQ172" s="13">
        <f t="shared" si="176"/>
        <v>6.4086286045526829E-13</v>
      </c>
      <c r="DR172" s="20">
        <f t="shared" si="177"/>
        <v>1.1825802166488628E-12</v>
      </c>
      <c r="DS172" s="59">
        <f t="shared" si="125"/>
        <v>293.33333333333451</v>
      </c>
      <c r="DT172" s="59">
        <f ca="1">AVERAGE(OFFSET($DS$3,0,0,'Données projet'!$E$14+1,1))-AVERAGE(OFFSET($H$3,0,0,'Données projet'!$E$14+1,1))</f>
        <v>156.63226020379989</v>
      </c>
      <c r="DU172" s="59">
        <f t="shared" si="152"/>
        <v>196.0481096619543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0.18377665632052922</v>
      </c>
      <c r="EC172" s="21">
        <f>EXP(-LN(2)/2)*EC171+(1-EXP(-LN(2)/2))/(LN(2)/2)*DW172*DZ172*VLOOKUP('Données projet'!$B$14,Paramètres!$A$1:$I$89,3,0)*0.475*44/12</f>
        <v>1.0868978943257737E-20</v>
      </c>
      <c r="ED172" s="22">
        <f t="shared" si="178"/>
        <v>0.18377665632052922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-5.6843418860808015E-13</v>
      </c>
      <c r="EK172" s="17">
        <f>EJ172*VLOOKUP('Données projet'!$B$15,Paramètres!$A$1:$I$89,3,0)*VLOOKUP('Données projet'!$B$15,Paramètres!$A$1:$I$89,5,0)</f>
        <v>-5.763922672485933E-13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190.21499310415584</v>
      </c>
      <c r="EP172" s="59">
        <f t="shared" si="154"/>
        <v>136.15730566500173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7.1054273576010019E-14</v>
      </c>
      <c r="FF172" s="17">
        <f>FE172*VLOOKUP('Données projet'!$B$16,Paramètres!$A$1:$I$89,3,0)*VLOOKUP('Données projet'!$B$16,Paramètres!$A$1:$I$89,5,0)</f>
        <v>8.1854523159563538E-14</v>
      </c>
      <c r="FG172" s="13">
        <f t="shared" si="182"/>
        <v>1.2586836169904262E-12</v>
      </c>
      <c r="FH172" s="20">
        <f t="shared" si="183"/>
        <v>2.3347705940945655E-12</v>
      </c>
      <c r="FI172" s="59">
        <f t="shared" si="131"/>
        <v>293.33333333333564</v>
      </c>
      <c r="FJ172" s="59">
        <f ca="1">AVERAGE(OFFSET($FI$3,0,0,'Données projet'!$E$16+1,1))-AVERAGE(OFFSET($H$3,0,0,'Données projet'!$E$16+1,1))</f>
        <v>14.847345852478327</v>
      </c>
      <c r="FK172" s="59">
        <f t="shared" si="156"/>
        <v>46.764428272166299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3.7619773534664176E-2</v>
      </c>
      <c r="FS172" s="21">
        <f>EXP(-LN(2)/2)*FS171+(1-EXP(-LN(2)/2))/(LN(2)/2)*FM172*FP172*VLOOKUP('Données projet'!$B$16,Paramètres!$A$1:$I$89,3,0)*0.475*44/12</f>
        <v>2.3634226581498564E-21</v>
      </c>
      <c r="FT172" s="22">
        <f t="shared" si="184"/>
        <v>3.7619773534664176E-2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4.1145540308207271E-13</v>
      </c>
      <c r="P173" s="13">
        <f t="shared" si="141"/>
        <v>5.2428527960910789E-12</v>
      </c>
      <c r="Q173" s="20">
        <f t="shared" si="162"/>
        <v>9.8479201135599071E-12</v>
      </c>
      <c r="R173" s="59">
        <f t="shared" si="109"/>
        <v>293.33333333334315</v>
      </c>
      <c r="S173" s="59">
        <f ca="1">AVERAGE(OFFSET($R$3,0,0,'Données projet'!$E$9+1,1))-AVERAGE(OFFSET($H$3,0,0,'Données projet'!$E$9+1,1))</f>
        <v>221.7429870520005</v>
      </c>
      <c r="T173" s="59">
        <f t="shared" si="142"/>
        <v>182.2029938397186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-5.1159076974727213E-13</v>
      </c>
      <c r="AJ173" s="13">
        <f>AI173*VLOOKUP('Données projet'!$B$10,Paramètres!$A$1:$I$89,3,0)*VLOOKUP('Données projet'!$B$10,Paramètres!$A$1:$I$89,5,0)</f>
        <v>-4.0702161641092972E-13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260.20517190557814</v>
      </c>
      <c r="AO173" s="59">
        <f t="shared" si="144"/>
        <v>307.22009971147133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0.20393689924864283</v>
      </c>
      <c r="AV173" s="21">
        <f>EXP(-LN(2)/25)*AV172+(1-EXP(-LN(2)/25))/(LN(2)/25)*Calculateur!AQ173*Calculateur!AS173*VLOOKUP('Données projet'!$B$10,Paramètres!$A$1:$I$89,3,0)*0.475*44/12</f>
        <v>0.42305903314510429</v>
      </c>
      <c r="AW173" s="21">
        <f>EXP(-LN(2)/2)*AW172+(1-EXP(-LN(2)/2))/(LN(2)/2)*AQ173*AT173*VLOOKUP('Données projet'!$B$10,Paramètres!$A$1:$I$89,3,0)*0.475*44/12</f>
        <v>2.0361854032260082E-20</v>
      </c>
      <c r="AX173" s="21">
        <f t="shared" si="166"/>
        <v>0.62699593239374707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553.99999999999955</v>
      </c>
      <c r="BE173" s="13">
        <f>BD173*VLOOKUP('Données projet'!$B$11,Paramètres!$A$1:$I$89,3,0)*VLOOKUP('Données projet'!$B$11,Paramètres!$A$1:$I$89,5,0)</f>
        <v>331.29199999999975</v>
      </c>
      <c r="BF173" s="13">
        <f t="shared" si="167"/>
        <v>77.698110787752</v>
      </c>
      <c r="BG173" s="20">
        <f t="shared" si="168"/>
        <v>712.32444295533423</v>
      </c>
      <c r="BH173" s="59">
        <f t="shared" si="116"/>
        <v>1005.6577762886675</v>
      </c>
      <c r="BI173" s="59">
        <f ca="1">AVERAGE(OFFSET($BH$3,0,0,'Données projet'!$E$11+1,1))-AVERAGE(OFFSET($H$3,0,0,'Données projet'!$E$11+1,1))</f>
        <v>316.58509520829671</v>
      </c>
      <c r="BJ173" s="59">
        <f t="shared" si="146"/>
        <v>240.71332110643596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0.15840920713795803</v>
      </c>
      <c r="BQ173" s="21">
        <f>EXP(-LN(2)/25)*BQ172+(1-EXP(-LN(2)/25))/(LN(2)/25)*Calculateur!BL173*Calculateur!BN173*VLOOKUP('Données projet'!$B$11,Paramètres!$A$1:$I$89,3,0)*0.475*44/12</f>
        <v>0.31478359513947929</v>
      </c>
      <c r="BR173" s="21">
        <f>EXP(-LN(2)/2)*BR172+(1-EXP(-LN(2)/2))/(LN(2)/2)*BL173*BO173*VLOOKUP('Données projet'!$B$11,Paramètres!$A$1:$I$89,3,0)*0.475*44/12</f>
        <v>1.8583346421524684E-20</v>
      </c>
      <c r="BS173" s="22">
        <f t="shared" si="169"/>
        <v>0.47319280227743732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497</v>
      </c>
      <c r="BZ173" s="13">
        <f>BY173*VLOOKUP('Données projet'!$B$12,Paramètres!$A$1:$I$89,3,0)*VLOOKUP('Données projet'!$B$12,Paramètres!$A$1:$I$89,5,0)</f>
        <v>297.20600000000002</v>
      </c>
      <c r="CA173" s="13">
        <f t="shared" si="170"/>
        <v>70.590415164571112</v>
      </c>
      <c r="CB173" s="20">
        <f t="shared" si="171"/>
        <v>640.57875641162809</v>
      </c>
      <c r="CC173" s="59">
        <f t="shared" si="119"/>
        <v>933.91208974496135</v>
      </c>
      <c r="CD173" s="59">
        <f ca="1">AVERAGE(OFFSET($CC$3,0,0,'Données projet'!$E$12+1,1))-AVERAGE(OFFSET($H$3,0,0,'Données projet'!$E$12+1,1))</f>
        <v>270.30888762640245</v>
      </c>
      <c r="CE173" s="59">
        <f t="shared" si="148"/>
        <v>202.23783851977691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0.13386693560954183</v>
      </c>
      <c r="CL173" s="21">
        <f>EXP(-LN(2)/25)*CL172+(1-EXP(-LN(2)/25))/(LN(2)/25)*Calculateur!CG173*Calculateur!CI173*VLOOKUP('Données projet'!$B$12,Paramètres!$A$1:$I$89,3,0)*0.475*44/12</f>
        <v>0.25349413199798759</v>
      </c>
      <c r="CM173" s="21">
        <f>EXP(-LN(2)/2)*CM172+(1-EXP(-LN(2)/2))/(LN(2)/2)*CG173*CJ173*VLOOKUP('Données projet'!$B$12,Paramètres!$A$1:$I$89,3,0)*0.475*44/12</f>
        <v>1.5663848753411583E-20</v>
      </c>
      <c r="CN173" s="22">
        <f t="shared" si="172"/>
        <v>0.38736106760752942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-5.1159076974727213E-13</v>
      </c>
      <c r="CU173" s="17">
        <f>CT173*VLOOKUP('Données projet'!$B$13,Paramètres!$A$1:$I$89,3,0)*VLOOKUP('Données projet'!$B$13,Paramètres!$A$1:$I$89,5,0)</f>
        <v>-3.4317508834647017E-13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207.93042467236967</v>
      </c>
      <c r="CZ173" s="59">
        <f t="shared" si="150"/>
        <v>250.70954318710835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0.17194679740571825</v>
      </c>
      <c r="DG173" s="21">
        <f>EXP(-LN(2)/25)*DG172+(1-EXP(-LN(2)/25))/(LN(2)/25)*Calculateur!DB173*Calculateur!DD173*VLOOKUP('Données projet'!$B$13,Paramètres!$A$1:$I$89,3,0)*0.475*44/12</f>
        <v>0.35669683186744144</v>
      </c>
      <c r="DH173" s="21">
        <f>EXP(-LN(2)/2)*DH172+(1-EXP(-LN(2)/2))/(LN(2)/2)*DB173*DE173*VLOOKUP('Données projet'!$B$13,Paramètres!$A$1:$I$89,3,0)*0.475*44/12</f>
        <v>1.7167837713474185E-20</v>
      </c>
      <c r="DI173" s="22">
        <f t="shared" si="175"/>
        <v>0.52864362927315967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5.6843418860808015E-14</v>
      </c>
      <c r="DP173" s="17">
        <f>DO173*VLOOKUP('Données projet'!$B$14,Paramètres!$A$1:$I$89,3,0)*VLOOKUP('Données projet'!$B$14,Paramètres!$A$1:$I$89,5,0)</f>
        <v>3.813056537183002E-14</v>
      </c>
      <c r="DQ173" s="13">
        <f t="shared" si="176"/>
        <v>6.4086286045526829E-13</v>
      </c>
      <c r="DR173" s="20">
        <f t="shared" si="177"/>
        <v>1.1825802166488628E-12</v>
      </c>
      <c r="DS173" s="59">
        <f t="shared" si="125"/>
        <v>293.33333333333451</v>
      </c>
      <c r="DT173" s="59">
        <f ca="1">AVERAGE(OFFSET($DS$3,0,0,'Données projet'!$E$14+1,1))-AVERAGE(OFFSET($H$3,0,0,'Données projet'!$E$14+1,1))</f>
        <v>156.63226020379989</v>
      </c>
      <c r="DU173" s="59">
        <f t="shared" si="152"/>
        <v>196.0481096619543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0.17875127398905002</v>
      </c>
      <c r="EC173" s="21">
        <f>EXP(-LN(2)/2)*EC172+(1-EXP(-LN(2)/2))/(LN(2)/2)*DW173*DZ173*VLOOKUP('Données projet'!$B$14,Paramètres!$A$1:$I$89,3,0)*0.475*44/12</f>
        <v>7.6855287153513409E-21</v>
      </c>
      <c r="ED173" s="22">
        <f t="shared" si="178"/>
        <v>0.17875127398905002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-5.6843418860808015E-13</v>
      </c>
      <c r="EK173" s="17">
        <f>EJ173*VLOOKUP('Données projet'!$B$15,Paramètres!$A$1:$I$89,3,0)*VLOOKUP('Données projet'!$B$15,Paramètres!$A$1:$I$89,5,0)</f>
        <v>-5.763922672485933E-13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190.21499310415584</v>
      </c>
      <c r="EP173" s="59">
        <f t="shared" si="154"/>
        <v>136.15730566500173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7.1054273576010019E-14</v>
      </c>
      <c r="FF173" s="17">
        <f>FE173*VLOOKUP('Données projet'!$B$16,Paramètres!$A$1:$I$89,3,0)*VLOOKUP('Données projet'!$B$16,Paramètres!$A$1:$I$89,5,0)</f>
        <v>8.1854523159563538E-14</v>
      </c>
      <c r="FG173" s="13">
        <f t="shared" si="182"/>
        <v>1.2586836169904262E-12</v>
      </c>
      <c r="FH173" s="20">
        <f t="shared" si="183"/>
        <v>2.3347705940945655E-12</v>
      </c>
      <c r="FI173" s="59">
        <f t="shared" si="131"/>
        <v>293.33333333333564</v>
      </c>
      <c r="FJ173" s="59">
        <f ca="1">AVERAGE(OFFSET($FI$3,0,0,'Données projet'!$E$16+1,1))-AVERAGE(OFFSET($H$3,0,0,'Données projet'!$E$16+1,1))</f>
        <v>14.847345852478327</v>
      </c>
      <c r="FK173" s="59">
        <f t="shared" si="156"/>
        <v>46.764428272166299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3.6591058849020877E-2</v>
      </c>
      <c r="FS173" s="21">
        <f>EXP(-LN(2)/2)*FS172+(1-EXP(-LN(2)/2))/(LN(2)/2)*FM173*FP173*VLOOKUP('Données projet'!$B$16,Paramètres!$A$1:$I$89,3,0)*0.475*44/12</f>
        <v>1.6711921883876992E-21</v>
      </c>
      <c r="FT173" s="22">
        <f t="shared" si="184"/>
        <v>3.6591058849020877E-2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4.1145540308207271E-13</v>
      </c>
      <c r="P174" s="13">
        <f t="shared" si="141"/>
        <v>5.2428527960910789E-12</v>
      </c>
      <c r="Q174" s="20">
        <f t="shared" si="162"/>
        <v>9.8479201135599071E-12</v>
      </c>
      <c r="R174" s="59">
        <f t="shared" si="109"/>
        <v>293.33333333334315</v>
      </c>
      <c r="S174" s="59">
        <f ca="1">AVERAGE(OFFSET($R$3,0,0,'Données projet'!$E$9+1,1))-AVERAGE(OFFSET($H$3,0,0,'Données projet'!$E$9+1,1))</f>
        <v>221.7429870520005</v>
      </c>
      <c r="T174" s="59">
        <f t="shared" si="142"/>
        <v>182.2029938397186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-5.1159076974727213E-13</v>
      </c>
      <c r="AJ174" s="13">
        <f>AI174*VLOOKUP('Données projet'!$B$10,Paramètres!$A$1:$I$89,3,0)*VLOOKUP('Données projet'!$B$10,Paramètres!$A$1:$I$89,5,0)</f>
        <v>-4.0702161641092972E-13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260.20517190557814</v>
      </c>
      <c r="AO174" s="59">
        <f t="shared" si="144"/>
        <v>307.22009971147133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0.19993782104360308</v>
      </c>
      <c r="AV174" s="21">
        <f>EXP(-LN(2)/25)*AV173+(1-EXP(-LN(2)/25))/(LN(2)/25)*Calculateur!AQ174*Calculateur!AS174*VLOOKUP('Données projet'!$B$10,Paramètres!$A$1:$I$89,3,0)*0.475*44/12</f>
        <v>0.4114904616360438</v>
      </c>
      <c r="AW174" s="21">
        <f>EXP(-LN(2)/2)*AW173+(1-EXP(-LN(2)/2))/(LN(2)/2)*AQ174*AT174*VLOOKUP('Données projet'!$B$10,Paramètres!$A$1:$I$89,3,0)*0.475*44/12</f>
        <v>1.439800506374175E-20</v>
      </c>
      <c r="AX174" s="21">
        <f t="shared" si="166"/>
        <v>0.61142828267964688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553.99999999999955</v>
      </c>
      <c r="BE174" s="13">
        <f>BD174*VLOOKUP('Données projet'!$B$11,Paramètres!$A$1:$I$89,3,0)*VLOOKUP('Données projet'!$B$11,Paramètres!$A$1:$I$89,5,0)</f>
        <v>331.29199999999975</v>
      </c>
      <c r="BF174" s="13">
        <f t="shared" si="167"/>
        <v>77.698110787752</v>
      </c>
      <c r="BG174" s="20">
        <f t="shared" si="168"/>
        <v>712.32444295533423</v>
      </c>
      <c r="BH174" s="59">
        <f t="shared" si="116"/>
        <v>1005.6577762886675</v>
      </c>
      <c r="BI174" s="59">
        <f ca="1">AVERAGE(OFFSET($BH$3,0,0,'Données projet'!$E$11+1,1))-AVERAGE(OFFSET($H$3,0,0,'Données projet'!$E$11+1,1))</f>
        <v>316.58509520829671</v>
      </c>
      <c r="BJ174" s="59">
        <f t="shared" si="146"/>
        <v>240.71332110643596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0.15530289920605858</v>
      </c>
      <c r="BQ174" s="21">
        <f>EXP(-LN(2)/25)*BQ173+(1-EXP(-LN(2)/25))/(LN(2)/25)*Calculateur!BL174*Calculateur!BN174*VLOOKUP('Données projet'!$B$11,Paramètres!$A$1:$I$89,3,0)*0.475*44/12</f>
        <v>0.30617582117664038</v>
      </c>
      <c r="BR174" s="21">
        <f>EXP(-LN(2)/2)*BR173+(1-EXP(-LN(2)/2))/(LN(2)/2)*BL174*BO174*VLOOKUP('Données projet'!$B$11,Paramètres!$A$1:$I$89,3,0)*0.475*44/12</f>
        <v>1.3140410271798866E-20</v>
      </c>
      <c r="BS174" s="22">
        <f t="shared" si="169"/>
        <v>0.46147872038269899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497</v>
      </c>
      <c r="BZ174" s="13">
        <f>BY174*VLOOKUP('Données projet'!$B$12,Paramètres!$A$1:$I$89,3,0)*VLOOKUP('Données projet'!$B$12,Paramètres!$A$1:$I$89,5,0)</f>
        <v>297.20600000000002</v>
      </c>
      <c r="CA174" s="13">
        <f t="shared" si="170"/>
        <v>70.590415164571112</v>
      </c>
      <c r="CB174" s="20">
        <f t="shared" si="171"/>
        <v>640.57875641162809</v>
      </c>
      <c r="CC174" s="59">
        <f t="shared" si="119"/>
        <v>933.91208974496135</v>
      </c>
      <c r="CD174" s="59">
        <f ca="1">AVERAGE(OFFSET($CC$3,0,0,'Données projet'!$E$12+1,1))-AVERAGE(OFFSET($H$3,0,0,'Données projet'!$E$12+1,1))</f>
        <v>270.30888762640245</v>
      </c>
      <c r="CE174" s="59">
        <f t="shared" si="148"/>
        <v>202.23783851977691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0.13124188665300709</v>
      </c>
      <c r="CL174" s="21">
        <f>EXP(-LN(2)/25)*CL173+(1-EXP(-LN(2)/25))/(LN(2)/25)*Calculateur!CG174*Calculateur!CI174*VLOOKUP('Données projet'!$B$12,Paramètres!$A$1:$I$89,3,0)*0.475*44/12</f>
        <v>0.2465623216278256</v>
      </c>
      <c r="CM174" s="21">
        <f>EXP(-LN(2)/2)*CM173+(1-EXP(-LN(2)/2))/(LN(2)/2)*CG174*CJ174*VLOOKUP('Données projet'!$B$12,Paramètres!$A$1:$I$89,3,0)*0.475*44/12</f>
        <v>1.107601367301778E-20</v>
      </c>
      <c r="CN174" s="22">
        <f t="shared" si="172"/>
        <v>0.37780420828083272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-5.1159076974727213E-13</v>
      </c>
      <c r="CU174" s="17">
        <f>CT174*VLOOKUP('Données projet'!$B$13,Paramètres!$A$1:$I$89,3,0)*VLOOKUP('Données projet'!$B$13,Paramètres!$A$1:$I$89,5,0)</f>
        <v>-3.4317508834647017E-13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207.93042467236967</v>
      </c>
      <c r="CZ174" s="59">
        <f t="shared" si="150"/>
        <v>250.70954318710835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0.16857502558578277</v>
      </c>
      <c r="DG174" s="21">
        <f>EXP(-LN(2)/25)*DG173+(1-EXP(-LN(2)/25))/(LN(2)/25)*Calculateur!DB174*Calculateur!DD174*VLOOKUP('Données projet'!$B$13,Paramètres!$A$1:$I$89,3,0)*0.475*44/12</f>
        <v>0.34694293824215511</v>
      </c>
      <c r="DH174" s="21">
        <f>EXP(-LN(2)/2)*DH173+(1-EXP(-LN(2)/2))/(LN(2)/2)*DB174*DE174*VLOOKUP('Données projet'!$B$13,Paramètres!$A$1:$I$89,3,0)*0.475*44/12</f>
        <v>1.2139494465507749E-20</v>
      </c>
      <c r="DI174" s="22">
        <f t="shared" si="175"/>
        <v>0.51551796382793791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5.6843418860808015E-14</v>
      </c>
      <c r="DP174" s="17">
        <f>DO174*VLOOKUP('Données projet'!$B$14,Paramètres!$A$1:$I$89,3,0)*VLOOKUP('Données projet'!$B$14,Paramètres!$A$1:$I$89,5,0)</f>
        <v>3.813056537183002E-14</v>
      </c>
      <c r="DQ174" s="13">
        <f t="shared" si="176"/>
        <v>6.4086286045526829E-13</v>
      </c>
      <c r="DR174" s="20">
        <f t="shared" si="177"/>
        <v>1.1825802166488628E-12</v>
      </c>
      <c r="DS174" s="59">
        <f t="shared" si="125"/>
        <v>293.33333333333451</v>
      </c>
      <c r="DT174" s="59">
        <f ca="1">AVERAGE(OFFSET($DS$3,0,0,'Données projet'!$E$14+1,1))-AVERAGE(OFFSET($H$3,0,0,'Données projet'!$E$14+1,1))</f>
        <v>156.63226020379989</v>
      </c>
      <c r="DU174" s="59">
        <f t="shared" si="152"/>
        <v>196.0481096619543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0.1738633110016985</v>
      </c>
      <c r="EC174" s="21">
        <f>EXP(-LN(2)/2)*EC173+(1-EXP(-LN(2)/2))/(LN(2)/2)*DW174*DZ174*VLOOKUP('Données projet'!$B$14,Paramètres!$A$1:$I$89,3,0)*0.475*44/12</f>
        <v>5.4344894716288683E-21</v>
      </c>
      <c r="ED174" s="22">
        <f t="shared" si="178"/>
        <v>0.1738633110016985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-5.6843418860808015E-13</v>
      </c>
      <c r="EK174" s="17">
        <f>EJ174*VLOOKUP('Données projet'!$B$15,Paramètres!$A$1:$I$89,3,0)*VLOOKUP('Données projet'!$B$15,Paramètres!$A$1:$I$89,5,0)</f>
        <v>-5.763922672485933E-13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190.21499310415584</v>
      </c>
      <c r="EP174" s="59">
        <f t="shared" si="154"/>
        <v>136.15730566500173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7.1054273576010019E-14</v>
      </c>
      <c r="FF174" s="17">
        <f>FE174*VLOOKUP('Données projet'!$B$16,Paramètres!$A$1:$I$89,3,0)*VLOOKUP('Données projet'!$B$16,Paramètres!$A$1:$I$89,5,0)</f>
        <v>8.1854523159563538E-14</v>
      </c>
      <c r="FG174" s="13">
        <f t="shared" si="182"/>
        <v>1.2586836169904262E-12</v>
      </c>
      <c r="FH174" s="20">
        <f t="shared" si="183"/>
        <v>2.3347705940945655E-12</v>
      </c>
      <c r="FI174" s="59">
        <f t="shared" si="131"/>
        <v>293.33333333333564</v>
      </c>
      <c r="FJ174" s="59">
        <f ca="1">AVERAGE(OFFSET($FI$3,0,0,'Données projet'!$E$16+1,1))-AVERAGE(OFFSET($H$3,0,0,'Données projet'!$E$16+1,1))</f>
        <v>14.847345852478327</v>
      </c>
      <c r="FK174" s="59">
        <f t="shared" si="156"/>
        <v>46.764428272166299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3.5590474420554248E-2</v>
      </c>
      <c r="FS174" s="21">
        <f>EXP(-LN(2)/2)*FS173+(1-EXP(-LN(2)/2))/(LN(2)/2)*FM174*FP174*VLOOKUP('Données projet'!$B$16,Paramètres!$A$1:$I$89,3,0)*0.475*44/12</f>
        <v>1.1817113290749284E-21</v>
      </c>
      <c r="FT174" s="22">
        <f t="shared" si="184"/>
        <v>3.5590474420554248E-2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4.1145540308207271E-13</v>
      </c>
      <c r="P175" s="13">
        <f t="shared" si="141"/>
        <v>5.2428527960910789E-12</v>
      </c>
      <c r="Q175" s="20">
        <f t="shared" si="162"/>
        <v>9.8479201135599071E-12</v>
      </c>
      <c r="R175" s="59">
        <f t="shared" si="109"/>
        <v>293.33333333334315</v>
      </c>
      <c r="S175" s="59">
        <f ca="1">AVERAGE(OFFSET($R$3,0,0,'Données projet'!$E$9+1,1))-AVERAGE(OFFSET($H$3,0,0,'Données projet'!$E$9+1,1))</f>
        <v>221.7429870520005</v>
      </c>
      <c r="T175" s="59">
        <f t="shared" si="142"/>
        <v>182.2029938397186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-5.1159076974727213E-13</v>
      </c>
      <c r="AJ175" s="13">
        <f>AI175*VLOOKUP('Données projet'!$B$10,Paramètres!$A$1:$I$89,3,0)*VLOOKUP('Données projet'!$B$10,Paramètres!$A$1:$I$89,5,0)</f>
        <v>-4.0702161641092972E-13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260.20517190557814</v>
      </c>
      <c r="AO175" s="59">
        <f t="shared" si="144"/>
        <v>307.22009971147133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0.19601716232296729</v>
      </c>
      <c r="AV175" s="21">
        <f>EXP(-LN(2)/25)*AV174+(1-EXP(-LN(2)/25))/(LN(2)/25)*Calculateur!AQ175*Calculateur!AS175*VLOOKUP('Données projet'!$B$10,Paramètres!$A$1:$I$89,3,0)*0.475*44/12</f>
        <v>0.4002382333232633</v>
      </c>
      <c r="AW175" s="21">
        <f>EXP(-LN(2)/2)*AW174+(1-EXP(-LN(2)/2))/(LN(2)/2)*AQ175*AT175*VLOOKUP('Données projet'!$B$10,Paramètres!$A$1:$I$89,3,0)*0.475*44/12</f>
        <v>1.0180927016130041E-20</v>
      </c>
      <c r="AX175" s="21">
        <f t="shared" si="166"/>
        <v>0.59625539564623065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553.99999999999955</v>
      </c>
      <c r="BE175" s="13">
        <f>BD175*VLOOKUP('Données projet'!$B$11,Paramètres!$A$1:$I$89,3,0)*VLOOKUP('Données projet'!$B$11,Paramètres!$A$1:$I$89,5,0)</f>
        <v>331.29199999999975</v>
      </c>
      <c r="BF175" s="13">
        <f t="shared" si="167"/>
        <v>77.698110787752</v>
      </c>
      <c r="BG175" s="20">
        <f t="shared" si="168"/>
        <v>712.32444295533423</v>
      </c>
      <c r="BH175" s="59">
        <f t="shared" si="116"/>
        <v>1005.6577762886675</v>
      </c>
      <c r="BI175" s="59">
        <f ca="1">AVERAGE(OFFSET($BH$3,0,0,'Données projet'!$E$11+1,1))-AVERAGE(OFFSET($H$3,0,0,'Données projet'!$E$11+1,1))</f>
        <v>316.58509520829671</v>
      </c>
      <c r="BJ175" s="59">
        <f t="shared" si="146"/>
        <v>240.71332110643596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0.15225750407804292</v>
      </c>
      <c r="BQ175" s="21">
        <f>EXP(-LN(2)/25)*BQ174+(1-EXP(-LN(2)/25))/(LN(2)/25)*Calculateur!BL175*Calculateur!BN175*VLOOKUP('Données projet'!$B$11,Paramètres!$A$1:$I$89,3,0)*0.475*44/12</f>
        <v>0.29780342724547848</v>
      </c>
      <c r="BR175" s="21">
        <f>EXP(-LN(2)/2)*BR174+(1-EXP(-LN(2)/2))/(LN(2)/2)*BL175*BO175*VLOOKUP('Données projet'!$B$11,Paramètres!$A$1:$I$89,3,0)*0.475*44/12</f>
        <v>9.2916732107623419E-21</v>
      </c>
      <c r="BS175" s="22">
        <f t="shared" si="169"/>
        <v>0.45006093132352143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497</v>
      </c>
      <c r="BZ175" s="13">
        <f>BY175*VLOOKUP('Données projet'!$B$12,Paramètres!$A$1:$I$89,3,0)*VLOOKUP('Données projet'!$B$12,Paramètres!$A$1:$I$89,5,0)</f>
        <v>297.20600000000002</v>
      </c>
      <c r="CA175" s="13">
        <f t="shared" si="170"/>
        <v>70.590415164571112</v>
      </c>
      <c r="CB175" s="20">
        <f t="shared" si="171"/>
        <v>640.57875641162809</v>
      </c>
      <c r="CC175" s="59">
        <f t="shared" si="119"/>
        <v>933.91208974496135</v>
      </c>
      <c r="CD175" s="59">
        <f ca="1">AVERAGE(OFFSET($CC$3,0,0,'Données projet'!$E$12+1,1))-AVERAGE(OFFSET($H$3,0,0,'Données projet'!$E$12+1,1))</f>
        <v>270.30888762640245</v>
      </c>
      <c r="CE175" s="59">
        <f t="shared" si="148"/>
        <v>202.23783851977691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0.12866831330538825</v>
      </c>
      <c r="CL175" s="21">
        <f>EXP(-LN(2)/25)*CL174+(1-EXP(-LN(2)/25))/(LN(2)/25)*Calculateur!CG175*Calculateur!CI175*VLOOKUP('Données projet'!$B$12,Paramètres!$A$1:$I$89,3,0)*0.475*44/12</f>
        <v>0.23982006197676373</v>
      </c>
      <c r="CM175" s="21">
        <f>EXP(-LN(2)/2)*CM174+(1-EXP(-LN(2)/2))/(LN(2)/2)*CG175*CJ175*VLOOKUP('Données projet'!$B$12,Paramètres!$A$1:$I$89,3,0)*0.475*44/12</f>
        <v>7.8319243767057917E-21</v>
      </c>
      <c r="CN175" s="22">
        <f t="shared" si="172"/>
        <v>0.36848837528215195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-5.1159076974727213E-13</v>
      </c>
      <c r="CU175" s="17">
        <f>CT175*VLOOKUP('Données projet'!$B$13,Paramètres!$A$1:$I$89,3,0)*VLOOKUP('Données projet'!$B$13,Paramètres!$A$1:$I$89,5,0)</f>
        <v>-3.4317508834647017E-13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207.93042467236967</v>
      </c>
      <c r="CZ175" s="59">
        <f t="shared" si="150"/>
        <v>250.70954318710835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0.16526937215465848</v>
      </c>
      <c r="DG175" s="21">
        <f>EXP(-LN(2)/25)*DG174+(1-EXP(-LN(2)/25))/(LN(2)/25)*Calculateur!DB175*Calculateur!DD175*VLOOKUP('Données projet'!$B$13,Paramètres!$A$1:$I$89,3,0)*0.475*44/12</f>
        <v>0.3374557653509872</v>
      </c>
      <c r="DH175" s="21">
        <f>EXP(-LN(2)/2)*DH174+(1-EXP(-LN(2)/2))/(LN(2)/2)*DB175*DE175*VLOOKUP('Données projet'!$B$13,Paramètres!$A$1:$I$89,3,0)*0.475*44/12</f>
        <v>8.5839188567370926E-21</v>
      </c>
      <c r="DI175" s="22">
        <f t="shared" si="175"/>
        <v>0.50272513750564563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5.6843418860808015E-14</v>
      </c>
      <c r="DP175" s="17">
        <f>DO175*VLOOKUP('Données projet'!$B$14,Paramètres!$A$1:$I$89,3,0)*VLOOKUP('Données projet'!$B$14,Paramètres!$A$1:$I$89,5,0)</f>
        <v>3.813056537183002E-14</v>
      </c>
      <c r="DQ175" s="13">
        <f t="shared" si="176"/>
        <v>6.4086286045526829E-13</v>
      </c>
      <c r="DR175" s="20">
        <f t="shared" si="177"/>
        <v>1.1825802166488628E-12</v>
      </c>
      <c r="DS175" s="59">
        <f t="shared" si="125"/>
        <v>293.33333333333451</v>
      </c>
      <c r="DT175" s="59">
        <f ca="1">AVERAGE(OFFSET($DS$3,0,0,'Données projet'!$E$14+1,1))-AVERAGE(OFFSET($H$3,0,0,'Données projet'!$E$14+1,1))</f>
        <v>156.63226020379989</v>
      </c>
      <c r="DU175" s="59">
        <f t="shared" si="152"/>
        <v>196.0481096619543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0.16910900961928291</v>
      </c>
      <c r="EC175" s="21">
        <f>EXP(-LN(2)/2)*EC174+(1-EXP(-LN(2)/2))/(LN(2)/2)*DW175*DZ175*VLOOKUP('Données projet'!$B$14,Paramètres!$A$1:$I$89,3,0)*0.475*44/12</f>
        <v>3.8427643576756704E-21</v>
      </c>
      <c r="ED175" s="22">
        <f t="shared" si="178"/>
        <v>0.16910900961928291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-5.6843418860808015E-13</v>
      </c>
      <c r="EK175" s="17">
        <f>EJ175*VLOOKUP('Données projet'!$B$15,Paramètres!$A$1:$I$89,3,0)*VLOOKUP('Données projet'!$B$15,Paramètres!$A$1:$I$89,5,0)</f>
        <v>-5.763922672485933E-13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190.21499310415584</v>
      </c>
      <c r="EP175" s="59">
        <f t="shared" si="154"/>
        <v>136.15730566500173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7.1054273576010019E-14</v>
      </c>
      <c r="FF175" s="17">
        <f>FE175*VLOOKUP('Données projet'!$B$16,Paramètres!$A$1:$I$89,3,0)*VLOOKUP('Données projet'!$B$16,Paramètres!$A$1:$I$89,5,0)</f>
        <v>8.1854523159563538E-14</v>
      </c>
      <c r="FG175" s="13">
        <f t="shared" si="182"/>
        <v>1.2586836169904262E-12</v>
      </c>
      <c r="FH175" s="20">
        <f t="shared" si="183"/>
        <v>2.3347705940945655E-12</v>
      </c>
      <c r="FI175" s="59">
        <f t="shared" si="131"/>
        <v>293.33333333333564</v>
      </c>
      <c r="FJ175" s="59">
        <f ca="1">AVERAGE(OFFSET($FI$3,0,0,'Données projet'!$E$16+1,1))-AVERAGE(OFFSET($H$3,0,0,'Données projet'!$E$16+1,1))</f>
        <v>14.847345852478327</v>
      </c>
      <c r="FK175" s="59">
        <f t="shared" si="156"/>
        <v>46.764428272166299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3.4617251025902483E-2</v>
      </c>
      <c r="FS175" s="21">
        <f>EXP(-LN(2)/2)*FS174+(1-EXP(-LN(2)/2))/(LN(2)/2)*FM175*FP175*VLOOKUP('Données projet'!$B$16,Paramètres!$A$1:$I$89,3,0)*0.475*44/12</f>
        <v>8.3559609419384971E-22</v>
      </c>
      <c r="FT175" s="22">
        <f t="shared" si="184"/>
        <v>3.4617251025902483E-2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4.1145540308207271E-13</v>
      </c>
      <c r="P176" s="13">
        <f t="shared" si="141"/>
        <v>5.2428527960910789E-12</v>
      </c>
      <c r="Q176" s="20">
        <f t="shared" si="162"/>
        <v>9.8479201135599071E-12</v>
      </c>
      <c r="R176" s="59">
        <f t="shared" si="109"/>
        <v>293.33333333334315</v>
      </c>
      <c r="S176" s="59">
        <f ca="1">AVERAGE(OFFSET($R$3,0,0,'Données projet'!$E$9+1,1))-AVERAGE(OFFSET($H$3,0,0,'Données projet'!$E$9+1,1))</f>
        <v>221.7429870520005</v>
      </c>
      <c r="T176" s="59">
        <f t="shared" si="142"/>
        <v>182.2029938397186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-5.1159076974727213E-13</v>
      </c>
      <c r="AJ176" s="13">
        <f>AI176*VLOOKUP('Données projet'!$B$10,Paramètres!$A$1:$I$89,3,0)*VLOOKUP('Données projet'!$B$10,Paramètres!$A$1:$I$89,5,0)</f>
        <v>-4.0702161641092972E-13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260.20517190557814</v>
      </c>
      <c r="AO176" s="59">
        <f t="shared" si="144"/>
        <v>307.22009971147133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0.19217338532847747</v>
      </c>
      <c r="AV176" s="21">
        <f>EXP(-LN(2)/25)*AV175+(1-EXP(-LN(2)/25))/(LN(2)/25)*Calculateur!AQ176*Calculateur!AS176*VLOOKUP('Données projet'!$B$10,Paramètres!$A$1:$I$89,3,0)*0.475*44/12</f>
        <v>0.38929369778542472</v>
      </c>
      <c r="AW176" s="21">
        <f>EXP(-LN(2)/2)*AW175+(1-EXP(-LN(2)/2))/(LN(2)/2)*AQ176*AT176*VLOOKUP('Données projet'!$B$10,Paramètres!$A$1:$I$89,3,0)*0.475*44/12</f>
        <v>7.1990025318708749E-21</v>
      </c>
      <c r="AX176" s="21">
        <f t="shared" si="166"/>
        <v>0.58146708311390216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553.99999999999955</v>
      </c>
      <c r="BE176" s="13">
        <f>BD176*VLOOKUP('Données projet'!$B$11,Paramètres!$A$1:$I$89,3,0)*VLOOKUP('Données projet'!$B$11,Paramètres!$A$1:$I$89,5,0)</f>
        <v>331.29199999999975</v>
      </c>
      <c r="BF176" s="13">
        <f t="shared" si="167"/>
        <v>77.698110787752</v>
      </c>
      <c r="BG176" s="20">
        <f t="shared" si="168"/>
        <v>712.32444295533423</v>
      </c>
      <c r="BH176" s="59">
        <f t="shared" si="116"/>
        <v>1005.6577762886675</v>
      </c>
      <c r="BI176" s="59">
        <f ca="1">AVERAGE(OFFSET($BH$3,0,0,'Données projet'!$E$11+1,1))-AVERAGE(OFFSET($H$3,0,0,'Données projet'!$E$11+1,1))</f>
        <v>316.58509520829671</v>
      </c>
      <c r="BJ176" s="59">
        <f t="shared" si="146"/>
        <v>240.71332110643596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0.14927182729098004</v>
      </c>
      <c r="BQ176" s="21">
        <f>EXP(-LN(2)/25)*BQ175+(1-EXP(-LN(2)/25))/(LN(2)/25)*Calculateur!BL176*Calculateur!BN176*VLOOKUP('Données projet'!$B$11,Paramètres!$A$1:$I$89,3,0)*0.475*44/12</f>
        <v>0.28965997686664929</v>
      </c>
      <c r="BR176" s="21">
        <f>EXP(-LN(2)/2)*BR175+(1-EXP(-LN(2)/2))/(LN(2)/2)*BL176*BO176*VLOOKUP('Données projet'!$B$11,Paramètres!$A$1:$I$89,3,0)*0.475*44/12</f>
        <v>6.5702051358994329E-21</v>
      </c>
      <c r="BS176" s="22">
        <f t="shared" si="169"/>
        <v>0.43893180415762933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497</v>
      </c>
      <c r="BZ176" s="13">
        <f>BY176*VLOOKUP('Données projet'!$B$12,Paramètres!$A$1:$I$89,3,0)*VLOOKUP('Données projet'!$B$12,Paramètres!$A$1:$I$89,5,0)</f>
        <v>297.20600000000002</v>
      </c>
      <c r="CA176" s="13">
        <f t="shared" si="170"/>
        <v>70.590415164571112</v>
      </c>
      <c r="CB176" s="20">
        <f t="shared" si="171"/>
        <v>640.57875641162809</v>
      </c>
      <c r="CC176" s="59">
        <f t="shared" si="119"/>
        <v>933.91208974496135</v>
      </c>
      <c r="CD176" s="59">
        <f ca="1">AVERAGE(OFFSET($CC$3,0,0,'Données projet'!$E$12+1,1))-AVERAGE(OFFSET($H$3,0,0,'Données projet'!$E$12+1,1))</f>
        <v>270.30888762640245</v>
      </c>
      <c r="CE176" s="59">
        <f t="shared" si="148"/>
        <v>202.23783851977691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0.12614520616139147</v>
      </c>
      <c r="CL176" s="21">
        <f>EXP(-LN(2)/25)*CL175+(1-EXP(-LN(2)/25))/(LN(2)/25)*Calculateur!CG176*Calculateur!CI176*VLOOKUP('Données projet'!$B$12,Paramètres!$A$1:$I$89,3,0)*0.475*44/12</f>
        <v>0.23326216977042019</v>
      </c>
      <c r="CM176" s="21">
        <f>EXP(-LN(2)/2)*CM175+(1-EXP(-LN(2)/2))/(LN(2)/2)*CG176*CJ176*VLOOKUP('Données projet'!$B$12,Paramètres!$A$1:$I$89,3,0)*0.475*44/12</f>
        <v>5.5380068365088899E-21</v>
      </c>
      <c r="CN176" s="22">
        <f t="shared" si="172"/>
        <v>0.35940737593181166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-5.1159076974727213E-13</v>
      </c>
      <c r="CU176" s="17">
        <f>CT176*VLOOKUP('Données projet'!$B$13,Paramètres!$A$1:$I$89,3,0)*VLOOKUP('Données projet'!$B$13,Paramètres!$A$1:$I$89,5,0)</f>
        <v>-3.4317508834647017E-13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207.93042467236967</v>
      </c>
      <c r="CZ176" s="59">
        <f t="shared" si="150"/>
        <v>250.70954318710835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0.16202854057106902</v>
      </c>
      <c r="DG176" s="21">
        <f>EXP(-LN(2)/25)*DG175+(1-EXP(-LN(2)/25))/(LN(2)/25)*Calculateur!DB176*Calculateur!DD176*VLOOKUP('Données projet'!$B$13,Paramètres!$A$1:$I$89,3,0)*0.475*44/12</f>
        <v>0.328228019701437</v>
      </c>
      <c r="DH176" s="21">
        <f>EXP(-LN(2)/2)*DH175+(1-EXP(-LN(2)/2))/(LN(2)/2)*DB176*DE176*VLOOKUP('Données projet'!$B$13,Paramètres!$A$1:$I$89,3,0)*0.475*44/12</f>
        <v>6.0697472327538746E-21</v>
      </c>
      <c r="DI176" s="22">
        <f t="shared" si="175"/>
        <v>0.49025656027250603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5.6843418860808015E-14</v>
      </c>
      <c r="DP176" s="17">
        <f>DO176*VLOOKUP('Données projet'!$B$14,Paramètres!$A$1:$I$89,3,0)*VLOOKUP('Données projet'!$B$14,Paramètres!$A$1:$I$89,5,0)</f>
        <v>3.813056537183002E-14</v>
      </c>
      <c r="DQ176" s="13">
        <f t="shared" si="176"/>
        <v>6.4086286045526829E-13</v>
      </c>
      <c r="DR176" s="20">
        <f t="shared" si="177"/>
        <v>1.1825802166488628E-12</v>
      </c>
      <c r="DS176" s="59">
        <f t="shared" si="125"/>
        <v>293.33333333333451</v>
      </c>
      <c r="DT176" s="59">
        <f ca="1">AVERAGE(OFFSET($DS$3,0,0,'Données projet'!$E$14+1,1))-AVERAGE(OFFSET($H$3,0,0,'Données projet'!$E$14+1,1))</f>
        <v>156.63226020379989</v>
      </c>
      <c r="DU176" s="59">
        <f t="shared" si="152"/>
        <v>196.0481096619543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0.1644847148581873</v>
      </c>
      <c r="EC176" s="21">
        <f>EXP(-LN(2)/2)*EC175+(1-EXP(-LN(2)/2))/(LN(2)/2)*DW176*DZ176*VLOOKUP('Données projet'!$B$14,Paramètres!$A$1:$I$89,3,0)*0.475*44/12</f>
        <v>2.7172447358144341E-21</v>
      </c>
      <c r="ED176" s="22">
        <f t="shared" si="178"/>
        <v>0.1644847148581873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-5.6843418860808015E-13</v>
      </c>
      <c r="EK176" s="17">
        <f>EJ176*VLOOKUP('Données projet'!$B$15,Paramètres!$A$1:$I$89,3,0)*VLOOKUP('Données projet'!$B$15,Paramètres!$A$1:$I$89,5,0)</f>
        <v>-5.763922672485933E-13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190.21499310415584</v>
      </c>
      <c r="EP176" s="59">
        <f t="shared" si="154"/>
        <v>136.15730566500173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7.1054273576010019E-14</v>
      </c>
      <c r="FF176" s="17">
        <f>FE176*VLOOKUP('Données projet'!$B$16,Paramètres!$A$1:$I$89,3,0)*VLOOKUP('Données projet'!$B$16,Paramètres!$A$1:$I$89,5,0)</f>
        <v>8.1854523159563538E-14</v>
      </c>
      <c r="FG176" s="13">
        <f t="shared" si="182"/>
        <v>1.2586836169904262E-12</v>
      </c>
      <c r="FH176" s="20">
        <f t="shared" si="183"/>
        <v>2.3347705940945655E-12</v>
      </c>
      <c r="FI176" s="59">
        <f t="shared" si="131"/>
        <v>293.33333333333564</v>
      </c>
      <c r="FJ176" s="59">
        <f ca="1">AVERAGE(OFFSET($FI$3,0,0,'Données projet'!$E$16+1,1))-AVERAGE(OFFSET($H$3,0,0,'Données projet'!$E$16+1,1))</f>
        <v>14.847345852478327</v>
      </c>
      <c r="FK176" s="59">
        <f t="shared" si="156"/>
        <v>46.764428272166299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3.3670640476157067E-2</v>
      </c>
      <c r="FS176" s="21">
        <f>EXP(-LN(2)/2)*FS175+(1-EXP(-LN(2)/2))/(LN(2)/2)*FM176*FP176*VLOOKUP('Données projet'!$B$16,Paramètres!$A$1:$I$89,3,0)*0.475*44/12</f>
        <v>5.9085566453746429E-22</v>
      </c>
      <c r="FT176" s="22">
        <f t="shared" si="184"/>
        <v>3.3670640476157067E-2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4.1145540308207271E-13</v>
      </c>
      <c r="P177" s="13">
        <f t="shared" si="141"/>
        <v>5.2428527960910789E-12</v>
      </c>
      <c r="Q177" s="20">
        <f t="shared" si="162"/>
        <v>9.8479201135599071E-12</v>
      </c>
      <c r="R177" s="59">
        <f t="shared" si="109"/>
        <v>293.33333333334315</v>
      </c>
      <c r="S177" s="59">
        <f ca="1">AVERAGE(OFFSET($R$3,0,0,'Données projet'!$E$9+1,1))-AVERAGE(OFFSET($H$3,0,0,'Données projet'!$E$9+1,1))</f>
        <v>221.7429870520005</v>
      </c>
      <c r="T177" s="59">
        <f t="shared" si="142"/>
        <v>182.2029938397186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-5.1159076974727213E-13</v>
      </c>
      <c r="AJ177" s="13">
        <f>AI177*VLOOKUP('Données projet'!$B$10,Paramètres!$A$1:$I$89,3,0)*VLOOKUP('Données projet'!$B$10,Paramètres!$A$1:$I$89,5,0)</f>
        <v>-4.0702161641092972E-13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260.20517190557814</v>
      </c>
      <c r="AO177" s="59">
        <f t="shared" si="144"/>
        <v>307.22009971147133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0.18840498245637713</v>
      </c>
      <c r="AV177" s="21">
        <f>EXP(-LN(2)/25)*AV176+(1-EXP(-LN(2)/25))/(LN(2)/25)*Calculateur!AQ177*Calculateur!AS177*VLOOKUP('Données projet'!$B$10,Paramètres!$A$1:$I$89,3,0)*0.475*44/12</f>
        <v>0.37864844114741647</v>
      </c>
      <c r="AW177" s="21">
        <f>EXP(-LN(2)/2)*AW176+(1-EXP(-LN(2)/2))/(LN(2)/2)*AQ177*AT177*VLOOKUP('Données projet'!$B$10,Paramètres!$A$1:$I$89,3,0)*0.475*44/12</f>
        <v>5.0904635080650204E-21</v>
      </c>
      <c r="AX177" s="21">
        <f t="shared" si="166"/>
        <v>0.56705342360379363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553.99999999999955</v>
      </c>
      <c r="BE177" s="13">
        <f>BD177*VLOOKUP('Données projet'!$B$11,Paramètres!$A$1:$I$89,3,0)*VLOOKUP('Données projet'!$B$11,Paramètres!$A$1:$I$89,5,0)</f>
        <v>331.29199999999975</v>
      </c>
      <c r="BF177" s="13">
        <f t="shared" si="167"/>
        <v>77.698110787752</v>
      </c>
      <c r="BG177" s="20">
        <f t="shared" si="168"/>
        <v>712.32444295533423</v>
      </c>
      <c r="BH177" s="59">
        <f t="shared" si="116"/>
        <v>1005.6577762886675</v>
      </c>
      <c r="BI177" s="59">
        <f ca="1">AVERAGE(OFFSET($BH$3,0,0,'Données projet'!$E$11+1,1))-AVERAGE(OFFSET($H$3,0,0,'Données projet'!$E$11+1,1))</f>
        <v>316.58509520829671</v>
      </c>
      <c r="BJ177" s="59">
        <f t="shared" si="146"/>
        <v>240.71332110643596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0.14634469780462844</v>
      </c>
      <c r="BQ177" s="21">
        <f>EXP(-LN(2)/25)*BQ176+(1-EXP(-LN(2)/25))/(LN(2)/25)*Calculateur!BL177*Calculateur!BN177*VLOOKUP('Données projet'!$B$11,Paramètres!$A$1:$I$89,3,0)*0.475*44/12</f>
        <v>0.28173920956667459</v>
      </c>
      <c r="BR177" s="21">
        <f>EXP(-LN(2)/2)*BR176+(1-EXP(-LN(2)/2))/(LN(2)/2)*BL177*BO177*VLOOKUP('Données projet'!$B$11,Paramètres!$A$1:$I$89,3,0)*0.475*44/12</f>
        <v>4.645836605381171E-21</v>
      </c>
      <c r="BS177" s="22">
        <f t="shared" si="169"/>
        <v>0.42808390737130303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497</v>
      </c>
      <c r="BZ177" s="13">
        <f>BY177*VLOOKUP('Données projet'!$B$12,Paramètres!$A$1:$I$89,3,0)*VLOOKUP('Données projet'!$B$12,Paramètres!$A$1:$I$89,5,0)</f>
        <v>297.20600000000002</v>
      </c>
      <c r="CA177" s="13">
        <f t="shared" si="170"/>
        <v>70.590415164571112</v>
      </c>
      <c r="CB177" s="20">
        <f t="shared" si="171"/>
        <v>640.57875641162809</v>
      </c>
      <c r="CC177" s="59">
        <f t="shared" si="119"/>
        <v>933.91208974496135</v>
      </c>
      <c r="CD177" s="59">
        <f ca="1">AVERAGE(OFFSET($CC$3,0,0,'Données projet'!$E$12+1,1))-AVERAGE(OFFSET($H$3,0,0,'Données projet'!$E$12+1,1))</f>
        <v>270.30888762640245</v>
      </c>
      <c r="CE177" s="59">
        <f t="shared" si="148"/>
        <v>202.23783851977691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0.12367157560954505</v>
      </c>
      <c r="CL177" s="21">
        <f>EXP(-LN(2)/25)*CL176+(1-EXP(-LN(2)/25))/(LN(2)/25)*Calculateur!CG177*Calculateur!CI177*VLOOKUP('Données projet'!$B$12,Paramètres!$A$1:$I$89,3,0)*0.475*44/12</f>
        <v>0.22688360347132366</v>
      </c>
      <c r="CM177" s="21">
        <f>EXP(-LN(2)/2)*CM176+(1-EXP(-LN(2)/2))/(LN(2)/2)*CG177*CJ177*VLOOKUP('Données projet'!$B$12,Paramètres!$A$1:$I$89,3,0)*0.475*44/12</f>
        <v>3.9159621883528959E-21</v>
      </c>
      <c r="CN177" s="22">
        <f t="shared" si="172"/>
        <v>0.3505551790808687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-5.1159076974727213E-13</v>
      </c>
      <c r="CU177" s="17">
        <f>CT177*VLOOKUP('Données projet'!$B$13,Paramètres!$A$1:$I$89,3,0)*VLOOKUP('Données projet'!$B$13,Paramètres!$A$1:$I$89,5,0)</f>
        <v>-3.4317508834647017E-13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207.93042467236967</v>
      </c>
      <c r="CZ177" s="59">
        <f t="shared" si="150"/>
        <v>250.70954318710835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0.1588512597181217</v>
      </c>
      <c r="DG177" s="21">
        <f>EXP(-LN(2)/25)*DG176+(1-EXP(-LN(2)/25))/(LN(2)/25)*Calculateur!DB177*Calculateur!DD177*VLOOKUP('Données projet'!$B$13,Paramètres!$A$1:$I$89,3,0)*0.475*44/12</f>
        <v>0.31925260724193982</v>
      </c>
      <c r="DH177" s="21">
        <f>EXP(-LN(2)/2)*DH176+(1-EXP(-LN(2)/2))/(LN(2)/2)*DB177*DE177*VLOOKUP('Données projet'!$B$13,Paramètres!$A$1:$I$89,3,0)*0.475*44/12</f>
        <v>4.2919594283685463E-21</v>
      </c>
      <c r="DI177" s="22">
        <f t="shared" si="175"/>
        <v>0.47810386696006152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5.6843418860808015E-14</v>
      </c>
      <c r="DP177" s="17">
        <f>DO177*VLOOKUP('Données projet'!$B$14,Paramètres!$A$1:$I$89,3,0)*VLOOKUP('Données projet'!$B$14,Paramètres!$A$1:$I$89,5,0)</f>
        <v>3.813056537183002E-14</v>
      </c>
      <c r="DQ177" s="13">
        <f t="shared" si="176"/>
        <v>6.4086286045526829E-13</v>
      </c>
      <c r="DR177" s="20">
        <f t="shared" si="177"/>
        <v>1.1825802166488628E-12</v>
      </c>
      <c r="DS177" s="59">
        <f t="shared" si="125"/>
        <v>293.33333333333451</v>
      </c>
      <c r="DT177" s="59">
        <f ca="1">AVERAGE(OFFSET($DS$3,0,0,'Données projet'!$E$14+1,1))-AVERAGE(OFFSET($H$3,0,0,'Données projet'!$E$14+1,1))</f>
        <v>156.63226020379989</v>
      </c>
      <c r="DU177" s="59">
        <f t="shared" si="152"/>
        <v>196.0481096619543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0.15998687168051495</v>
      </c>
      <c r="EC177" s="21">
        <f>EXP(-LN(2)/2)*EC176+(1-EXP(-LN(2)/2))/(LN(2)/2)*DW177*DZ177*VLOOKUP('Données projet'!$B$14,Paramètres!$A$1:$I$89,3,0)*0.475*44/12</f>
        <v>1.9213821788378352E-21</v>
      </c>
      <c r="ED177" s="22">
        <f t="shared" si="178"/>
        <v>0.15998687168051495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-5.6843418860808015E-13</v>
      </c>
      <c r="EK177" s="17">
        <f>EJ177*VLOOKUP('Données projet'!$B$15,Paramètres!$A$1:$I$89,3,0)*VLOOKUP('Données projet'!$B$15,Paramètres!$A$1:$I$89,5,0)</f>
        <v>-5.763922672485933E-13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190.21499310415584</v>
      </c>
      <c r="EP177" s="59">
        <f t="shared" si="154"/>
        <v>136.15730566500173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7.1054273576010019E-14</v>
      </c>
      <c r="FF177" s="17">
        <f>FE177*VLOOKUP('Données projet'!$B$16,Paramètres!$A$1:$I$89,3,0)*VLOOKUP('Données projet'!$B$16,Paramètres!$A$1:$I$89,5,0)</f>
        <v>8.1854523159563538E-14</v>
      </c>
      <c r="FG177" s="13">
        <f t="shared" si="182"/>
        <v>1.2586836169904262E-12</v>
      </c>
      <c r="FH177" s="20">
        <f t="shared" si="183"/>
        <v>2.3347705940945655E-12</v>
      </c>
      <c r="FI177" s="59">
        <f t="shared" si="131"/>
        <v>293.33333333333564</v>
      </c>
      <c r="FJ177" s="59">
        <f ca="1">AVERAGE(OFFSET($FI$3,0,0,'Données projet'!$E$16+1,1))-AVERAGE(OFFSET($H$3,0,0,'Données projet'!$E$16+1,1))</f>
        <v>14.847345852478327</v>
      </c>
      <c r="FK177" s="59">
        <f t="shared" si="156"/>
        <v>46.764428272166299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3.2749915041674522E-2</v>
      </c>
      <c r="FS177" s="21">
        <f>EXP(-LN(2)/2)*FS176+(1-EXP(-LN(2)/2))/(LN(2)/2)*FM177*FP177*VLOOKUP('Données projet'!$B$16,Paramètres!$A$1:$I$89,3,0)*0.475*44/12</f>
        <v>4.177980470969249E-22</v>
      </c>
      <c r="FT177" s="22">
        <f t="shared" si="184"/>
        <v>3.2749915041674522E-2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4.1145540308207271E-13</v>
      </c>
      <c r="P178" s="13">
        <f t="shared" si="141"/>
        <v>5.2428527960910789E-12</v>
      </c>
      <c r="Q178" s="20">
        <f t="shared" si="162"/>
        <v>9.8479201135599071E-12</v>
      </c>
      <c r="R178" s="59">
        <f t="shared" si="109"/>
        <v>293.33333333334315</v>
      </c>
      <c r="S178" s="59">
        <f ca="1">AVERAGE(OFFSET($R$3,0,0,'Données projet'!$E$9+1,1))-AVERAGE(OFFSET($H$3,0,0,'Données projet'!$E$9+1,1))</f>
        <v>221.7429870520005</v>
      </c>
      <c r="T178" s="59">
        <f t="shared" si="142"/>
        <v>182.2029938397186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-5.1159076974727213E-13</v>
      </c>
      <c r="AJ178" s="13">
        <f>AI178*VLOOKUP('Données projet'!$B$10,Paramètres!$A$1:$I$89,3,0)*VLOOKUP('Données projet'!$B$10,Paramètres!$A$1:$I$89,5,0)</f>
        <v>-4.0702161641092972E-13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260.20517190557814</v>
      </c>
      <c r="AO178" s="59">
        <f t="shared" si="144"/>
        <v>307.22009971147133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0.18471047566609988</v>
      </c>
      <c r="AV178" s="21">
        <f>EXP(-LN(2)/25)*AV177+(1-EXP(-LN(2)/25))/(LN(2)/25)*Calculateur!AQ178*Calculateur!AS178*VLOOKUP('Données projet'!$B$10,Paramètres!$A$1:$I$89,3,0)*0.475*44/12</f>
        <v>0.36829427961198424</v>
      </c>
      <c r="AW178" s="21">
        <f>EXP(-LN(2)/2)*AW177+(1-EXP(-LN(2)/2))/(LN(2)/2)*AQ178*AT178*VLOOKUP('Données projet'!$B$10,Paramètres!$A$1:$I$89,3,0)*0.475*44/12</f>
        <v>3.5995012659354375E-21</v>
      </c>
      <c r="AX178" s="21">
        <f t="shared" si="166"/>
        <v>0.55300475527808413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553.99999999999955</v>
      </c>
      <c r="BE178" s="13">
        <f>BD178*VLOOKUP('Données projet'!$B$11,Paramètres!$A$1:$I$89,3,0)*VLOOKUP('Données projet'!$B$11,Paramètres!$A$1:$I$89,5,0)</f>
        <v>331.29199999999975</v>
      </c>
      <c r="BF178" s="13">
        <f t="shared" si="167"/>
        <v>77.698110787752</v>
      </c>
      <c r="BG178" s="20">
        <f t="shared" si="168"/>
        <v>712.32444295533423</v>
      </c>
      <c r="BH178" s="59">
        <f t="shared" si="116"/>
        <v>1005.6577762886675</v>
      </c>
      <c r="BI178" s="59">
        <f ca="1">AVERAGE(OFFSET($BH$3,0,0,'Données projet'!$E$11+1,1))-AVERAGE(OFFSET($H$3,0,0,'Données projet'!$E$11+1,1))</f>
        <v>316.58509520829671</v>
      </c>
      <c r="BJ178" s="59">
        <f t="shared" si="146"/>
        <v>240.71332110643596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0.14347496754213152</v>
      </c>
      <c r="BQ178" s="21">
        <f>EXP(-LN(2)/25)*BQ177+(1-EXP(-LN(2)/25))/(LN(2)/25)*Calculateur!BL178*Calculateur!BN178*VLOOKUP('Données projet'!$B$11,Paramètres!$A$1:$I$89,3,0)*0.475*44/12</f>
        <v>0.27403503606505275</v>
      </c>
      <c r="BR178" s="21">
        <f>EXP(-LN(2)/2)*BR177+(1-EXP(-LN(2)/2))/(LN(2)/2)*BL178*BO178*VLOOKUP('Données projet'!$B$11,Paramètres!$A$1:$I$89,3,0)*0.475*44/12</f>
        <v>3.2851025679497164E-21</v>
      </c>
      <c r="BS178" s="22">
        <f t="shared" si="169"/>
        <v>0.41751000360718427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497</v>
      </c>
      <c r="BZ178" s="13">
        <f>BY178*VLOOKUP('Données projet'!$B$12,Paramètres!$A$1:$I$89,3,0)*VLOOKUP('Données projet'!$B$12,Paramètres!$A$1:$I$89,5,0)</f>
        <v>297.20600000000002</v>
      </c>
      <c r="CA178" s="13">
        <f t="shared" si="170"/>
        <v>70.590415164571112</v>
      </c>
      <c r="CB178" s="20">
        <f t="shared" si="171"/>
        <v>640.57875641162809</v>
      </c>
      <c r="CC178" s="59">
        <f t="shared" si="119"/>
        <v>933.91208974496135</v>
      </c>
      <c r="CD178" s="59">
        <f ca="1">AVERAGE(OFFSET($CC$3,0,0,'Données projet'!$E$12+1,1))-AVERAGE(OFFSET($H$3,0,0,'Données projet'!$E$12+1,1))</f>
        <v>270.30888762640245</v>
      </c>
      <c r="CE178" s="59">
        <f t="shared" si="148"/>
        <v>202.23783851977691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0.12124645144405467</v>
      </c>
      <c r="CL178" s="21">
        <f>EXP(-LN(2)/25)*CL177+(1-EXP(-LN(2)/25))/(LN(2)/25)*Calculateur!CG178*Calculateur!CI178*VLOOKUP('Données projet'!$B$12,Paramètres!$A$1:$I$89,3,0)*0.475*44/12</f>
        <v>0.22067945940311015</v>
      </c>
      <c r="CM178" s="21">
        <f>EXP(-LN(2)/2)*CM177+(1-EXP(-LN(2)/2))/(LN(2)/2)*CG178*CJ178*VLOOKUP('Données projet'!$B$12,Paramètres!$A$1:$I$89,3,0)*0.475*44/12</f>
        <v>2.769003418254445E-21</v>
      </c>
      <c r="CN178" s="22">
        <f t="shared" si="172"/>
        <v>0.34192591084716484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-5.1159076974727213E-13</v>
      </c>
      <c r="CU178" s="17">
        <f>CT178*VLOOKUP('Données projet'!$B$13,Paramètres!$A$1:$I$89,3,0)*VLOOKUP('Données projet'!$B$13,Paramètres!$A$1:$I$89,5,0)</f>
        <v>-3.4317508834647017E-13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207.93042467236967</v>
      </c>
      <c r="CZ178" s="59">
        <f t="shared" si="150"/>
        <v>250.70954318710835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0.15573628340475068</v>
      </c>
      <c r="DG178" s="21">
        <f>EXP(-LN(2)/25)*DG177+(1-EXP(-LN(2)/25))/(LN(2)/25)*Calculateur!DB178*Calculateur!DD178*VLOOKUP('Données projet'!$B$13,Paramètres!$A$1:$I$89,3,0)*0.475*44/12</f>
        <v>0.310522627908144</v>
      </c>
      <c r="DH178" s="21">
        <f>EXP(-LN(2)/2)*DH177+(1-EXP(-LN(2)/2))/(LN(2)/2)*DB178*DE178*VLOOKUP('Données projet'!$B$13,Paramètres!$A$1:$I$89,3,0)*0.475*44/12</f>
        <v>3.0348736163769373E-21</v>
      </c>
      <c r="DI178" s="22">
        <f t="shared" si="175"/>
        <v>0.46625891131289465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5.6843418860808015E-14</v>
      </c>
      <c r="DP178" s="17">
        <f>DO178*VLOOKUP('Données projet'!$B$14,Paramètres!$A$1:$I$89,3,0)*VLOOKUP('Données projet'!$B$14,Paramètres!$A$1:$I$89,5,0)</f>
        <v>3.813056537183002E-14</v>
      </c>
      <c r="DQ178" s="13">
        <f t="shared" si="176"/>
        <v>6.4086286045526829E-13</v>
      </c>
      <c r="DR178" s="20">
        <f t="shared" si="177"/>
        <v>1.1825802166488628E-12</v>
      </c>
      <c r="DS178" s="59">
        <f t="shared" si="125"/>
        <v>293.33333333333451</v>
      </c>
      <c r="DT178" s="59">
        <f ca="1">AVERAGE(OFFSET($DS$3,0,0,'Données projet'!$E$14+1,1))-AVERAGE(OFFSET($H$3,0,0,'Données projet'!$E$14+1,1))</f>
        <v>156.63226020379989</v>
      </c>
      <c r="DU178" s="59">
        <f t="shared" si="152"/>
        <v>196.0481096619543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0.15561202226106735</v>
      </c>
      <c r="EC178" s="21">
        <f>EXP(-LN(2)/2)*EC177+(1-EXP(-LN(2)/2))/(LN(2)/2)*DW178*DZ178*VLOOKUP('Données projet'!$B$14,Paramètres!$A$1:$I$89,3,0)*0.475*44/12</f>
        <v>1.3586223679072171E-21</v>
      </c>
      <c r="ED178" s="22">
        <f t="shared" si="178"/>
        <v>0.15561202226106735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-5.6843418860808015E-13</v>
      </c>
      <c r="EK178" s="17">
        <f>EJ178*VLOOKUP('Données projet'!$B$15,Paramètres!$A$1:$I$89,3,0)*VLOOKUP('Données projet'!$B$15,Paramètres!$A$1:$I$89,5,0)</f>
        <v>-5.763922672485933E-13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190.21499310415584</v>
      </c>
      <c r="EP178" s="59">
        <f t="shared" si="154"/>
        <v>136.15730566500173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7.1054273576010019E-14</v>
      </c>
      <c r="FF178" s="17">
        <f>FE178*VLOOKUP('Données projet'!$B$16,Paramètres!$A$1:$I$89,3,0)*VLOOKUP('Données projet'!$B$16,Paramètres!$A$1:$I$89,5,0)</f>
        <v>8.1854523159563538E-14</v>
      </c>
      <c r="FG178" s="13">
        <f t="shared" si="182"/>
        <v>1.2586836169904262E-12</v>
      </c>
      <c r="FH178" s="20">
        <f t="shared" si="183"/>
        <v>2.3347705940945655E-12</v>
      </c>
      <c r="FI178" s="59">
        <f t="shared" si="131"/>
        <v>293.33333333333564</v>
      </c>
      <c r="FJ178" s="59">
        <f ca="1">AVERAGE(OFFSET($FI$3,0,0,'Données projet'!$E$16+1,1))-AVERAGE(OFFSET($H$3,0,0,'Données projet'!$E$16+1,1))</f>
        <v>14.847345852478327</v>
      </c>
      <c r="FK178" s="59">
        <f t="shared" si="156"/>
        <v>46.764428272166299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3.1854366892616753E-2</v>
      </c>
      <c r="FS178" s="21">
        <f>EXP(-LN(2)/2)*FS177+(1-EXP(-LN(2)/2))/(LN(2)/2)*FM178*FP178*VLOOKUP('Données projet'!$B$16,Paramètres!$A$1:$I$89,3,0)*0.475*44/12</f>
        <v>2.9542783226873219E-22</v>
      </c>
      <c r="FT178" s="22">
        <f t="shared" si="184"/>
        <v>3.1854366892616753E-2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4.1145540308207271E-13</v>
      </c>
      <c r="P179" s="13">
        <f t="shared" si="141"/>
        <v>5.2428527960910789E-12</v>
      </c>
      <c r="Q179" s="20">
        <f t="shared" si="162"/>
        <v>9.8479201135599071E-12</v>
      </c>
      <c r="R179" s="59">
        <f t="shared" si="109"/>
        <v>293.33333333334315</v>
      </c>
      <c r="S179" s="59">
        <f ca="1">AVERAGE(OFFSET($R$3,0,0,'Données projet'!$E$9+1,1))-AVERAGE(OFFSET($H$3,0,0,'Données projet'!$E$9+1,1))</f>
        <v>221.7429870520005</v>
      </c>
      <c r="T179" s="59">
        <f t="shared" si="142"/>
        <v>182.2029938397186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-5.1159076974727213E-13</v>
      </c>
      <c r="AJ179" s="13">
        <f>AI179*VLOOKUP('Données projet'!$B$10,Paramètres!$A$1:$I$89,3,0)*VLOOKUP('Données projet'!$B$10,Paramètres!$A$1:$I$89,5,0)</f>
        <v>-4.0702161641092972E-13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260.20517190557814</v>
      </c>
      <c r="AO179" s="59">
        <f t="shared" si="144"/>
        <v>307.22009971147133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0.18108841590055336</v>
      </c>
      <c r="AV179" s="21">
        <f>EXP(-LN(2)/25)*AV178+(1-EXP(-LN(2)/25))/(LN(2)/25)*Calculateur!AQ179*Calculateur!AS179*VLOOKUP('Données projet'!$B$10,Paramètres!$A$1:$I$89,3,0)*0.475*44/12</f>
        <v>0.35822325316824011</v>
      </c>
      <c r="AW179" s="21">
        <f>EXP(-LN(2)/2)*AW178+(1-EXP(-LN(2)/2))/(LN(2)/2)*AQ179*AT179*VLOOKUP('Données projet'!$B$10,Paramètres!$A$1:$I$89,3,0)*0.475*44/12</f>
        <v>2.5452317540325102E-21</v>
      </c>
      <c r="AX179" s="21">
        <f t="shared" si="166"/>
        <v>0.53931166906879346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553.99999999999955</v>
      </c>
      <c r="BE179" s="13">
        <f>BD179*VLOOKUP('Données projet'!$B$11,Paramètres!$A$1:$I$89,3,0)*VLOOKUP('Données projet'!$B$11,Paramètres!$A$1:$I$89,5,0)</f>
        <v>331.29199999999975</v>
      </c>
      <c r="BF179" s="13">
        <f t="shared" si="167"/>
        <v>77.698110787752</v>
      </c>
      <c r="BG179" s="20">
        <f t="shared" si="168"/>
        <v>712.32444295533423</v>
      </c>
      <c r="BH179" s="59">
        <f t="shared" si="116"/>
        <v>1005.6577762886675</v>
      </c>
      <c r="BI179" s="59">
        <f ca="1">AVERAGE(OFFSET($BH$3,0,0,'Données projet'!$E$11+1,1))-AVERAGE(OFFSET($H$3,0,0,'Données projet'!$E$11+1,1))</f>
        <v>316.58509520829671</v>
      </c>
      <c r="BJ179" s="59">
        <f t="shared" si="146"/>
        <v>240.71332110643596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0.14066151093971951</v>
      </c>
      <c r="BQ179" s="21">
        <f>EXP(-LN(2)/25)*BQ178+(1-EXP(-LN(2)/25))/(LN(2)/25)*Calculateur!BL179*Calculateur!BN179*VLOOKUP('Données projet'!$B$11,Paramètres!$A$1:$I$89,3,0)*0.475*44/12</f>
        <v>0.26654153359297766</v>
      </c>
      <c r="BR179" s="21">
        <f>EXP(-LN(2)/2)*BR178+(1-EXP(-LN(2)/2))/(LN(2)/2)*BL179*BO179*VLOOKUP('Données projet'!$B$11,Paramètres!$A$1:$I$89,3,0)*0.475*44/12</f>
        <v>2.3229183026905855E-21</v>
      </c>
      <c r="BS179" s="22">
        <f t="shared" si="169"/>
        <v>0.40720304453269718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497</v>
      </c>
      <c r="BZ179" s="13">
        <f>BY179*VLOOKUP('Données projet'!$B$12,Paramètres!$A$1:$I$89,3,0)*VLOOKUP('Données projet'!$B$12,Paramètres!$A$1:$I$89,5,0)</f>
        <v>297.20600000000002</v>
      </c>
      <c r="CA179" s="13">
        <f t="shared" si="170"/>
        <v>70.590415164571112</v>
      </c>
      <c r="CB179" s="20">
        <f t="shared" si="171"/>
        <v>640.57875641162809</v>
      </c>
      <c r="CC179" s="59">
        <f t="shared" si="119"/>
        <v>933.91208974496135</v>
      </c>
      <c r="CD179" s="59">
        <f ca="1">AVERAGE(OFFSET($CC$3,0,0,'Données projet'!$E$12+1,1))-AVERAGE(OFFSET($H$3,0,0,'Données projet'!$E$12+1,1))</f>
        <v>270.30888762640245</v>
      </c>
      <c r="CE179" s="59">
        <f t="shared" si="148"/>
        <v>202.23783851977691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0.11886888248426988</v>
      </c>
      <c r="CL179" s="21">
        <f>EXP(-LN(2)/25)*CL178+(1-EXP(-LN(2)/25))/(LN(2)/25)*Calculateur!CG179*Calculateur!CI179*VLOOKUP('Données projet'!$B$12,Paramètres!$A$1:$I$89,3,0)*0.475*44/12</f>
        <v>0.2146449679807037</v>
      </c>
      <c r="CM179" s="21">
        <f>EXP(-LN(2)/2)*CM178+(1-EXP(-LN(2)/2))/(LN(2)/2)*CG179*CJ179*VLOOKUP('Données projet'!$B$12,Paramètres!$A$1:$I$89,3,0)*0.475*44/12</f>
        <v>1.9579810941764479E-21</v>
      </c>
      <c r="CN179" s="22">
        <f t="shared" si="172"/>
        <v>0.33351385046497362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-5.1159076974727213E-13</v>
      </c>
      <c r="CU179" s="17">
        <f>CT179*VLOOKUP('Données projet'!$B$13,Paramètres!$A$1:$I$89,3,0)*VLOOKUP('Données projet'!$B$13,Paramètres!$A$1:$I$89,5,0)</f>
        <v>-3.4317508834647017E-13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207.93042467236967</v>
      </c>
      <c r="CZ179" s="59">
        <f t="shared" si="150"/>
        <v>250.70954318710835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0.15268238987693694</v>
      </c>
      <c r="DG179" s="21">
        <f>EXP(-LN(2)/25)*DG178+(1-EXP(-LN(2)/25))/(LN(2)/25)*Calculateur!DB179*Calculateur!DD179*VLOOKUP('Données projet'!$B$13,Paramètres!$A$1:$I$89,3,0)*0.475*44/12</f>
        <v>0.3020313703183205</v>
      </c>
      <c r="DH179" s="21">
        <f>EXP(-LN(2)/2)*DH178+(1-EXP(-LN(2)/2))/(LN(2)/2)*DB179*DE179*VLOOKUP('Données projet'!$B$13,Paramètres!$A$1:$I$89,3,0)*0.475*44/12</f>
        <v>2.1459797141842731E-21</v>
      </c>
      <c r="DI179" s="22">
        <f t="shared" si="175"/>
        <v>0.45471376019525744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5.6843418860808015E-14</v>
      </c>
      <c r="DP179" s="17">
        <f>DO179*VLOOKUP('Données projet'!$B$14,Paramètres!$A$1:$I$89,3,0)*VLOOKUP('Données projet'!$B$14,Paramètres!$A$1:$I$89,5,0)</f>
        <v>3.813056537183002E-14</v>
      </c>
      <c r="DQ179" s="13">
        <f t="shared" si="176"/>
        <v>6.4086286045526829E-13</v>
      </c>
      <c r="DR179" s="20">
        <f t="shared" si="177"/>
        <v>1.1825802166488628E-12</v>
      </c>
      <c r="DS179" s="59">
        <f t="shared" si="125"/>
        <v>293.33333333333451</v>
      </c>
      <c r="DT179" s="59">
        <f ca="1">AVERAGE(OFFSET($DS$3,0,0,'Données projet'!$E$14+1,1))-AVERAGE(OFFSET($H$3,0,0,'Données projet'!$E$14+1,1))</f>
        <v>156.63226020379989</v>
      </c>
      <c r="DU179" s="59">
        <f t="shared" si="152"/>
        <v>196.0481096619543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0.15135680332905788</v>
      </c>
      <c r="EC179" s="21">
        <f>EXP(-LN(2)/2)*EC178+(1-EXP(-LN(2)/2))/(LN(2)/2)*DW179*DZ179*VLOOKUP('Données projet'!$B$14,Paramètres!$A$1:$I$89,3,0)*0.475*44/12</f>
        <v>9.6069108941891761E-22</v>
      </c>
      <c r="ED179" s="22">
        <f t="shared" si="178"/>
        <v>0.15135680332905788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-5.6843418860808015E-13</v>
      </c>
      <c r="EK179" s="17">
        <f>EJ179*VLOOKUP('Données projet'!$B$15,Paramètres!$A$1:$I$89,3,0)*VLOOKUP('Données projet'!$B$15,Paramètres!$A$1:$I$89,5,0)</f>
        <v>-5.763922672485933E-13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190.21499310415584</v>
      </c>
      <c r="EP179" s="59">
        <f t="shared" si="154"/>
        <v>136.15730566500173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7.1054273576010019E-14</v>
      </c>
      <c r="FF179" s="17">
        <f>FE179*VLOOKUP('Données projet'!$B$16,Paramètres!$A$1:$I$89,3,0)*VLOOKUP('Données projet'!$B$16,Paramètres!$A$1:$I$89,5,0)</f>
        <v>8.1854523159563538E-14</v>
      </c>
      <c r="FG179" s="13">
        <f t="shared" si="182"/>
        <v>1.2586836169904262E-12</v>
      </c>
      <c r="FH179" s="20">
        <f t="shared" si="183"/>
        <v>2.3347705940945655E-12</v>
      </c>
      <c r="FI179" s="59">
        <f t="shared" si="131"/>
        <v>293.33333333333564</v>
      </c>
      <c r="FJ179" s="59">
        <f ca="1">AVERAGE(OFFSET($FI$3,0,0,'Données projet'!$E$16+1,1))-AVERAGE(OFFSET($H$3,0,0,'Données projet'!$E$16+1,1))</f>
        <v>14.847345852478327</v>
      </c>
      <c r="FK179" s="59">
        <f t="shared" si="156"/>
        <v>46.764428272166299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3.0983307554789799E-2</v>
      </c>
      <c r="FS179" s="21">
        <f>EXP(-LN(2)/2)*FS178+(1-EXP(-LN(2)/2))/(LN(2)/2)*FM179*FP179*VLOOKUP('Données projet'!$B$16,Paramètres!$A$1:$I$89,3,0)*0.475*44/12</f>
        <v>2.088990235484625E-22</v>
      </c>
      <c r="FT179" s="22">
        <f t="shared" si="184"/>
        <v>3.0983307554789799E-2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4.1145540308207271E-13</v>
      </c>
      <c r="P180" s="13">
        <f t="shared" si="141"/>
        <v>5.2428527960910789E-12</v>
      </c>
      <c r="Q180" s="20">
        <f t="shared" si="162"/>
        <v>9.8479201135599071E-12</v>
      </c>
      <c r="R180" s="59">
        <f t="shared" si="109"/>
        <v>293.33333333334315</v>
      </c>
      <c r="S180" s="59">
        <f ca="1">AVERAGE(OFFSET($R$3,0,0,'Données projet'!$E$9+1,1))-AVERAGE(OFFSET($H$3,0,0,'Données projet'!$E$9+1,1))</f>
        <v>221.7429870520005</v>
      </c>
      <c r="T180" s="59">
        <f t="shared" si="142"/>
        <v>182.2029938397186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-5.1159076974727213E-13</v>
      </c>
      <c r="AJ180" s="13">
        <f>AI180*VLOOKUP('Données projet'!$B$10,Paramètres!$A$1:$I$89,3,0)*VLOOKUP('Données projet'!$B$10,Paramètres!$A$1:$I$89,5,0)</f>
        <v>-4.0702161641092972E-13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260.20517190557814</v>
      </c>
      <c r="AO180" s="59">
        <f t="shared" si="144"/>
        <v>307.22009971147133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0.17753738251777088</v>
      </c>
      <c r="AV180" s="21">
        <f>EXP(-LN(2)/25)*AV179+(1-EXP(-LN(2)/25))/(LN(2)/25)*Calculateur!AQ180*Calculateur!AS180*VLOOKUP('Données projet'!$B$10,Paramètres!$A$1:$I$89,3,0)*0.475*44/12</f>
        <v>0.3484276194722124</v>
      </c>
      <c r="AW180" s="21">
        <f>EXP(-LN(2)/2)*AW179+(1-EXP(-LN(2)/2))/(LN(2)/2)*AQ180*AT180*VLOOKUP('Données projet'!$B$10,Paramètres!$A$1:$I$89,3,0)*0.475*44/12</f>
        <v>1.7997506329677187E-21</v>
      </c>
      <c r="AX180" s="21">
        <f t="shared" si="166"/>
        <v>0.52596500198998331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553.99999999999955</v>
      </c>
      <c r="BE180" s="13">
        <f>BD180*VLOOKUP('Données projet'!$B$11,Paramètres!$A$1:$I$89,3,0)*VLOOKUP('Données projet'!$B$11,Paramètres!$A$1:$I$89,5,0)</f>
        <v>331.29199999999975</v>
      </c>
      <c r="BF180" s="13">
        <f t="shared" si="167"/>
        <v>77.698110787752</v>
      </c>
      <c r="BG180" s="20">
        <f t="shared" si="168"/>
        <v>712.32444295533423</v>
      </c>
      <c r="BH180" s="59">
        <f t="shared" si="116"/>
        <v>1005.6577762886675</v>
      </c>
      <c r="BI180" s="59">
        <f ca="1">AVERAGE(OFFSET($BH$3,0,0,'Données projet'!$E$11+1,1))-AVERAGE(OFFSET($H$3,0,0,'Données projet'!$E$11+1,1))</f>
        <v>316.58509520829671</v>
      </c>
      <c r="BJ180" s="59">
        <f t="shared" si="146"/>
        <v>240.71332110643596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0.13790322450524173</v>
      </c>
      <c r="BQ180" s="21">
        <f>EXP(-LN(2)/25)*BQ179+(1-EXP(-LN(2)/25))/(LN(2)/25)*Calculateur!BL180*Calculateur!BN180*VLOOKUP('Données projet'!$B$11,Paramètres!$A$1:$I$89,3,0)*0.475*44/12</f>
        <v>0.2592529413400676</v>
      </c>
      <c r="BR180" s="21">
        <f>EXP(-LN(2)/2)*BR179+(1-EXP(-LN(2)/2))/(LN(2)/2)*BL180*BO180*VLOOKUP('Données projet'!$B$11,Paramètres!$A$1:$I$89,3,0)*0.475*44/12</f>
        <v>1.6425512839748582E-21</v>
      </c>
      <c r="BS180" s="22">
        <f t="shared" si="169"/>
        <v>0.39715616584530933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497</v>
      </c>
      <c r="BZ180" s="13">
        <f>BY180*VLOOKUP('Données projet'!$B$12,Paramètres!$A$1:$I$89,3,0)*VLOOKUP('Données projet'!$B$12,Paramètres!$A$1:$I$89,5,0)</f>
        <v>297.20600000000002</v>
      </c>
      <c r="CA180" s="13">
        <f t="shared" si="170"/>
        <v>70.590415164571112</v>
      </c>
      <c r="CB180" s="20">
        <f t="shared" si="171"/>
        <v>640.57875641162809</v>
      </c>
      <c r="CC180" s="59">
        <f t="shared" si="119"/>
        <v>933.91208974496135</v>
      </c>
      <c r="CD180" s="59">
        <f ca="1">AVERAGE(OFFSET($CC$3,0,0,'Données projet'!$E$12+1,1))-AVERAGE(OFFSET($H$3,0,0,'Données projet'!$E$12+1,1))</f>
        <v>270.30888762640245</v>
      </c>
      <c r="CE180" s="59">
        <f t="shared" si="148"/>
        <v>202.23783851977691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0.11653793620161261</v>
      </c>
      <c r="CL180" s="21">
        <f>EXP(-LN(2)/25)*CL179+(1-EXP(-LN(2)/25))/(LN(2)/25)*Calculateur!CG180*Calculateur!CI180*VLOOKUP('Données projet'!$B$12,Paramètres!$A$1:$I$89,3,0)*0.475*44/12</f>
        <v>0.20877549004358306</v>
      </c>
      <c r="CM180" s="21">
        <f>EXP(-LN(2)/2)*CM179+(1-EXP(-LN(2)/2))/(LN(2)/2)*CG180*CJ180*VLOOKUP('Données projet'!$B$12,Paramètres!$A$1:$I$89,3,0)*0.475*44/12</f>
        <v>1.3845017091272225E-21</v>
      </c>
      <c r="CN180" s="22">
        <f t="shared" si="172"/>
        <v>0.32531342624519566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-5.1159076974727213E-13</v>
      </c>
      <c r="CU180" s="17">
        <f>CT180*VLOOKUP('Données projet'!$B$13,Paramètres!$A$1:$I$89,3,0)*VLOOKUP('Données projet'!$B$13,Paramètres!$A$1:$I$89,5,0)</f>
        <v>-3.4317508834647017E-13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207.93042467236967</v>
      </c>
      <c r="CZ180" s="59">
        <f t="shared" si="150"/>
        <v>250.70954318710835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0.14968838133851251</v>
      </c>
      <c r="DG180" s="21">
        <f>EXP(-LN(2)/25)*DG179+(1-EXP(-LN(2)/25))/(LN(2)/25)*Calculateur!DB180*Calculateur!DD180*VLOOKUP('Données projet'!$B$13,Paramètres!$A$1:$I$89,3,0)*0.475*44/12</f>
        <v>0.29377230661382658</v>
      </c>
      <c r="DH180" s="21">
        <f>EXP(-LN(2)/2)*DH179+(1-EXP(-LN(2)/2))/(LN(2)/2)*DB180*DE180*VLOOKUP('Données projet'!$B$13,Paramètres!$A$1:$I$89,3,0)*0.475*44/12</f>
        <v>1.5174368081884686E-21</v>
      </c>
      <c r="DI180" s="22">
        <f t="shared" si="175"/>
        <v>0.44346068795233906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5.6843418860808015E-14</v>
      </c>
      <c r="DP180" s="17">
        <f>DO180*VLOOKUP('Données projet'!$B$14,Paramètres!$A$1:$I$89,3,0)*VLOOKUP('Données projet'!$B$14,Paramètres!$A$1:$I$89,5,0)</f>
        <v>3.813056537183002E-14</v>
      </c>
      <c r="DQ180" s="13">
        <f t="shared" si="176"/>
        <v>6.4086286045526829E-13</v>
      </c>
      <c r="DR180" s="20">
        <f t="shared" si="177"/>
        <v>1.1825802166488628E-12</v>
      </c>
      <c r="DS180" s="59">
        <f t="shared" si="125"/>
        <v>293.33333333333451</v>
      </c>
      <c r="DT180" s="59">
        <f ca="1">AVERAGE(OFFSET($DS$3,0,0,'Données projet'!$E$14+1,1))-AVERAGE(OFFSET($H$3,0,0,'Données projet'!$E$14+1,1))</f>
        <v>156.63226020379989</v>
      </c>
      <c r="DU180" s="59">
        <f t="shared" si="152"/>
        <v>196.0481096619543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0.14721794358251644</v>
      </c>
      <c r="EC180" s="21">
        <f>EXP(-LN(2)/2)*EC179+(1-EXP(-LN(2)/2))/(LN(2)/2)*DW180*DZ180*VLOOKUP('Données projet'!$B$14,Paramètres!$A$1:$I$89,3,0)*0.475*44/12</f>
        <v>6.7931118395360853E-22</v>
      </c>
      <c r="ED180" s="22">
        <f t="shared" si="178"/>
        <v>0.14721794358251644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-5.6843418860808015E-13</v>
      </c>
      <c r="EK180" s="17">
        <f>EJ180*VLOOKUP('Données projet'!$B$15,Paramètres!$A$1:$I$89,3,0)*VLOOKUP('Données projet'!$B$15,Paramètres!$A$1:$I$89,5,0)</f>
        <v>-5.763922672485933E-13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190.21499310415584</v>
      </c>
      <c r="EP180" s="59">
        <f t="shared" si="154"/>
        <v>136.15730566500173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7.1054273576010019E-14</v>
      </c>
      <c r="FF180" s="17">
        <f>FE180*VLOOKUP('Données projet'!$B$16,Paramètres!$A$1:$I$89,3,0)*VLOOKUP('Données projet'!$B$16,Paramètres!$A$1:$I$89,5,0)</f>
        <v>8.1854523159563538E-14</v>
      </c>
      <c r="FG180" s="13">
        <f t="shared" si="182"/>
        <v>1.2586836169904262E-12</v>
      </c>
      <c r="FH180" s="20">
        <f t="shared" si="183"/>
        <v>2.3347705940945655E-12</v>
      </c>
      <c r="FI180" s="59">
        <f t="shared" si="131"/>
        <v>293.33333333333564</v>
      </c>
      <c r="FJ180" s="59">
        <f ca="1">AVERAGE(OFFSET($FI$3,0,0,'Données projet'!$E$16+1,1))-AVERAGE(OFFSET($H$3,0,0,'Données projet'!$E$16+1,1))</f>
        <v>14.847345852478327</v>
      </c>
      <c r="FK180" s="59">
        <f t="shared" si="156"/>
        <v>46.764428272166299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3.013606738036274E-2</v>
      </c>
      <c r="FS180" s="21">
        <f>EXP(-LN(2)/2)*FS179+(1-EXP(-LN(2)/2))/(LN(2)/2)*FM180*FP180*VLOOKUP('Données projet'!$B$16,Paramètres!$A$1:$I$89,3,0)*0.475*44/12</f>
        <v>1.4771391613436612E-22</v>
      </c>
      <c r="FT180" s="22">
        <f t="shared" si="184"/>
        <v>3.013606738036274E-2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4.1145540308207271E-13</v>
      </c>
      <c r="P181" s="13">
        <f t="shared" si="141"/>
        <v>5.2428527960910789E-12</v>
      </c>
      <c r="Q181" s="20">
        <f t="shared" si="162"/>
        <v>9.8479201135599071E-12</v>
      </c>
      <c r="R181" s="59">
        <f t="shared" si="109"/>
        <v>293.33333333334315</v>
      </c>
      <c r="S181" s="59">
        <f ca="1">AVERAGE(OFFSET($R$3,0,0,'Données projet'!$E$9+1,1))-AVERAGE(OFFSET($H$3,0,0,'Données projet'!$E$9+1,1))</f>
        <v>221.7429870520005</v>
      </c>
      <c r="T181" s="59">
        <f t="shared" si="142"/>
        <v>182.2029938397186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-5.1159076974727213E-13</v>
      </c>
      <c r="AJ181" s="13">
        <f>AI181*VLOOKUP('Données projet'!$B$10,Paramètres!$A$1:$I$89,3,0)*VLOOKUP('Données projet'!$B$10,Paramètres!$A$1:$I$89,5,0)</f>
        <v>-4.0702161641092972E-13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260.20517190557814</v>
      </c>
      <c r="AO181" s="59">
        <f t="shared" si="144"/>
        <v>307.22009971147133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0.17405598273370826</v>
      </c>
      <c r="AV181" s="21">
        <f>EXP(-LN(2)/25)*AV180+(1-EXP(-LN(2)/25))/(LN(2)/25)*Calculateur!AQ181*Calculateur!AS181*VLOOKUP('Données projet'!$B$10,Paramètres!$A$1:$I$89,3,0)*0.475*44/12</f>
        <v>0.3388998478947326</v>
      </c>
      <c r="AW181" s="21">
        <f>EXP(-LN(2)/2)*AW180+(1-EXP(-LN(2)/2))/(LN(2)/2)*AQ181*AT181*VLOOKUP('Données projet'!$B$10,Paramètres!$A$1:$I$89,3,0)*0.475*44/12</f>
        <v>1.2726158770162551E-21</v>
      </c>
      <c r="AX181" s="21">
        <f t="shared" si="166"/>
        <v>0.51295583062844086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553.99999999999955</v>
      </c>
      <c r="BE181" s="13">
        <f>BD181*VLOOKUP('Données projet'!$B$11,Paramètres!$A$1:$I$89,3,0)*VLOOKUP('Données projet'!$B$11,Paramètres!$A$1:$I$89,5,0)</f>
        <v>331.29199999999975</v>
      </c>
      <c r="BF181" s="13">
        <f t="shared" si="167"/>
        <v>77.698110787752</v>
      </c>
      <c r="BG181" s="20">
        <f t="shared" si="168"/>
        <v>712.32444295533423</v>
      </c>
      <c r="BH181" s="59">
        <f t="shared" si="116"/>
        <v>1005.6577762886675</v>
      </c>
      <c r="BI181" s="59">
        <f ca="1">AVERAGE(OFFSET($BH$3,0,0,'Données projet'!$E$11+1,1))-AVERAGE(OFFSET($H$3,0,0,'Données projet'!$E$11+1,1))</f>
        <v>316.58509520829671</v>
      </c>
      <c r="BJ181" s="59">
        <f t="shared" si="146"/>
        <v>240.71332110643596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0.13519902638535544</v>
      </c>
      <c r="BQ181" s="21">
        <f>EXP(-LN(2)/25)*BQ180+(1-EXP(-LN(2)/25))/(LN(2)/25)*Calculateur!BL181*Calculateur!BN181*VLOOKUP('Données projet'!$B$11,Paramètres!$A$1:$I$89,3,0)*0.475*44/12</f>
        <v>0.25216365602560381</v>
      </c>
      <c r="BR181" s="21">
        <f>EXP(-LN(2)/2)*BR180+(1-EXP(-LN(2)/2))/(LN(2)/2)*BL181*BO181*VLOOKUP('Données projet'!$B$11,Paramètres!$A$1:$I$89,3,0)*0.475*44/12</f>
        <v>1.1614591513452927E-21</v>
      </c>
      <c r="BS181" s="22">
        <f t="shared" si="169"/>
        <v>0.38736268241095928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497</v>
      </c>
      <c r="BZ181" s="13">
        <f>BY181*VLOOKUP('Données projet'!$B$12,Paramètres!$A$1:$I$89,3,0)*VLOOKUP('Données projet'!$B$12,Paramètres!$A$1:$I$89,5,0)</f>
        <v>297.20600000000002</v>
      </c>
      <c r="CA181" s="13">
        <f t="shared" si="170"/>
        <v>70.590415164571112</v>
      </c>
      <c r="CB181" s="20">
        <f t="shared" si="171"/>
        <v>640.57875641162809</v>
      </c>
      <c r="CC181" s="59">
        <f t="shared" si="119"/>
        <v>933.91208974496135</v>
      </c>
      <c r="CD181" s="59">
        <f ca="1">AVERAGE(OFFSET($CC$3,0,0,'Données projet'!$E$12+1,1))-AVERAGE(OFFSET($H$3,0,0,'Données projet'!$E$12+1,1))</f>
        <v>270.30888762640245</v>
      </c>
      <c r="CE181" s="59">
        <f t="shared" si="148"/>
        <v>202.23783851977691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0.11425269835382139</v>
      </c>
      <c r="CL181" s="21">
        <f>EXP(-LN(2)/25)*CL180+(1-EXP(-LN(2)/25))/(LN(2)/25)*Calculateur!CG181*Calculateur!CI181*VLOOKUP('Données projet'!$B$12,Paramètres!$A$1:$I$89,3,0)*0.475*44/12</f>
        <v>0.20306651328931544</v>
      </c>
      <c r="CM181" s="21">
        <f>EXP(-LN(2)/2)*CM180+(1-EXP(-LN(2)/2))/(LN(2)/2)*CG181*CJ181*VLOOKUP('Données projet'!$B$12,Paramètres!$A$1:$I$89,3,0)*0.475*44/12</f>
        <v>9.7899054708822397E-22</v>
      </c>
      <c r="CN181" s="22">
        <f t="shared" si="172"/>
        <v>0.31731921164313681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-5.1159076974727213E-13</v>
      </c>
      <c r="CU181" s="17">
        <f>CT181*VLOOKUP('Données projet'!$B$13,Paramètres!$A$1:$I$89,3,0)*VLOOKUP('Données projet'!$B$13,Paramètres!$A$1:$I$89,5,0)</f>
        <v>-3.4317508834647017E-13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207.93042467236967</v>
      </c>
      <c r="CZ181" s="59">
        <f t="shared" si="150"/>
        <v>250.70954318710835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0.14675308348136168</v>
      </c>
      <c r="DG181" s="21">
        <f>EXP(-LN(2)/25)*DG180+(1-EXP(-LN(2)/25))/(LN(2)/25)*Calculateur!DB181*Calculateur!DD181*VLOOKUP('Données projet'!$B$13,Paramètres!$A$1:$I$89,3,0)*0.475*44/12</f>
        <v>0.28573908744065729</v>
      </c>
      <c r="DH181" s="21">
        <f>EXP(-LN(2)/2)*DH180+(1-EXP(-LN(2)/2))/(LN(2)/2)*DB181*DE181*VLOOKUP('Données projet'!$B$13,Paramètres!$A$1:$I$89,3,0)*0.475*44/12</f>
        <v>1.0729898570921366E-21</v>
      </c>
      <c r="DI181" s="22">
        <f t="shared" si="175"/>
        <v>0.43249217092201897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5.6843418860808015E-14</v>
      </c>
      <c r="DP181" s="17">
        <f>DO181*VLOOKUP('Données projet'!$B$14,Paramètres!$A$1:$I$89,3,0)*VLOOKUP('Données projet'!$B$14,Paramètres!$A$1:$I$89,5,0)</f>
        <v>3.813056537183002E-14</v>
      </c>
      <c r="DQ181" s="13">
        <f t="shared" si="176"/>
        <v>6.4086286045526829E-13</v>
      </c>
      <c r="DR181" s="20">
        <f t="shared" si="177"/>
        <v>1.1825802166488628E-12</v>
      </c>
      <c r="DS181" s="59">
        <f t="shared" si="125"/>
        <v>293.33333333333451</v>
      </c>
      <c r="DT181" s="59">
        <f ca="1">AVERAGE(OFFSET($DS$3,0,0,'Données projet'!$E$14+1,1))-AVERAGE(OFFSET($H$3,0,0,'Données projet'!$E$14+1,1))</f>
        <v>156.63226020379989</v>
      </c>
      <c r="DU181" s="59">
        <f t="shared" si="152"/>
        <v>196.0481096619543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0.14319226117339734</v>
      </c>
      <c r="EC181" s="21">
        <f>EXP(-LN(2)/2)*EC180+(1-EXP(-LN(2)/2))/(LN(2)/2)*DW181*DZ181*VLOOKUP('Données projet'!$B$14,Paramètres!$A$1:$I$89,3,0)*0.475*44/12</f>
        <v>4.803455447094588E-22</v>
      </c>
      <c r="ED181" s="22">
        <f t="shared" si="178"/>
        <v>0.14319226117339734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-5.6843418860808015E-13</v>
      </c>
      <c r="EK181" s="17">
        <f>EJ181*VLOOKUP('Données projet'!$B$15,Paramètres!$A$1:$I$89,3,0)*VLOOKUP('Données projet'!$B$15,Paramètres!$A$1:$I$89,5,0)</f>
        <v>-5.763922672485933E-13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190.21499310415584</v>
      </c>
      <c r="EP181" s="59">
        <f t="shared" si="154"/>
        <v>136.15730566500173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7.1054273576010019E-14</v>
      </c>
      <c r="FF181" s="17">
        <f>FE181*VLOOKUP('Données projet'!$B$16,Paramètres!$A$1:$I$89,3,0)*VLOOKUP('Données projet'!$B$16,Paramètres!$A$1:$I$89,5,0)</f>
        <v>8.1854523159563538E-14</v>
      </c>
      <c r="FG181" s="13">
        <f t="shared" si="182"/>
        <v>1.2586836169904262E-12</v>
      </c>
      <c r="FH181" s="20">
        <f t="shared" si="183"/>
        <v>2.3347705940945655E-12</v>
      </c>
      <c r="FI181" s="59">
        <f t="shared" si="131"/>
        <v>293.33333333333564</v>
      </c>
      <c r="FJ181" s="59">
        <f ca="1">AVERAGE(OFFSET($FI$3,0,0,'Données projet'!$E$16+1,1))-AVERAGE(OFFSET($H$3,0,0,'Données projet'!$E$16+1,1))</f>
        <v>14.847345852478327</v>
      </c>
      <c r="FK181" s="59">
        <f t="shared" si="156"/>
        <v>46.764428272166299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2.9311995033059816E-2</v>
      </c>
      <c r="FS181" s="21">
        <f>EXP(-LN(2)/2)*FS180+(1-EXP(-LN(2)/2))/(LN(2)/2)*FM181*FP181*VLOOKUP('Données projet'!$B$16,Paramètres!$A$1:$I$89,3,0)*0.475*44/12</f>
        <v>1.0444951177423126E-22</v>
      </c>
      <c r="FT181" s="22">
        <f t="shared" si="184"/>
        <v>2.9311995033059816E-2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4.1145540308207271E-13</v>
      </c>
      <c r="P182" s="13">
        <f t="shared" si="141"/>
        <v>5.2428527960910789E-12</v>
      </c>
      <c r="Q182" s="20">
        <f t="shared" si="162"/>
        <v>9.8479201135599071E-12</v>
      </c>
      <c r="R182" s="59">
        <f t="shared" si="109"/>
        <v>293.33333333334315</v>
      </c>
      <c r="S182" s="59">
        <f ca="1">AVERAGE(OFFSET($R$3,0,0,'Données projet'!$E$9+1,1))-AVERAGE(OFFSET($H$3,0,0,'Données projet'!$E$9+1,1))</f>
        <v>221.7429870520005</v>
      </c>
      <c r="T182" s="59">
        <f t="shared" si="142"/>
        <v>182.2029938397186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-5.1159076974727213E-13</v>
      </c>
      <c r="AJ182" s="13">
        <f>AI182*VLOOKUP('Données projet'!$B$10,Paramètres!$A$1:$I$89,3,0)*VLOOKUP('Données projet'!$B$10,Paramètres!$A$1:$I$89,5,0)</f>
        <v>-4.0702161641092972E-13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260.20517190557814</v>
      </c>
      <c r="AO182" s="59">
        <f t="shared" si="144"/>
        <v>307.22009971147133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0.17064285107596691</v>
      </c>
      <c r="AV182" s="21">
        <f>EXP(-LN(2)/25)*AV181+(1-EXP(-LN(2)/25))/(LN(2)/25)*Calculateur!AQ182*Calculateur!AS182*VLOOKUP('Données projet'!$B$10,Paramètres!$A$1:$I$89,3,0)*0.475*44/12</f>
        <v>0.32963261373208269</v>
      </c>
      <c r="AW182" s="21">
        <f>EXP(-LN(2)/2)*AW181+(1-EXP(-LN(2)/2))/(LN(2)/2)*AQ182*AT182*VLOOKUP('Données projet'!$B$10,Paramètres!$A$1:$I$89,3,0)*0.475*44/12</f>
        <v>8.9987531648385936E-22</v>
      </c>
      <c r="AX182" s="21">
        <f t="shared" si="166"/>
        <v>0.50027546480804963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553.99999999999955</v>
      </c>
      <c r="BE182" s="13">
        <f>BD182*VLOOKUP('Données projet'!$B$11,Paramètres!$A$1:$I$89,3,0)*VLOOKUP('Données projet'!$B$11,Paramètres!$A$1:$I$89,5,0)</f>
        <v>331.29199999999975</v>
      </c>
      <c r="BF182" s="13">
        <f t="shared" si="167"/>
        <v>77.698110787752</v>
      </c>
      <c r="BG182" s="20">
        <f t="shared" si="168"/>
        <v>712.32444295533423</v>
      </c>
      <c r="BH182" s="59">
        <f t="shared" si="116"/>
        <v>1005.6577762886675</v>
      </c>
      <c r="BI182" s="59">
        <f ca="1">AVERAGE(OFFSET($BH$3,0,0,'Données projet'!$E$11+1,1))-AVERAGE(OFFSET($H$3,0,0,'Données projet'!$E$11+1,1))</f>
        <v>316.58509520829671</v>
      </c>
      <c r="BJ182" s="59">
        <f t="shared" si="146"/>
        <v>240.71332110643596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0.13254785594120214</v>
      </c>
      <c r="BQ182" s="21">
        <f>EXP(-LN(2)/25)*BQ181+(1-EXP(-LN(2)/25))/(LN(2)/25)*Calculateur!BL182*Calculateur!BN182*VLOOKUP('Données projet'!$B$11,Paramètres!$A$1:$I$89,3,0)*0.475*44/12</f>
        <v>0.24526822759087333</v>
      </c>
      <c r="BR182" s="21">
        <f>EXP(-LN(2)/2)*BR181+(1-EXP(-LN(2)/2))/(LN(2)/2)*BL182*BO182*VLOOKUP('Données projet'!$B$11,Paramètres!$A$1:$I$89,3,0)*0.475*44/12</f>
        <v>8.2127564198742911E-22</v>
      </c>
      <c r="BS182" s="22">
        <f t="shared" si="169"/>
        <v>0.37781608353207546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497</v>
      </c>
      <c r="BZ182" s="13">
        <f>BY182*VLOOKUP('Données projet'!$B$12,Paramètres!$A$1:$I$89,3,0)*VLOOKUP('Données projet'!$B$12,Paramètres!$A$1:$I$89,5,0)</f>
        <v>297.20600000000002</v>
      </c>
      <c r="CA182" s="13">
        <f t="shared" si="170"/>
        <v>70.590415164571112</v>
      </c>
      <c r="CB182" s="20">
        <f t="shared" si="171"/>
        <v>640.57875641162809</v>
      </c>
      <c r="CC182" s="59">
        <f t="shared" si="119"/>
        <v>933.91208974496135</v>
      </c>
      <c r="CD182" s="59">
        <f ca="1">AVERAGE(OFFSET($CC$3,0,0,'Données projet'!$E$12+1,1))-AVERAGE(OFFSET($H$3,0,0,'Données projet'!$E$12+1,1))</f>
        <v>270.30888762640245</v>
      </c>
      <c r="CE182" s="59">
        <f t="shared" si="148"/>
        <v>202.23783851977691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0.1120122726263679</v>
      </c>
      <c r="CL182" s="21">
        <f>EXP(-LN(2)/25)*CL181+(1-EXP(-LN(2)/25))/(LN(2)/25)*Calculateur!CG182*Calculateur!CI182*VLOOKUP('Données projet'!$B$12,Paramètres!$A$1:$I$89,3,0)*0.475*44/12</f>
        <v>0.19751364880461528</v>
      </c>
      <c r="CM182" s="21">
        <f>EXP(-LN(2)/2)*CM181+(1-EXP(-LN(2)/2))/(LN(2)/2)*CG182*CJ182*VLOOKUP('Données projet'!$B$12,Paramètres!$A$1:$I$89,3,0)*0.475*44/12</f>
        <v>6.9225085456361124E-22</v>
      </c>
      <c r="CN182" s="22">
        <f t="shared" si="172"/>
        <v>0.30952592143098318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-5.1159076974727213E-13</v>
      </c>
      <c r="CU182" s="17">
        <f>CT182*VLOOKUP('Données projet'!$B$13,Paramètres!$A$1:$I$89,3,0)*VLOOKUP('Données projet'!$B$13,Paramètres!$A$1:$I$89,5,0)</f>
        <v>-3.4317508834647017E-13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207.93042467236967</v>
      </c>
      <c r="CZ182" s="59">
        <f t="shared" si="150"/>
        <v>250.70954318710835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0.14387534502483468</v>
      </c>
      <c r="DG182" s="21">
        <f>EXP(-LN(2)/25)*DG181+(1-EXP(-LN(2)/25))/(LN(2)/25)*Calculateur!DB182*Calculateur!DD182*VLOOKUP('Données projet'!$B$13,Paramètres!$A$1:$I$89,3,0)*0.475*44/12</f>
        <v>0.27792553706822698</v>
      </c>
      <c r="DH182" s="21">
        <f>EXP(-LN(2)/2)*DH181+(1-EXP(-LN(2)/2))/(LN(2)/2)*DB182*DE182*VLOOKUP('Données projet'!$B$13,Paramètres!$A$1:$I$89,3,0)*0.475*44/12</f>
        <v>7.5871840409423432E-22</v>
      </c>
      <c r="DI182" s="22">
        <f t="shared" si="175"/>
        <v>0.42180088209306166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5.6843418860808015E-14</v>
      </c>
      <c r="DP182" s="17">
        <f>DO182*VLOOKUP('Données projet'!$B$14,Paramètres!$A$1:$I$89,3,0)*VLOOKUP('Données projet'!$B$14,Paramètres!$A$1:$I$89,5,0)</f>
        <v>3.813056537183002E-14</v>
      </c>
      <c r="DQ182" s="13">
        <f t="shared" si="176"/>
        <v>6.4086286045526829E-13</v>
      </c>
      <c r="DR182" s="20">
        <f t="shared" si="177"/>
        <v>1.1825802166488628E-12</v>
      </c>
      <c r="DS182" s="59">
        <f t="shared" si="125"/>
        <v>293.33333333333451</v>
      </c>
      <c r="DT182" s="59">
        <f ca="1">AVERAGE(OFFSET($DS$3,0,0,'Données projet'!$E$14+1,1))-AVERAGE(OFFSET($H$3,0,0,'Données projet'!$E$14+1,1))</f>
        <v>156.63226020379989</v>
      </c>
      <c r="DU182" s="59">
        <f t="shared" si="152"/>
        <v>196.0481096619543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0.13927666126145705</v>
      </c>
      <c r="EC182" s="21">
        <f>EXP(-LN(2)/2)*EC181+(1-EXP(-LN(2)/2))/(LN(2)/2)*DW182*DZ182*VLOOKUP('Données projet'!$B$14,Paramètres!$A$1:$I$89,3,0)*0.475*44/12</f>
        <v>3.3965559197680427E-22</v>
      </c>
      <c r="ED182" s="22">
        <f t="shared" si="178"/>
        <v>0.13927666126145705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-5.6843418860808015E-13</v>
      </c>
      <c r="EK182" s="17">
        <f>EJ182*VLOOKUP('Données projet'!$B$15,Paramètres!$A$1:$I$89,3,0)*VLOOKUP('Données projet'!$B$15,Paramètres!$A$1:$I$89,5,0)</f>
        <v>-5.763922672485933E-13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190.21499310415584</v>
      </c>
      <c r="EP182" s="59">
        <f t="shared" si="154"/>
        <v>136.15730566500173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7.1054273576010019E-14</v>
      </c>
      <c r="FF182" s="17">
        <f>FE182*VLOOKUP('Données projet'!$B$16,Paramètres!$A$1:$I$89,3,0)*VLOOKUP('Données projet'!$B$16,Paramètres!$A$1:$I$89,5,0)</f>
        <v>8.1854523159563538E-14</v>
      </c>
      <c r="FG182" s="13">
        <f t="shared" si="182"/>
        <v>1.2586836169904262E-12</v>
      </c>
      <c r="FH182" s="20">
        <f t="shared" si="183"/>
        <v>2.3347705940945655E-12</v>
      </c>
      <c r="FI182" s="59">
        <f t="shared" si="131"/>
        <v>293.33333333333564</v>
      </c>
      <c r="FJ182" s="59">
        <f ca="1">AVERAGE(OFFSET($FI$3,0,0,'Données projet'!$E$16+1,1))-AVERAGE(OFFSET($H$3,0,0,'Données projet'!$E$16+1,1))</f>
        <v>14.847345852478327</v>
      </c>
      <c r="FK182" s="59">
        <f t="shared" si="156"/>
        <v>46.764428272166299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2.8510456987429971E-2</v>
      </c>
      <c r="FS182" s="21">
        <f>EXP(-LN(2)/2)*FS181+(1-EXP(-LN(2)/2))/(LN(2)/2)*FM182*FP182*VLOOKUP('Données projet'!$B$16,Paramètres!$A$1:$I$89,3,0)*0.475*44/12</f>
        <v>7.3856958067183071E-23</v>
      </c>
      <c r="FT182" s="22">
        <f t="shared" si="184"/>
        <v>2.8510456987429971E-2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4.1145540308207271E-13</v>
      </c>
      <c r="P183" s="13">
        <f t="shared" si="141"/>
        <v>5.2428527960910789E-12</v>
      </c>
      <c r="Q183" s="20">
        <f t="shared" si="162"/>
        <v>9.8479201135599071E-12</v>
      </c>
      <c r="R183" s="59">
        <f t="shared" si="109"/>
        <v>293.33333333334315</v>
      </c>
      <c r="S183" s="59">
        <f ca="1">AVERAGE(OFFSET($R$3,0,0,'Données projet'!$E$9+1,1))-AVERAGE(OFFSET($H$3,0,0,'Données projet'!$E$9+1,1))</f>
        <v>221.7429870520005</v>
      </c>
      <c r="T183" s="59">
        <f t="shared" si="142"/>
        <v>182.2029938397186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-5.1159076974727213E-13</v>
      </c>
      <c r="AJ183" s="13">
        <f>AI183*VLOOKUP('Données projet'!$B$10,Paramètres!$A$1:$I$89,3,0)*VLOOKUP('Données projet'!$B$10,Paramètres!$A$1:$I$89,5,0)</f>
        <v>-4.0702161641092972E-13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260.20517190557814</v>
      </c>
      <c r="AO183" s="59">
        <f t="shared" si="144"/>
        <v>307.22009971147133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0.16729664884822912</v>
      </c>
      <c r="AV183" s="21">
        <f>EXP(-LN(2)/25)*AV182+(1-EXP(-LN(2)/25))/(LN(2)/25)*Calculateur!AQ183*Calculateur!AS183*VLOOKUP('Données projet'!$B$10,Paramètres!$A$1:$I$89,3,0)*0.475*44/12</f>
        <v>0.32061879257495313</v>
      </c>
      <c r="AW183" s="21">
        <f>EXP(-LN(2)/2)*AW182+(1-EXP(-LN(2)/2))/(LN(2)/2)*AQ183*AT183*VLOOKUP('Données projet'!$B$10,Paramètres!$A$1:$I$89,3,0)*0.475*44/12</f>
        <v>6.3630793850812755E-22</v>
      </c>
      <c r="AX183" s="21">
        <f t="shared" si="166"/>
        <v>0.48791544142318222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553.99999999999955</v>
      </c>
      <c r="BE183" s="13">
        <f>BD183*VLOOKUP('Données projet'!$B$11,Paramètres!$A$1:$I$89,3,0)*VLOOKUP('Données projet'!$B$11,Paramètres!$A$1:$I$89,5,0)</f>
        <v>331.29199999999975</v>
      </c>
      <c r="BF183" s="13">
        <f t="shared" si="167"/>
        <v>77.698110787752</v>
      </c>
      <c r="BG183" s="20">
        <f t="shared" si="168"/>
        <v>712.32444295533423</v>
      </c>
      <c r="BH183" s="59">
        <f t="shared" si="116"/>
        <v>1005.6577762886675</v>
      </c>
      <c r="BI183" s="59">
        <f ca="1">AVERAGE(OFFSET($BH$3,0,0,'Données projet'!$E$11+1,1))-AVERAGE(OFFSET($H$3,0,0,'Données projet'!$E$11+1,1))</f>
        <v>316.58509520829671</v>
      </c>
      <c r="BJ183" s="59">
        <f t="shared" si="146"/>
        <v>240.71332110643596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0.1299486733324044</v>
      </c>
      <c r="BQ183" s="21">
        <f>EXP(-LN(2)/25)*BQ182+(1-EXP(-LN(2)/25))/(LN(2)/25)*Calculateur!BL183*Calculateur!BN183*VLOOKUP('Données projet'!$B$11,Paramètres!$A$1:$I$89,3,0)*0.475*44/12</f>
        <v>0.23856135500930536</v>
      </c>
      <c r="BR183" s="21">
        <f>EXP(-LN(2)/2)*BR182+(1-EXP(-LN(2)/2))/(LN(2)/2)*BL183*BO183*VLOOKUP('Données projet'!$B$11,Paramètres!$A$1:$I$89,3,0)*0.475*44/12</f>
        <v>5.8072957567264637E-22</v>
      </c>
      <c r="BS183" s="22">
        <f t="shared" si="169"/>
        <v>0.36851002834170976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497</v>
      </c>
      <c r="BZ183" s="13">
        <f>BY183*VLOOKUP('Données projet'!$B$12,Paramètres!$A$1:$I$89,3,0)*VLOOKUP('Données projet'!$B$12,Paramètres!$A$1:$I$89,5,0)</f>
        <v>297.20600000000002</v>
      </c>
      <c r="CA183" s="13">
        <f t="shared" si="170"/>
        <v>70.590415164571112</v>
      </c>
      <c r="CB183" s="20">
        <f t="shared" si="171"/>
        <v>640.57875641162809</v>
      </c>
      <c r="CC183" s="59">
        <f t="shared" si="119"/>
        <v>933.91208974496135</v>
      </c>
      <c r="CD183" s="59">
        <f ca="1">AVERAGE(OFFSET($CC$3,0,0,'Données projet'!$E$12+1,1))-AVERAGE(OFFSET($H$3,0,0,'Données projet'!$E$12+1,1))</f>
        <v>270.30888762640245</v>
      </c>
      <c r="CE183" s="59">
        <f t="shared" si="148"/>
        <v>202.23783851977691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0.10981578028090501</v>
      </c>
      <c r="CL183" s="21">
        <f>EXP(-LN(2)/25)*CL182+(1-EXP(-LN(2)/25))/(LN(2)/25)*Calculateur!CG183*Calculateur!CI183*VLOOKUP('Données projet'!$B$12,Paramètres!$A$1:$I$89,3,0)*0.475*44/12</f>
        <v>0.19211262769126169</v>
      </c>
      <c r="CM183" s="21">
        <f>EXP(-LN(2)/2)*CM182+(1-EXP(-LN(2)/2))/(LN(2)/2)*CG183*CJ183*VLOOKUP('Données projet'!$B$12,Paramètres!$A$1:$I$89,3,0)*0.475*44/12</f>
        <v>4.8949527354411198E-22</v>
      </c>
      <c r="CN183" s="22">
        <f t="shared" si="172"/>
        <v>0.30192840797216669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-5.1159076974727213E-13</v>
      </c>
      <c r="CU183" s="17">
        <f>CT183*VLOOKUP('Données projet'!$B$13,Paramètres!$A$1:$I$89,3,0)*VLOOKUP('Données projet'!$B$13,Paramètres!$A$1:$I$89,5,0)</f>
        <v>-3.4317508834647017E-13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207.93042467236967</v>
      </c>
      <c r="CZ183" s="59">
        <f t="shared" si="150"/>
        <v>250.70954318710835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0.14105403726419302</v>
      </c>
      <c r="DG183" s="21">
        <f>EXP(-LN(2)/25)*DG182+(1-EXP(-LN(2)/25))/(LN(2)/25)*Calculateur!DB183*Calculateur!DD183*VLOOKUP('Données projet'!$B$13,Paramètres!$A$1:$I$89,3,0)*0.475*44/12</f>
        <v>0.2703256486416275</v>
      </c>
      <c r="DH183" s="21">
        <f>EXP(-LN(2)/2)*DH182+(1-EXP(-LN(2)/2))/(LN(2)/2)*DB183*DE183*VLOOKUP('Données projet'!$B$13,Paramètres!$A$1:$I$89,3,0)*0.475*44/12</f>
        <v>5.3649492854606829E-22</v>
      </c>
      <c r="DI183" s="22">
        <f t="shared" si="175"/>
        <v>0.41137968590582052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5.6843418860808015E-14</v>
      </c>
      <c r="DP183" s="17">
        <f>DO183*VLOOKUP('Données projet'!$B$14,Paramètres!$A$1:$I$89,3,0)*VLOOKUP('Données projet'!$B$14,Paramètres!$A$1:$I$89,5,0)</f>
        <v>3.813056537183002E-14</v>
      </c>
      <c r="DQ183" s="13">
        <f t="shared" si="176"/>
        <v>6.4086286045526829E-13</v>
      </c>
      <c r="DR183" s="20">
        <f t="shared" si="177"/>
        <v>1.1825802166488628E-12</v>
      </c>
      <c r="DS183" s="59">
        <f t="shared" si="125"/>
        <v>293.33333333333451</v>
      </c>
      <c r="DT183" s="59">
        <f ca="1">AVERAGE(OFFSET($DS$3,0,0,'Données projet'!$E$14+1,1))-AVERAGE(OFFSET($H$3,0,0,'Données projet'!$E$14+1,1))</f>
        <v>156.63226020379989</v>
      </c>
      <c r="DU183" s="59">
        <f t="shared" si="152"/>
        <v>196.0481096619543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0.13546813363502122</v>
      </c>
      <c r="EC183" s="21">
        <f>EXP(-LN(2)/2)*EC182+(1-EXP(-LN(2)/2))/(LN(2)/2)*DW183*DZ183*VLOOKUP('Données projet'!$B$14,Paramètres!$A$1:$I$89,3,0)*0.475*44/12</f>
        <v>2.401727723547294E-22</v>
      </c>
      <c r="ED183" s="22">
        <f t="shared" si="178"/>
        <v>0.13546813363502122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-5.6843418860808015E-13</v>
      </c>
      <c r="EK183" s="17">
        <f>EJ183*VLOOKUP('Données projet'!$B$15,Paramètres!$A$1:$I$89,3,0)*VLOOKUP('Données projet'!$B$15,Paramètres!$A$1:$I$89,5,0)</f>
        <v>-5.763922672485933E-13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190.21499310415584</v>
      </c>
      <c r="EP183" s="59">
        <f t="shared" si="154"/>
        <v>136.15730566500173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7.1054273576010019E-14</v>
      </c>
      <c r="FF183" s="17">
        <f>FE183*VLOOKUP('Données projet'!$B$16,Paramètres!$A$1:$I$89,3,0)*VLOOKUP('Données projet'!$B$16,Paramètres!$A$1:$I$89,5,0)</f>
        <v>8.1854523159563538E-14</v>
      </c>
      <c r="FG183" s="13">
        <f t="shared" si="182"/>
        <v>1.2586836169904262E-12</v>
      </c>
      <c r="FH183" s="20">
        <f t="shared" si="183"/>
        <v>2.3347705940945655E-12</v>
      </c>
      <c r="FI183" s="59">
        <f t="shared" si="131"/>
        <v>293.33333333333564</v>
      </c>
      <c r="FJ183" s="59">
        <f ca="1">AVERAGE(OFFSET($FI$3,0,0,'Données projet'!$E$16+1,1))-AVERAGE(OFFSET($H$3,0,0,'Données projet'!$E$16+1,1))</f>
        <v>14.847345852478327</v>
      </c>
      <c r="FK183" s="59">
        <f t="shared" si="156"/>
        <v>46.764428272166299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2.7730837041808926E-2</v>
      </c>
      <c r="FS183" s="21">
        <f>EXP(-LN(2)/2)*FS182+(1-EXP(-LN(2)/2))/(LN(2)/2)*FM183*FP183*VLOOKUP('Données projet'!$B$16,Paramètres!$A$1:$I$89,3,0)*0.475*44/12</f>
        <v>5.2224755887115642E-23</v>
      </c>
      <c r="FT183" s="22">
        <f t="shared" si="184"/>
        <v>2.7730837041808926E-2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4.1145540308207271E-13</v>
      </c>
      <c r="P184" s="13">
        <f t="shared" si="141"/>
        <v>5.2428527960910789E-12</v>
      </c>
      <c r="Q184" s="20">
        <f t="shared" si="162"/>
        <v>9.8479201135599071E-12</v>
      </c>
      <c r="R184" s="59">
        <f t="shared" si="109"/>
        <v>293.33333333334315</v>
      </c>
      <c r="S184" s="59">
        <f ca="1">AVERAGE(OFFSET($R$3,0,0,'Données projet'!$E$9+1,1))-AVERAGE(OFFSET($H$3,0,0,'Données projet'!$E$9+1,1))</f>
        <v>221.7429870520005</v>
      </c>
      <c r="T184" s="59">
        <f t="shared" si="142"/>
        <v>182.2029938397186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-5.1159076974727213E-13</v>
      </c>
      <c r="AJ184" s="13">
        <f>AI184*VLOOKUP('Données projet'!$B$10,Paramètres!$A$1:$I$89,3,0)*VLOOKUP('Données projet'!$B$10,Paramètres!$A$1:$I$89,5,0)</f>
        <v>-4.0702161641092972E-13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260.20517190557814</v>
      </c>
      <c r="AO184" s="59">
        <f t="shared" si="144"/>
        <v>307.22009971147133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0.16401606360519544</v>
      </c>
      <c r="AV184" s="21">
        <f>EXP(-LN(2)/25)*AV183+(1-EXP(-LN(2)/25))/(LN(2)/25)*Calculateur!AQ184*Calculateur!AS184*VLOOKUP('Données projet'!$B$10,Paramètres!$A$1:$I$89,3,0)*0.475*44/12</f>
        <v>0.31185145483138149</v>
      </c>
      <c r="AW184" s="21">
        <f>EXP(-LN(2)/2)*AW183+(1-EXP(-LN(2)/2))/(LN(2)/2)*AQ184*AT184*VLOOKUP('Données projet'!$B$10,Paramètres!$A$1:$I$89,3,0)*0.475*44/12</f>
        <v>4.4993765824192968E-22</v>
      </c>
      <c r="AX184" s="21">
        <f t="shared" si="166"/>
        <v>0.47586751843657693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553.99999999999955</v>
      </c>
      <c r="BE184" s="13">
        <f>BD184*VLOOKUP('Données projet'!$B$11,Paramètres!$A$1:$I$89,3,0)*VLOOKUP('Données projet'!$B$11,Paramètres!$A$1:$I$89,5,0)</f>
        <v>331.29199999999975</v>
      </c>
      <c r="BF184" s="13">
        <f t="shared" si="167"/>
        <v>77.698110787752</v>
      </c>
      <c r="BG184" s="20">
        <f t="shared" si="168"/>
        <v>712.32444295533423</v>
      </c>
      <c r="BH184" s="59">
        <f t="shared" si="116"/>
        <v>1005.6577762886675</v>
      </c>
      <c r="BI184" s="59">
        <f ca="1">AVERAGE(OFFSET($BH$3,0,0,'Données projet'!$E$11+1,1))-AVERAGE(OFFSET($H$3,0,0,'Données projet'!$E$11+1,1))</f>
        <v>316.58509520829671</v>
      </c>
      <c r="BJ184" s="59">
        <f t="shared" si="146"/>
        <v>240.71332110643596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0.12740045910922032</v>
      </c>
      <c r="BQ184" s="21">
        <f>EXP(-LN(2)/25)*BQ183+(1-EXP(-LN(2)/25))/(LN(2)/25)*Calculateur!BL184*Calculateur!BN184*VLOOKUP('Données projet'!$B$11,Paramètres!$A$1:$I$89,3,0)*0.475*44/12</f>
        <v>0.23203788221117949</v>
      </c>
      <c r="BR184" s="21">
        <f>EXP(-LN(2)/2)*BR183+(1-EXP(-LN(2)/2))/(LN(2)/2)*BL184*BO184*VLOOKUP('Données projet'!$B$11,Paramètres!$A$1:$I$89,3,0)*0.475*44/12</f>
        <v>4.1063782099371456E-22</v>
      </c>
      <c r="BS184" s="22">
        <f t="shared" si="169"/>
        <v>0.35943834132039981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497</v>
      </c>
      <c r="BZ184" s="13">
        <f>BY184*VLOOKUP('Données projet'!$B$12,Paramètres!$A$1:$I$89,3,0)*VLOOKUP('Données projet'!$B$12,Paramètres!$A$1:$I$89,5,0)</f>
        <v>297.20600000000002</v>
      </c>
      <c r="CA184" s="13">
        <f t="shared" si="170"/>
        <v>70.590415164571112</v>
      </c>
      <c r="CB184" s="20">
        <f t="shared" si="171"/>
        <v>640.57875641162809</v>
      </c>
      <c r="CC184" s="59">
        <f t="shared" si="119"/>
        <v>933.91208974496135</v>
      </c>
      <c r="CD184" s="59">
        <f ca="1">AVERAGE(OFFSET($CC$3,0,0,'Données projet'!$E$12+1,1))-AVERAGE(OFFSET($H$3,0,0,'Données projet'!$E$12+1,1))</f>
        <v>270.30888762640245</v>
      </c>
      <c r="CE184" s="59">
        <f t="shared" si="148"/>
        <v>202.23783851977691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0.10766235981060861</v>
      </c>
      <c r="CL184" s="21">
        <f>EXP(-LN(2)/25)*CL183+(1-EXP(-LN(2)/25))/(LN(2)/25)*Calculateur!CG184*Calculateur!CI184*VLOOKUP('Données projet'!$B$12,Paramètres!$A$1:$I$89,3,0)*0.475*44/12</f>
        <v>0.18685929778428012</v>
      </c>
      <c r="CM184" s="21">
        <f>EXP(-LN(2)/2)*CM183+(1-EXP(-LN(2)/2))/(LN(2)/2)*CG184*CJ184*VLOOKUP('Données projet'!$B$12,Paramètres!$A$1:$I$89,3,0)*0.475*44/12</f>
        <v>3.4612542728180562E-22</v>
      </c>
      <c r="CN184" s="22">
        <f t="shared" si="172"/>
        <v>0.29452165759488874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-5.1159076974727213E-13</v>
      </c>
      <c r="CU184" s="17">
        <f>CT184*VLOOKUP('Données projet'!$B$13,Paramètres!$A$1:$I$89,3,0)*VLOOKUP('Données projet'!$B$13,Paramètres!$A$1:$I$89,5,0)</f>
        <v>-3.4317508834647017E-13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207.93042467236967</v>
      </c>
      <c r="CZ184" s="59">
        <f t="shared" si="150"/>
        <v>250.70954318710835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0.13828805362790972</v>
      </c>
      <c r="DG184" s="21">
        <f>EXP(-LN(2)/25)*DG183+(1-EXP(-LN(2)/25))/(LN(2)/25)*Calculateur!DB184*Calculateur!DD184*VLOOKUP('Données projet'!$B$13,Paramètres!$A$1:$I$89,3,0)*0.475*44/12</f>
        <v>0.26293357956371416</v>
      </c>
      <c r="DH184" s="21">
        <f>EXP(-LN(2)/2)*DH183+(1-EXP(-LN(2)/2))/(LN(2)/2)*DB184*DE184*VLOOKUP('Données projet'!$B$13,Paramètres!$A$1:$I$89,3,0)*0.475*44/12</f>
        <v>3.7935920204711716E-22</v>
      </c>
      <c r="DI184" s="22">
        <f t="shared" si="175"/>
        <v>0.40122163319162385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5.6843418860808015E-14</v>
      </c>
      <c r="DP184" s="17">
        <f>DO184*VLOOKUP('Données projet'!$B$14,Paramètres!$A$1:$I$89,3,0)*VLOOKUP('Données projet'!$B$14,Paramètres!$A$1:$I$89,5,0)</f>
        <v>3.813056537183002E-14</v>
      </c>
      <c r="DQ184" s="13">
        <f t="shared" si="176"/>
        <v>6.4086286045526829E-13</v>
      </c>
      <c r="DR184" s="20">
        <f t="shared" si="177"/>
        <v>1.1825802166488628E-12</v>
      </c>
      <c r="DS184" s="59">
        <f t="shared" si="125"/>
        <v>293.33333333333451</v>
      </c>
      <c r="DT184" s="59">
        <f ca="1">AVERAGE(OFFSET($DS$3,0,0,'Données projet'!$E$14+1,1))-AVERAGE(OFFSET($H$3,0,0,'Données projet'!$E$14+1,1))</f>
        <v>156.63226020379989</v>
      </c>
      <c r="DU184" s="59">
        <f t="shared" si="152"/>
        <v>196.0481096619543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0.13176375039681204</v>
      </c>
      <c r="EC184" s="21">
        <f>EXP(-LN(2)/2)*EC183+(1-EXP(-LN(2)/2))/(LN(2)/2)*DW184*DZ184*VLOOKUP('Données projet'!$B$14,Paramètres!$A$1:$I$89,3,0)*0.475*44/12</f>
        <v>1.6982779598840213E-22</v>
      </c>
      <c r="ED184" s="22">
        <f t="shared" si="178"/>
        <v>0.13176375039681204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-5.6843418860808015E-13</v>
      </c>
      <c r="EK184" s="17">
        <f>EJ184*VLOOKUP('Données projet'!$B$15,Paramètres!$A$1:$I$89,3,0)*VLOOKUP('Données projet'!$B$15,Paramètres!$A$1:$I$89,5,0)</f>
        <v>-5.763922672485933E-13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190.21499310415584</v>
      </c>
      <c r="EP184" s="59">
        <f t="shared" si="154"/>
        <v>136.15730566500173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7.1054273576010019E-14</v>
      </c>
      <c r="FF184" s="17">
        <f>FE184*VLOOKUP('Données projet'!$B$16,Paramètres!$A$1:$I$89,3,0)*VLOOKUP('Données projet'!$B$16,Paramètres!$A$1:$I$89,5,0)</f>
        <v>8.1854523159563538E-14</v>
      </c>
      <c r="FG184" s="13">
        <f t="shared" si="182"/>
        <v>1.2586836169904262E-12</v>
      </c>
      <c r="FH184" s="20">
        <f t="shared" si="183"/>
        <v>2.3347705940945655E-12</v>
      </c>
      <c r="FI184" s="59">
        <f t="shared" si="131"/>
        <v>293.33333333333564</v>
      </c>
      <c r="FJ184" s="59">
        <f ca="1">AVERAGE(OFFSET($FI$3,0,0,'Données projet'!$E$16+1,1))-AVERAGE(OFFSET($H$3,0,0,'Données projet'!$E$16+1,1))</f>
        <v>14.847345852478327</v>
      </c>
      <c r="FK184" s="59">
        <f t="shared" si="156"/>
        <v>46.764428272166299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2.697253584459932E-2</v>
      </c>
      <c r="FS184" s="21">
        <f>EXP(-LN(2)/2)*FS183+(1-EXP(-LN(2)/2))/(LN(2)/2)*FM184*FP184*VLOOKUP('Données projet'!$B$16,Paramètres!$A$1:$I$89,3,0)*0.475*44/12</f>
        <v>3.6928479033591542E-23</v>
      </c>
      <c r="FT184" s="22">
        <f t="shared" si="184"/>
        <v>2.697253584459932E-2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4.1145540308207271E-13</v>
      </c>
      <c r="P185" s="13">
        <f t="shared" si="141"/>
        <v>5.2428527960910789E-12</v>
      </c>
      <c r="Q185" s="20">
        <f t="shared" si="162"/>
        <v>9.8479201135599071E-12</v>
      </c>
      <c r="R185" s="59">
        <f t="shared" si="109"/>
        <v>293.33333333334315</v>
      </c>
      <c r="S185" s="59">
        <f ca="1">AVERAGE(OFFSET($R$3,0,0,'Données projet'!$E$9+1,1))-AVERAGE(OFFSET($H$3,0,0,'Données projet'!$E$9+1,1))</f>
        <v>221.7429870520005</v>
      </c>
      <c r="T185" s="59">
        <f t="shared" si="142"/>
        <v>182.2029938397186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-5.1159076974727213E-13</v>
      </c>
      <c r="AJ185" s="13">
        <f>AI185*VLOOKUP('Données projet'!$B$10,Paramètres!$A$1:$I$89,3,0)*VLOOKUP('Données projet'!$B$10,Paramètres!$A$1:$I$89,5,0)</f>
        <v>-4.0702161641092972E-13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260.20517190557814</v>
      </c>
      <c r="AO185" s="59">
        <f t="shared" si="144"/>
        <v>307.22009971147133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0.16079980863781823</v>
      </c>
      <c r="AV185" s="21">
        <f>EXP(-LN(2)/25)*AV184+(1-EXP(-LN(2)/25))/(LN(2)/25)*Calculateur!AQ185*Calculateur!AS185*VLOOKUP('Données projet'!$B$10,Paramètres!$A$1:$I$89,3,0)*0.475*44/12</f>
        <v>0.30332386039946208</v>
      </c>
      <c r="AW185" s="21">
        <f>EXP(-LN(2)/2)*AW184+(1-EXP(-LN(2)/2))/(LN(2)/2)*AQ185*AT185*VLOOKUP('Données projet'!$B$10,Paramètres!$A$1:$I$89,3,0)*0.475*44/12</f>
        <v>3.1815396925406377E-22</v>
      </c>
      <c r="AX185" s="21">
        <f t="shared" si="166"/>
        <v>0.46412366903728031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553.99999999999955</v>
      </c>
      <c r="BE185" s="13">
        <f>BD185*VLOOKUP('Données projet'!$B$11,Paramètres!$A$1:$I$89,3,0)*VLOOKUP('Données projet'!$B$11,Paramètres!$A$1:$I$89,5,0)</f>
        <v>331.29199999999975</v>
      </c>
      <c r="BF185" s="13">
        <f t="shared" si="167"/>
        <v>77.698110787752</v>
      </c>
      <c r="BG185" s="20">
        <f t="shared" si="168"/>
        <v>712.32444295533423</v>
      </c>
      <c r="BH185" s="59">
        <f t="shared" si="116"/>
        <v>1005.6577762886675</v>
      </c>
      <c r="BI185" s="59">
        <f ca="1">AVERAGE(OFFSET($BH$3,0,0,'Données projet'!$E$11+1,1))-AVERAGE(OFFSET($H$3,0,0,'Données projet'!$E$11+1,1))</f>
        <v>316.58509520829671</v>
      </c>
      <c r="BJ185" s="59">
        <f t="shared" si="146"/>
        <v>240.71332110643596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0.12490221381269567</v>
      </c>
      <c r="BQ185" s="21">
        <f>EXP(-LN(2)/25)*BQ184+(1-EXP(-LN(2)/25))/(LN(2)/25)*Calculateur!BL185*Calculateur!BN185*VLOOKUP('Données projet'!$B$11,Paramètres!$A$1:$I$89,3,0)*0.475*44/12</f>
        <v>0.22569279411977289</v>
      </c>
      <c r="BR185" s="21">
        <f>EXP(-LN(2)/2)*BR184+(1-EXP(-LN(2)/2))/(LN(2)/2)*BL185*BO185*VLOOKUP('Données projet'!$B$11,Paramètres!$A$1:$I$89,3,0)*0.475*44/12</f>
        <v>2.9036478783632319E-22</v>
      </c>
      <c r="BS185" s="22">
        <f t="shared" si="169"/>
        <v>0.35059500793246856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497</v>
      </c>
      <c r="BZ185" s="13">
        <f>BY185*VLOOKUP('Données projet'!$B$12,Paramètres!$A$1:$I$89,3,0)*VLOOKUP('Données projet'!$B$12,Paramètres!$A$1:$I$89,5,0)</f>
        <v>297.20600000000002</v>
      </c>
      <c r="CA185" s="13">
        <f t="shared" si="170"/>
        <v>70.590415164571112</v>
      </c>
      <c r="CB185" s="20">
        <f t="shared" si="171"/>
        <v>640.57875641162809</v>
      </c>
      <c r="CC185" s="59">
        <f t="shared" si="119"/>
        <v>933.91208974496135</v>
      </c>
      <c r="CD185" s="59">
        <f ca="1">AVERAGE(OFFSET($CC$3,0,0,'Données projet'!$E$12+1,1))-AVERAGE(OFFSET($H$3,0,0,'Données projet'!$E$12+1,1))</f>
        <v>270.30888762640245</v>
      </c>
      <c r="CE185" s="59">
        <f t="shared" si="148"/>
        <v>202.23783851977691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0.10555116660227792</v>
      </c>
      <c r="CL185" s="21">
        <f>EXP(-LN(2)/25)*CL184+(1-EXP(-LN(2)/25))/(LN(2)/25)*Calculateur!CG185*Calculateur!CI185*VLOOKUP('Données projet'!$B$12,Paramètres!$A$1:$I$89,3,0)*0.475*44/12</f>
        <v>0.18174962045986559</v>
      </c>
      <c r="CM185" s="21">
        <f>EXP(-LN(2)/2)*CM184+(1-EXP(-LN(2)/2))/(LN(2)/2)*CG185*CJ185*VLOOKUP('Données projet'!$B$12,Paramètres!$A$1:$I$89,3,0)*0.475*44/12</f>
        <v>2.4474763677205599E-22</v>
      </c>
      <c r="CN185" s="22">
        <f t="shared" si="172"/>
        <v>0.28730078706214351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-5.1159076974727213E-13</v>
      </c>
      <c r="CU185" s="17">
        <f>CT185*VLOOKUP('Données projet'!$B$13,Paramètres!$A$1:$I$89,3,0)*VLOOKUP('Données projet'!$B$13,Paramètres!$A$1:$I$89,5,0)</f>
        <v>-3.4317508834647017E-13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207.93042467236967</v>
      </c>
      <c r="CZ185" s="59">
        <f t="shared" si="150"/>
        <v>250.70954318710835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0.13557630924365052</v>
      </c>
      <c r="DG185" s="21">
        <f>EXP(-LN(2)/25)*DG184+(1-EXP(-LN(2)/25))/(LN(2)/25)*Calculateur!DB185*Calculateur!DD185*VLOOKUP('Données projet'!$B$13,Paramètres!$A$1:$I$89,3,0)*0.475*44/12</f>
        <v>0.25574364700346841</v>
      </c>
      <c r="DH185" s="21">
        <f>EXP(-LN(2)/2)*DH184+(1-EXP(-LN(2)/2))/(LN(2)/2)*DB185*DE185*VLOOKUP('Données projet'!$B$13,Paramètres!$A$1:$I$89,3,0)*0.475*44/12</f>
        <v>2.6824746427303414E-22</v>
      </c>
      <c r="DI185" s="22">
        <f t="shared" si="175"/>
        <v>0.39131995624711891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5.6843418860808015E-14</v>
      </c>
      <c r="DP185" s="17">
        <f>DO185*VLOOKUP('Données projet'!$B$14,Paramètres!$A$1:$I$89,3,0)*VLOOKUP('Données projet'!$B$14,Paramètres!$A$1:$I$89,5,0)</f>
        <v>3.813056537183002E-14</v>
      </c>
      <c r="DQ185" s="13">
        <f t="shared" si="176"/>
        <v>6.4086286045526829E-13</v>
      </c>
      <c r="DR185" s="20">
        <f t="shared" si="177"/>
        <v>1.1825802166488628E-12</v>
      </c>
      <c r="DS185" s="59">
        <f t="shared" si="125"/>
        <v>293.33333333333451</v>
      </c>
      <c r="DT185" s="59">
        <f ca="1">AVERAGE(OFFSET($DS$3,0,0,'Données projet'!$E$14+1,1))-AVERAGE(OFFSET($H$3,0,0,'Données projet'!$E$14+1,1))</f>
        <v>156.63226020379989</v>
      </c>
      <c r="DU185" s="59">
        <f t="shared" si="152"/>
        <v>196.0481096619543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0.12816066371305673</v>
      </c>
      <c r="EC185" s="21">
        <f>EXP(-LN(2)/2)*EC184+(1-EXP(-LN(2)/2))/(LN(2)/2)*DW185*DZ185*VLOOKUP('Données projet'!$B$14,Paramètres!$A$1:$I$89,3,0)*0.475*44/12</f>
        <v>1.200863861773647E-22</v>
      </c>
      <c r="ED185" s="22">
        <f t="shared" si="178"/>
        <v>0.12816066371305673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-5.6843418860808015E-13</v>
      </c>
      <c r="EK185" s="17">
        <f>EJ185*VLOOKUP('Données projet'!$B$15,Paramètres!$A$1:$I$89,3,0)*VLOOKUP('Données projet'!$B$15,Paramètres!$A$1:$I$89,5,0)</f>
        <v>-5.763922672485933E-13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190.21499310415584</v>
      </c>
      <c r="EP185" s="59">
        <f t="shared" si="154"/>
        <v>136.15730566500173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7.1054273576010019E-14</v>
      </c>
      <c r="FF185" s="17">
        <f>FE185*VLOOKUP('Données projet'!$B$16,Paramètres!$A$1:$I$89,3,0)*VLOOKUP('Données projet'!$B$16,Paramètres!$A$1:$I$89,5,0)</f>
        <v>8.1854523159563538E-14</v>
      </c>
      <c r="FG185" s="13">
        <f t="shared" si="182"/>
        <v>1.2586836169904262E-12</v>
      </c>
      <c r="FH185" s="20">
        <f t="shared" si="183"/>
        <v>2.3347705940945655E-12</v>
      </c>
      <c r="FI185" s="59">
        <f t="shared" si="131"/>
        <v>293.33333333333564</v>
      </c>
      <c r="FJ185" s="59">
        <f ca="1">AVERAGE(OFFSET($FI$3,0,0,'Données projet'!$E$16+1,1))-AVERAGE(OFFSET($H$3,0,0,'Données projet'!$E$16+1,1))</f>
        <v>14.847345852478327</v>
      </c>
      <c r="FK185" s="59">
        <f t="shared" si="156"/>
        <v>46.764428272166299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2.6234970433504739E-2</v>
      </c>
      <c r="FS185" s="21">
        <f>EXP(-LN(2)/2)*FS184+(1-EXP(-LN(2)/2))/(LN(2)/2)*FM185*FP185*VLOOKUP('Données projet'!$B$16,Paramètres!$A$1:$I$89,3,0)*0.475*44/12</f>
        <v>2.6112377943557824E-23</v>
      </c>
      <c r="FT185" s="22">
        <f t="shared" si="184"/>
        <v>2.6234970433504739E-2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4.1145540308207271E-13</v>
      </c>
      <c r="P186" s="13">
        <f t="shared" si="141"/>
        <v>5.2428527960910789E-12</v>
      </c>
      <c r="Q186" s="20">
        <f t="shared" si="162"/>
        <v>9.8479201135599071E-12</v>
      </c>
      <c r="R186" s="59">
        <f t="shared" si="109"/>
        <v>293.33333333334315</v>
      </c>
      <c r="S186" s="59">
        <f ca="1">AVERAGE(OFFSET($R$3,0,0,'Données projet'!$E$9+1,1))-AVERAGE(OFFSET($H$3,0,0,'Données projet'!$E$9+1,1))</f>
        <v>221.7429870520005</v>
      </c>
      <c r="T186" s="59">
        <f t="shared" si="142"/>
        <v>182.2029938397186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-5.1159076974727213E-13</v>
      </c>
      <c r="AJ186" s="13">
        <f>AI186*VLOOKUP('Données projet'!$B$10,Paramètres!$A$1:$I$89,3,0)*VLOOKUP('Données projet'!$B$10,Paramètres!$A$1:$I$89,5,0)</f>
        <v>-4.0702161641092972E-13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260.20517190557814</v>
      </c>
      <c r="AO186" s="59">
        <f t="shared" si="144"/>
        <v>307.22009971147133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0.15764662246862945</v>
      </c>
      <c r="AV186" s="21">
        <f>EXP(-LN(2)/25)*AV185+(1-EXP(-LN(2)/25))/(LN(2)/25)*Calculateur!AQ186*Calculateur!AS186*VLOOKUP('Données projet'!$B$10,Paramètres!$A$1:$I$89,3,0)*0.475*44/12</f>
        <v>0.29502945348573023</v>
      </c>
      <c r="AW186" s="21">
        <f>EXP(-LN(2)/2)*AW185+(1-EXP(-LN(2)/2))/(LN(2)/2)*AQ186*AT186*VLOOKUP('Données projet'!$B$10,Paramètres!$A$1:$I$89,3,0)*0.475*44/12</f>
        <v>2.2496882912096484E-22</v>
      </c>
      <c r="AX186" s="21">
        <f t="shared" si="166"/>
        <v>0.45267607595435966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553.99999999999955</v>
      </c>
      <c r="BE186" s="13">
        <f>BD186*VLOOKUP('Données projet'!$B$11,Paramètres!$A$1:$I$89,3,0)*VLOOKUP('Données projet'!$B$11,Paramètres!$A$1:$I$89,5,0)</f>
        <v>331.29199999999975</v>
      </c>
      <c r="BF186" s="13">
        <f t="shared" si="167"/>
        <v>77.698110787752</v>
      </c>
      <c r="BG186" s="20">
        <f t="shared" si="168"/>
        <v>712.32444295533423</v>
      </c>
      <c r="BH186" s="59">
        <f t="shared" si="116"/>
        <v>1005.6577762886675</v>
      </c>
      <c r="BI186" s="59">
        <f ca="1">AVERAGE(OFFSET($BH$3,0,0,'Données projet'!$E$11+1,1))-AVERAGE(OFFSET($H$3,0,0,'Données projet'!$E$11+1,1))</f>
        <v>316.58509520829671</v>
      </c>
      <c r="BJ186" s="59">
        <f t="shared" si="146"/>
        <v>240.71332110643596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0.1224529575826567</v>
      </c>
      <c r="BQ186" s="21">
        <f>EXP(-LN(2)/25)*BQ185+(1-EXP(-LN(2)/25))/(LN(2)/25)*Calculateur!BL186*Calculateur!BN186*VLOOKUP('Données projet'!$B$11,Paramètres!$A$1:$I$89,3,0)*0.475*44/12</f>
        <v>0.21952121279589948</v>
      </c>
      <c r="BR186" s="21">
        <f>EXP(-LN(2)/2)*BR185+(1-EXP(-LN(2)/2))/(LN(2)/2)*BL186*BO186*VLOOKUP('Données projet'!$B$11,Paramètres!$A$1:$I$89,3,0)*0.475*44/12</f>
        <v>2.0531891049685728E-22</v>
      </c>
      <c r="BS186" s="22">
        <f t="shared" si="169"/>
        <v>0.34197417037855615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497</v>
      </c>
      <c r="BZ186" s="13">
        <f>BY186*VLOOKUP('Données projet'!$B$12,Paramètres!$A$1:$I$89,3,0)*VLOOKUP('Données projet'!$B$12,Paramètres!$A$1:$I$89,5,0)</f>
        <v>297.20600000000002</v>
      </c>
      <c r="CA186" s="13">
        <f t="shared" si="170"/>
        <v>70.590415164571112</v>
      </c>
      <c r="CB186" s="20">
        <f t="shared" si="171"/>
        <v>640.57875641162809</v>
      </c>
      <c r="CC186" s="59">
        <f t="shared" si="119"/>
        <v>933.91208974496135</v>
      </c>
      <c r="CD186" s="59">
        <f ca="1">AVERAGE(OFFSET($CC$3,0,0,'Données projet'!$E$12+1,1))-AVERAGE(OFFSET($H$3,0,0,'Données projet'!$E$12+1,1))</f>
        <v>270.30888762640245</v>
      </c>
      <c r="CE186" s="59">
        <f t="shared" si="148"/>
        <v>202.23783851977691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0.10348137260506191</v>
      </c>
      <c r="CL186" s="21">
        <f>EXP(-LN(2)/25)*CL185+(1-EXP(-LN(2)/25))/(LN(2)/25)*Calculateur!CG186*Calculateur!CI186*VLOOKUP('Données projet'!$B$12,Paramètres!$A$1:$I$89,3,0)*0.475*44/12</f>
        <v>0.17677966753059343</v>
      </c>
      <c r="CM186" s="21">
        <f>EXP(-LN(2)/2)*CM185+(1-EXP(-LN(2)/2))/(LN(2)/2)*CG186*CJ186*VLOOKUP('Données projet'!$B$12,Paramètres!$A$1:$I$89,3,0)*0.475*44/12</f>
        <v>1.7306271364090281E-22</v>
      </c>
      <c r="CN186" s="22">
        <f t="shared" si="172"/>
        <v>0.28026104013565534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-5.1159076974727213E-13</v>
      </c>
      <c r="CU186" s="17">
        <f>CT186*VLOOKUP('Données projet'!$B$13,Paramètres!$A$1:$I$89,3,0)*VLOOKUP('Données projet'!$B$13,Paramètres!$A$1:$I$89,5,0)</f>
        <v>-3.4317508834647017E-13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207.93042467236967</v>
      </c>
      <c r="CZ186" s="59">
        <f t="shared" si="150"/>
        <v>250.70954318710835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0.13291774051276589</v>
      </c>
      <c r="DG186" s="21">
        <f>EXP(-LN(2)/25)*DG185+(1-EXP(-LN(2)/25))/(LN(2)/25)*Calculateur!DB186*Calculateur!DD186*VLOOKUP('Données projet'!$B$13,Paramètres!$A$1:$I$89,3,0)*0.475*44/12</f>
        <v>0.24875032352718468</v>
      </c>
      <c r="DH186" s="21">
        <f>EXP(-LN(2)/2)*DH185+(1-EXP(-LN(2)/2))/(LN(2)/2)*DB186*DE186*VLOOKUP('Données projet'!$B$13,Paramètres!$A$1:$I$89,3,0)*0.475*44/12</f>
        <v>1.8967960102355858E-22</v>
      </c>
      <c r="DI186" s="22">
        <f t="shared" si="175"/>
        <v>0.38166806403995057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5.6843418860808015E-14</v>
      </c>
      <c r="DP186" s="17">
        <f>DO186*VLOOKUP('Données projet'!$B$14,Paramètres!$A$1:$I$89,3,0)*VLOOKUP('Données projet'!$B$14,Paramètres!$A$1:$I$89,5,0)</f>
        <v>3.813056537183002E-14</v>
      </c>
      <c r="DQ186" s="13">
        <f t="shared" si="176"/>
        <v>6.4086286045526829E-13</v>
      </c>
      <c r="DR186" s="20">
        <f t="shared" si="177"/>
        <v>1.1825802166488628E-12</v>
      </c>
      <c r="DS186" s="59">
        <f t="shared" si="125"/>
        <v>293.33333333333451</v>
      </c>
      <c r="DT186" s="59">
        <f ca="1">AVERAGE(OFFSET($DS$3,0,0,'Données projet'!$E$14+1,1))-AVERAGE(OFFSET($H$3,0,0,'Données projet'!$E$14+1,1))</f>
        <v>156.63226020379989</v>
      </c>
      <c r="DU186" s="59">
        <f t="shared" si="152"/>
        <v>196.0481096619543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0.12465610362414681</v>
      </c>
      <c r="EC186" s="21">
        <f>EXP(-LN(2)/2)*EC185+(1-EXP(-LN(2)/2))/(LN(2)/2)*DW186*DZ186*VLOOKUP('Données projet'!$B$14,Paramètres!$A$1:$I$89,3,0)*0.475*44/12</f>
        <v>8.4913897994201067E-23</v>
      </c>
      <c r="ED186" s="22">
        <f t="shared" si="178"/>
        <v>0.12465610362414681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-5.6843418860808015E-13</v>
      </c>
      <c r="EK186" s="17">
        <f>EJ186*VLOOKUP('Données projet'!$B$15,Paramètres!$A$1:$I$89,3,0)*VLOOKUP('Données projet'!$B$15,Paramètres!$A$1:$I$89,5,0)</f>
        <v>-5.763922672485933E-13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190.21499310415584</v>
      </c>
      <c r="EP186" s="59">
        <f t="shared" si="154"/>
        <v>136.15730566500173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7.1054273576010019E-14</v>
      </c>
      <c r="FF186" s="17">
        <f>FE186*VLOOKUP('Données projet'!$B$16,Paramètres!$A$1:$I$89,3,0)*VLOOKUP('Données projet'!$B$16,Paramètres!$A$1:$I$89,5,0)</f>
        <v>8.1854523159563538E-14</v>
      </c>
      <c r="FG186" s="13">
        <f t="shared" si="182"/>
        <v>1.2586836169904262E-12</v>
      </c>
      <c r="FH186" s="20">
        <f t="shared" si="183"/>
        <v>2.3347705940945655E-12</v>
      </c>
      <c r="FI186" s="59">
        <f t="shared" si="131"/>
        <v>293.33333333333564</v>
      </c>
      <c r="FJ186" s="59">
        <f ca="1">AVERAGE(OFFSET($FI$3,0,0,'Données projet'!$E$16+1,1))-AVERAGE(OFFSET($H$3,0,0,'Données projet'!$E$16+1,1))</f>
        <v>14.847345852478327</v>
      </c>
      <c r="FK186" s="59">
        <f t="shared" si="156"/>
        <v>46.764428272166299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2.5517573787363419E-2</v>
      </c>
      <c r="FS186" s="21">
        <f>EXP(-LN(2)/2)*FS185+(1-EXP(-LN(2)/2))/(LN(2)/2)*FM186*FP186*VLOOKUP('Données projet'!$B$16,Paramètres!$A$1:$I$89,3,0)*0.475*44/12</f>
        <v>1.8464239516795774E-23</v>
      </c>
      <c r="FT186" s="22">
        <f t="shared" si="184"/>
        <v>2.5517573787363419E-2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4.1145540308207271E-13</v>
      </c>
      <c r="P187" s="13">
        <f t="shared" si="141"/>
        <v>5.2428527960910789E-12</v>
      </c>
      <c r="Q187" s="20">
        <f t="shared" si="162"/>
        <v>9.8479201135599071E-12</v>
      </c>
      <c r="R187" s="59">
        <f t="shared" si="109"/>
        <v>293.33333333334315</v>
      </c>
      <c r="S187" s="59">
        <f ca="1">AVERAGE(OFFSET($R$3,0,0,'Données projet'!$E$9+1,1))-AVERAGE(OFFSET($H$3,0,0,'Données projet'!$E$9+1,1))</f>
        <v>221.7429870520005</v>
      </c>
      <c r="T187" s="59">
        <f t="shared" si="142"/>
        <v>182.2029938397186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-5.1159076974727213E-13</v>
      </c>
      <c r="AJ187" s="13">
        <f>AI187*VLOOKUP('Données projet'!$B$10,Paramètres!$A$1:$I$89,3,0)*VLOOKUP('Données projet'!$B$10,Paramètres!$A$1:$I$89,5,0)</f>
        <v>-4.0702161641092972E-13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260.20517190557814</v>
      </c>
      <c r="AO187" s="59">
        <f t="shared" si="144"/>
        <v>307.22009971147133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0.15455526835696481</v>
      </c>
      <c r="AV187" s="21">
        <f>EXP(-LN(2)/25)*AV186+(1-EXP(-LN(2)/25))/(LN(2)/25)*Calculateur!AQ187*Calculateur!AS187*VLOOKUP('Données projet'!$B$10,Paramètres!$A$1:$I$89,3,0)*0.475*44/12</f>
        <v>0.28696185756523829</v>
      </c>
      <c r="AW187" s="21">
        <f>EXP(-LN(2)/2)*AW186+(1-EXP(-LN(2)/2))/(LN(2)/2)*AQ187*AT187*VLOOKUP('Données projet'!$B$10,Paramètres!$A$1:$I$89,3,0)*0.475*44/12</f>
        <v>1.5907698462703189E-22</v>
      </c>
      <c r="AX187" s="21">
        <f t="shared" si="166"/>
        <v>0.4415171259222031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553.99999999999955</v>
      </c>
      <c r="BE187" s="13">
        <f>BD187*VLOOKUP('Données projet'!$B$11,Paramètres!$A$1:$I$89,3,0)*VLOOKUP('Données projet'!$B$11,Paramètres!$A$1:$I$89,5,0)</f>
        <v>331.29199999999975</v>
      </c>
      <c r="BF187" s="13">
        <f t="shared" si="167"/>
        <v>77.698110787752</v>
      </c>
      <c r="BG187" s="20">
        <f t="shared" si="168"/>
        <v>712.32444295533423</v>
      </c>
      <c r="BH187" s="59">
        <f t="shared" si="116"/>
        <v>1005.6577762886675</v>
      </c>
      <c r="BI187" s="59">
        <f ca="1">AVERAGE(OFFSET($BH$3,0,0,'Données projet'!$E$11+1,1))-AVERAGE(OFFSET($H$3,0,0,'Données projet'!$E$11+1,1))</f>
        <v>316.58509520829671</v>
      </c>
      <c r="BJ187" s="59">
        <f t="shared" si="146"/>
        <v>240.71332110643596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0.12005172977339001</v>
      </c>
      <c r="BQ187" s="21">
        <f>EXP(-LN(2)/25)*BQ186+(1-EXP(-LN(2)/25))/(LN(2)/25)*Calculateur!BL187*Calculateur!BN187*VLOOKUP('Données projet'!$B$11,Paramètres!$A$1:$I$89,3,0)*0.475*44/12</f>
        <v>0.21351839368787676</v>
      </c>
      <c r="BR187" s="21">
        <f>EXP(-LN(2)/2)*BR186+(1-EXP(-LN(2)/2))/(LN(2)/2)*BL187*BO187*VLOOKUP('Données projet'!$B$11,Paramètres!$A$1:$I$89,3,0)*0.475*44/12</f>
        <v>1.4518239391816159E-22</v>
      </c>
      <c r="BS187" s="22">
        <f t="shared" si="169"/>
        <v>0.3335701234612668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497</v>
      </c>
      <c r="BZ187" s="13">
        <f>BY187*VLOOKUP('Données projet'!$B$12,Paramètres!$A$1:$I$89,3,0)*VLOOKUP('Données projet'!$B$12,Paramètres!$A$1:$I$89,5,0)</f>
        <v>297.20600000000002</v>
      </c>
      <c r="CA187" s="13">
        <f t="shared" si="170"/>
        <v>70.590415164571112</v>
      </c>
      <c r="CB187" s="20">
        <f t="shared" si="171"/>
        <v>640.57875641162809</v>
      </c>
      <c r="CC187" s="59">
        <f t="shared" si="119"/>
        <v>933.91208974496135</v>
      </c>
      <c r="CD187" s="59">
        <f ca="1">AVERAGE(OFFSET($CC$3,0,0,'Données projet'!$E$12+1,1))-AVERAGE(OFFSET($H$3,0,0,'Données projet'!$E$12+1,1))</f>
        <v>270.30888762640245</v>
      </c>
      <c r="CE187" s="59">
        <f t="shared" si="148"/>
        <v>202.23783851977691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0.1014521660056816</v>
      </c>
      <c r="CL187" s="21">
        <f>EXP(-LN(2)/25)*CL186+(1-EXP(-LN(2)/25))/(LN(2)/25)*Calculateur!CG187*Calculateur!CI187*VLOOKUP('Données projet'!$B$12,Paramètres!$A$1:$I$89,3,0)*0.475*44/12</f>
        <v>0.17194561822553067</v>
      </c>
      <c r="CM187" s="21">
        <f>EXP(-LN(2)/2)*CM186+(1-EXP(-LN(2)/2))/(LN(2)/2)*CG187*CJ187*VLOOKUP('Données projet'!$B$12,Paramètres!$A$1:$I$89,3,0)*0.475*44/12</f>
        <v>1.22373818386028E-22</v>
      </c>
      <c r="CN187" s="22">
        <f t="shared" si="172"/>
        <v>0.2733977842312123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-5.1159076974727213E-13</v>
      </c>
      <c r="CU187" s="17">
        <f>CT187*VLOOKUP('Données projet'!$B$13,Paramètres!$A$1:$I$89,3,0)*VLOOKUP('Données projet'!$B$13,Paramètres!$A$1:$I$89,5,0)</f>
        <v>-3.4317508834647017E-13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207.93042467236967</v>
      </c>
      <c r="CZ187" s="59">
        <f t="shared" si="150"/>
        <v>250.70954318710835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0.1303113046931271</v>
      </c>
      <c r="DG187" s="21">
        <f>EXP(-LN(2)/25)*DG186+(1-EXP(-LN(2)/25))/(LN(2)/25)*Calculateur!DB187*Calculateur!DD187*VLOOKUP('Données projet'!$B$13,Paramètres!$A$1:$I$89,3,0)*0.475*44/12</f>
        <v>0.24194823284912284</v>
      </c>
      <c r="DH187" s="21">
        <f>EXP(-LN(2)/2)*DH186+(1-EXP(-LN(2)/2))/(LN(2)/2)*DB187*DE187*VLOOKUP('Données projet'!$B$13,Paramètres!$A$1:$I$89,3,0)*0.475*44/12</f>
        <v>1.3412373213651707E-22</v>
      </c>
      <c r="DI187" s="22">
        <f t="shared" si="175"/>
        <v>0.37225953754224994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5.6843418860808015E-14</v>
      </c>
      <c r="DP187" s="17">
        <f>DO187*VLOOKUP('Données projet'!$B$14,Paramètres!$A$1:$I$89,3,0)*VLOOKUP('Données projet'!$B$14,Paramètres!$A$1:$I$89,5,0)</f>
        <v>3.813056537183002E-14</v>
      </c>
      <c r="DQ187" s="13">
        <f t="shared" si="176"/>
        <v>6.4086286045526829E-13</v>
      </c>
      <c r="DR187" s="20">
        <f t="shared" si="177"/>
        <v>1.1825802166488628E-12</v>
      </c>
      <c r="DS187" s="59">
        <f t="shared" si="125"/>
        <v>293.33333333333451</v>
      </c>
      <c r="DT187" s="59">
        <f ca="1">AVERAGE(OFFSET($DS$3,0,0,'Données projet'!$E$14+1,1))-AVERAGE(OFFSET($H$3,0,0,'Données projet'!$E$14+1,1))</f>
        <v>156.63226020379989</v>
      </c>
      <c r="DU187" s="59">
        <f t="shared" si="152"/>
        <v>196.0481096619543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0.12124737591516493</v>
      </c>
      <c r="EC187" s="21">
        <f>EXP(-LN(2)/2)*EC186+(1-EXP(-LN(2)/2))/(LN(2)/2)*DW187*DZ187*VLOOKUP('Données projet'!$B$14,Paramètres!$A$1:$I$89,3,0)*0.475*44/12</f>
        <v>6.004319308868235E-23</v>
      </c>
      <c r="ED187" s="22">
        <f t="shared" si="178"/>
        <v>0.12124737591516493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-5.6843418860808015E-13</v>
      </c>
      <c r="EK187" s="17">
        <f>EJ187*VLOOKUP('Données projet'!$B$15,Paramètres!$A$1:$I$89,3,0)*VLOOKUP('Données projet'!$B$15,Paramètres!$A$1:$I$89,5,0)</f>
        <v>-5.763922672485933E-13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190.21499310415584</v>
      </c>
      <c r="EP187" s="59">
        <f t="shared" si="154"/>
        <v>136.15730566500173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7.1054273576010019E-14</v>
      </c>
      <c r="FF187" s="17">
        <f>FE187*VLOOKUP('Données projet'!$B$16,Paramètres!$A$1:$I$89,3,0)*VLOOKUP('Données projet'!$B$16,Paramètres!$A$1:$I$89,5,0)</f>
        <v>8.1854523159563538E-14</v>
      </c>
      <c r="FG187" s="13">
        <f t="shared" si="182"/>
        <v>1.2586836169904262E-12</v>
      </c>
      <c r="FH187" s="20">
        <f t="shared" si="183"/>
        <v>2.3347705940945655E-12</v>
      </c>
      <c r="FI187" s="59">
        <f t="shared" si="131"/>
        <v>293.33333333333564</v>
      </c>
      <c r="FJ187" s="59">
        <f ca="1">AVERAGE(OFFSET($FI$3,0,0,'Données projet'!$E$16+1,1))-AVERAGE(OFFSET($H$3,0,0,'Données projet'!$E$16+1,1))</f>
        <v>14.847345852478327</v>
      </c>
      <c r="FK187" s="59">
        <f t="shared" si="156"/>
        <v>46.764428272166299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2.4819794390237081E-2</v>
      </c>
      <c r="FS187" s="21">
        <f>EXP(-LN(2)/2)*FS186+(1-EXP(-LN(2)/2))/(LN(2)/2)*FM187*FP187*VLOOKUP('Données projet'!$B$16,Paramètres!$A$1:$I$89,3,0)*0.475*44/12</f>
        <v>1.3056188971778913E-23</v>
      </c>
      <c r="FT187" s="22">
        <f t="shared" si="184"/>
        <v>2.4819794390237081E-2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4.1145540308207271E-13</v>
      </c>
      <c r="P188" s="13">
        <f t="shared" si="141"/>
        <v>5.2428527960910789E-12</v>
      </c>
      <c r="Q188" s="20">
        <f t="shared" si="162"/>
        <v>9.8479201135599071E-12</v>
      </c>
      <c r="R188" s="59">
        <f t="shared" si="109"/>
        <v>293.33333333334315</v>
      </c>
      <c r="S188" s="59">
        <f ca="1">AVERAGE(OFFSET($R$3,0,0,'Données projet'!$E$9+1,1))-AVERAGE(OFFSET($H$3,0,0,'Données projet'!$E$9+1,1))</f>
        <v>221.7429870520005</v>
      </c>
      <c r="T188" s="59">
        <f t="shared" si="142"/>
        <v>182.2029938397186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-5.1159076974727213E-13</v>
      </c>
      <c r="AJ188" s="13">
        <f>AI188*VLOOKUP('Données projet'!$B$10,Paramètres!$A$1:$I$89,3,0)*VLOOKUP('Données projet'!$B$10,Paramètres!$A$1:$I$89,5,0)</f>
        <v>-4.0702161641092972E-13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260.20517190557814</v>
      </c>
      <c r="AO188" s="59">
        <f t="shared" si="144"/>
        <v>307.22009971147133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0.15152453381389011</v>
      </c>
      <c r="AV188" s="21">
        <f>EXP(-LN(2)/25)*AV187+(1-EXP(-LN(2)/25))/(LN(2)/25)*Calculateur!AQ188*Calculateur!AS188*VLOOKUP('Données projet'!$B$10,Paramètres!$A$1:$I$89,3,0)*0.475*44/12</f>
        <v>0.27911487047944861</v>
      </c>
      <c r="AW188" s="21">
        <f>EXP(-LN(2)/2)*AW187+(1-EXP(-LN(2)/2))/(LN(2)/2)*AQ188*AT188*VLOOKUP('Données projet'!$B$10,Paramètres!$A$1:$I$89,3,0)*0.475*44/12</f>
        <v>1.1248441456048242E-22</v>
      </c>
      <c r="AX188" s="21">
        <f t="shared" si="166"/>
        <v>0.43063940429333869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553.99999999999955</v>
      </c>
      <c r="BE188" s="13">
        <f>BD188*VLOOKUP('Données projet'!$B$11,Paramètres!$A$1:$I$89,3,0)*VLOOKUP('Données projet'!$B$11,Paramètres!$A$1:$I$89,5,0)</f>
        <v>331.29199999999975</v>
      </c>
      <c r="BF188" s="13">
        <f t="shared" si="167"/>
        <v>77.698110787752</v>
      </c>
      <c r="BG188" s="20">
        <f t="shared" si="168"/>
        <v>712.32444295533423</v>
      </c>
      <c r="BH188" s="59">
        <f t="shared" si="116"/>
        <v>1005.6577762886675</v>
      </c>
      <c r="BI188" s="59">
        <f ca="1">AVERAGE(OFFSET($BH$3,0,0,'Données projet'!$E$11+1,1))-AVERAGE(OFFSET($H$3,0,0,'Données projet'!$E$11+1,1))</f>
        <v>316.58509520829671</v>
      </c>
      <c r="BJ188" s="59">
        <f t="shared" si="146"/>
        <v>240.71332110643596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0.11769758857685869</v>
      </c>
      <c r="BQ188" s="21">
        <f>EXP(-LN(2)/25)*BQ187+(1-EXP(-LN(2)/25))/(LN(2)/25)*Calculateur!BL188*Calculateur!BN188*VLOOKUP('Données projet'!$B$11,Paramètres!$A$1:$I$89,3,0)*0.475*44/12</f>
        <v>0.20767972198403745</v>
      </c>
      <c r="BR188" s="21">
        <f>EXP(-LN(2)/2)*BR187+(1-EXP(-LN(2)/2))/(LN(2)/2)*BL188*BO188*VLOOKUP('Données projet'!$B$11,Paramètres!$A$1:$I$89,3,0)*0.475*44/12</f>
        <v>1.0265945524842864E-22</v>
      </c>
      <c r="BS188" s="22">
        <f t="shared" si="169"/>
        <v>0.32537731056089614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497</v>
      </c>
      <c r="BZ188" s="13">
        <f>BY188*VLOOKUP('Données projet'!$B$12,Paramètres!$A$1:$I$89,3,0)*VLOOKUP('Données projet'!$B$12,Paramètres!$A$1:$I$89,5,0)</f>
        <v>297.20600000000002</v>
      </c>
      <c r="CA188" s="13">
        <f t="shared" si="170"/>
        <v>70.590415164571112</v>
      </c>
      <c r="CB188" s="20">
        <f t="shared" si="171"/>
        <v>640.57875641162809</v>
      </c>
      <c r="CC188" s="59">
        <f t="shared" si="119"/>
        <v>933.91208974496135</v>
      </c>
      <c r="CD188" s="59">
        <f ca="1">AVERAGE(OFFSET($CC$3,0,0,'Données projet'!$E$12+1,1))-AVERAGE(OFFSET($H$3,0,0,'Données projet'!$E$12+1,1))</f>
        <v>270.30888762640245</v>
      </c>
      <c r="CE188" s="59">
        <f t="shared" si="148"/>
        <v>202.23783851977691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9.9462750910021339E-2</v>
      </c>
      <c r="CL188" s="21">
        <f>EXP(-LN(2)/25)*CL187+(1-EXP(-LN(2)/25))/(LN(2)/25)*Calculateur!CG188*Calculateur!CI188*VLOOKUP('Données projet'!$B$12,Paramètres!$A$1:$I$89,3,0)*0.475*44/12</f>
        <v>0.16724375625292645</v>
      </c>
      <c r="CM188" s="21">
        <f>EXP(-LN(2)/2)*CM187+(1-EXP(-LN(2)/2))/(LN(2)/2)*CG188*CJ188*VLOOKUP('Données projet'!$B$12,Paramètres!$A$1:$I$89,3,0)*0.475*44/12</f>
        <v>8.6531356820451405E-23</v>
      </c>
      <c r="CN188" s="22">
        <f t="shared" si="172"/>
        <v>0.2667065071629478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-5.1159076974727213E-13</v>
      </c>
      <c r="CU188" s="17">
        <f>CT188*VLOOKUP('Données projet'!$B$13,Paramètres!$A$1:$I$89,3,0)*VLOOKUP('Données projet'!$B$13,Paramètres!$A$1:$I$89,5,0)</f>
        <v>-3.4317508834647017E-13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207.93042467236967</v>
      </c>
      <c r="CZ188" s="59">
        <f t="shared" si="150"/>
        <v>250.70954318710835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0.12775597949014253</v>
      </c>
      <c r="DG188" s="21">
        <f>EXP(-LN(2)/25)*DG187+(1-EXP(-LN(2)/25))/(LN(2)/25)*Calculateur!DB188*Calculateur!DD188*VLOOKUP('Données projet'!$B$13,Paramètres!$A$1:$I$89,3,0)*0.475*44/12</f>
        <v>0.235332145698359</v>
      </c>
      <c r="DH188" s="21">
        <f>EXP(-LN(2)/2)*DH187+(1-EXP(-LN(2)/2))/(LN(2)/2)*DB188*DE188*VLOOKUP('Données projet'!$B$13,Paramètres!$A$1:$I$89,3,0)*0.475*44/12</f>
        <v>9.4839800511779291E-23</v>
      </c>
      <c r="DI188" s="22">
        <f t="shared" si="175"/>
        <v>0.36308812518850153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5.6843418860808015E-14</v>
      </c>
      <c r="DP188" s="17">
        <f>DO188*VLOOKUP('Données projet'!$B$14,Paramètres!$A$1:$I$89,3,0)*VLOOKUP('Données projet'!$B$14,Paramètres!$A$1:$I$89,5,0)</f>
        <v>3.813056537183002E-14</v>
      </c>
      <c r="DQ188" s="13">
        <f t="shared" si="176"/>
        <v>6.4086286045526829E-13</v>
      </c>
      <c r="DR188" s="20">
        <f t="shared" si="177"/>
        <v>1.1825802166488628E-12</v>
      </c>
      <c r="DS188" s="59">
        <f t="shared" si="125"/>
        <v>293.33333333333451</v>
      </c>
      <c r="DT188" s="59">
        <f ca="1">AVERAGE(OFFSET($DS$3,0,0,'Données projet'!$E$14+1,1))-AVERAGE(OFFSET($H$3,0,0,'Données projet'!$E$14+1,1))</f>
        <v>156.63226020379989</v>
      </c>
      <c r="DU188" s="59">
        <f t="shared" si="152"/>
        <v>196.0481096619543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0.11793186004464236</v>
      </c>
      <c r="EC188" s="21">
        <f>EXP(-LN(2)/2)*EC187+(1-EXP(-LN(2)/2))/(LN(2)/2)*DW188*DZ188*VLOOKUP('Données projet'!$B$14,Paramètres!$A$1:$I$89,3,0)*0.475*44/12</f>
        <v>4.2456948997100533E-23</v>
      </c>
      <c r="ED188" s="22">
        <f t="shared" si="178"/>
        <v>0.11793186004464236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-5.6843418860808015E-13</v>
      </c>
      <c r="EK188" s="17">
        <f>EJ188*VLOOKUP('Données projet'!$B$15,Paramètres!$A$1:$I$89,3,0)*VLOOKUP('Données projet'!$B$15,Paramètres!$A$1:$I$89,5,0)</f>
        <v>-5.763922672485933E-13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190.21499310415584</v>
      </c>
      <c r="EP188" s="59">
        <f t="shared" si="154"/>
        <v>136.15730566500173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7.1054273576010019E-14</v>
      </c>
      <c r="FF188" s="17">
        <f>FE188*VLOOKUP('Données projet'!$B$16,Paramètres!$A$1:$I$89,3,0)*VLOOKUP('Données projet'!$B$16,Paramètres!$A$1:$I$89,5,0)</f>
        <v>8.1854523159563538E-14</v>
      </c>
      <c r="FG188" s="13">
        <f t="shared" si="182"/>
        <v>1.2586836169904262E-12</v>
      </c>
      <c r="FH188" s="20">
        <f t="shared" si="183"/>
        <v>2.3347705940945655E-12</v>
      </c>
      <c r="FI188" s="59">
        <f t="shared" si="131"/>
        <v>293.33333333333564</v>
      </c>
      <c r="FJ188" s="59">
        <f ca="1">AVERAGE(OFFSET($FI$3,0,0,'Données projet'!$E$16+1,1))-AVERAGE(OFFSET($H$3,0,0,'Données projet'!$E$16+1,1))</f>
        <v>14.847345852478327</v>
      </c>
      <c r="FK188" s="59">
        <f t="shared" si="156"/>
        <v>46.764428272166299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2.4141095807419789E-2</v>
      </c>
      <c r="FS188" s="21">
        <f>EXP(-LN(2)/2)*FS187+(1-EXP(-LN(2)/2))/(LN(2)/2)*FM188*FP188*VLOOKUP('Données projet'!$B$16,Paramètres!$A$1:$I$89,3,0)*0.475*44/12</f>
        <v>9.2321197583978883E-24</v>
      </c>
      <c r="FT188" s="22">
        <f t="shared" si="184"/>
        <v>2.4141095807419789E-2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4.1145540308207271E-13</v>
      </c>
      <c r="P189" s="13">
        <f t="shared" si="141"/>
        <v>5.2428527960910789E-12</v>
      </c>
      <c r="Q189" s="20">
        <f t="shared" si="162"/>
        <v>9.8479201135599071E-12</v>
      </c>
      <c r="R189" s="59">
        <f t="shared" si="109"/>
        <v>293.33333333334315</v>
      </c>
      <c r="S189" s="59">
        <f ca="1">AVERAGE(OFFSET($R$3,0,0,'Données projet'!$E$9+1,1))-AVERAGE(OFFSET($H$3,0,0,'Données projet'!$E$9+1,1))</f>
        <v>221.7429870520005</v>
      </c>
      <c r="T189" s="59">
        <f t="shared" si="142"/>
        <v>182.2029938397186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-5.1159076974727213E-13</v>
      </c>
      <c r="AJ189" s="13">
        <f>AI189*VLOOKUP('Données projet'!$B$10,Paramètres!$A$1:$I$89,3,0)*VLOOKUP('Données projet'!$B$10,Paramètres!$A$1:$I$89,5,0)</f>
        <v>-4.0702161641092972E-13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260.20517190557814</v>
      </c>
      <c r="AO189" s="59">
        <f t="shared" si="144"/>
        <v>307.22009971147133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0.14855323012663954</v>
      </c>
      <c r="AV189" s="21">
        <f>EXP(-LN(2)/25)*AV188+(1-EXP(-LN(2)/25))/(LN(2)/25)*Calculateur!AQ189*Calculateur!AS189*VLOOKUP('Données projet'!$B$10,Paramètres!$A$1:$I$89,3,0)*0.475*44/12</f>
        <v>0.27148245966817497</v>
      </c>
      <c r="AW189" s="21">
        <f>EXP(-LN(2)/2)*AW188+(1-EXP(-LN(2)/2))/(LN(2)/2)*AQ189*AT189*VLOOKUP('Données projet'!$B$10,Paramètres!$A$1:$I$89,3,0)*0.475*44/12</f>
        <v>7.9538492313515944E-23</v>
      </c>
      <c r="AX189" s="21">
        <f t="shared" si="166"/>
        <v>0.42003568979481454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553.99999999999955</v>
      </c>
      <c r="BE189" s="13">
        <f>BD189*VLOOKUP('Données projet'!$B$11,Paramètres!$A$1:$I$89,3,0)*VLOOKUP('Données projet'!$B$11,Paramètres!$A$1:$I$89,5,0)</f>
        <v>331.29199999999975</v>
      </c>
      <c r="BF189" s="13">
        <f t="shared" si="167"/>
        <v>77.698110787752</v>
      </c>
      <c r="BG189" s="20">
        <f t="shared" si="168"/>
        <v>712.32444295533423</v>
      </c>
      <c r="BH189" s="59">
        <f t="shared" si="116"/>
        <v>1005.6577762886675</v>
      </c>
      <c r="BI189" s="59">
        <f ca="1">AVERAGE(OFFSET($BH$3,0,0,'Données projet'!$E$11+1,1))-AVERAGE(OFFSET($H$3,0,0,'Données projet'!$E$11+1,1))</f>
        <v>316.58509520829671</v>
      </c>
      <c r="BJ189" s="59">
        <f t="shared" si="146"/>
        <v>240.71332110643596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0.11538961065330701</v>
      </c>
      <c r="BQ189" s="21">
        <f>EXP(-LN(2)/25)*BQ188+(1-EXP(-LN(2)/25))/(LN(2)/25)*Calculateur!BL189*Calculateur!BN189*VLOOKUP('Données projet'!$B$11,Paramètres!$A$1:$I$89,3,0)*0.475*44/12</f>
        <v>0.20200070906498202</v>
      </c>
      <c r="BR189" s="21">
        <f>EXP(-LN(2)/2)*BR188+(1-EXP(-LN(2)/2))/(LN(2)/2)*BL189*BO189*VLOOKUP('Données projet'!$B$11,Paramètres!$A$1:$I$89,3,0)*0.475*44/12</f>
        <v>7.2591196959080796E-23</v>
      </c>
      <c r="BS189" s="22">
        <f t="shared" si="169"/>
        <v>0.31739031971828902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497</v>
      </c>
      <c r="BZ189" s="13">
        <f>BY189*VLOOKUP('Données projet'!$B$12,Paramètres!$A$1:$I$89,3,0)*VLOOKUP('Données projet'!$B$12,Paramètres!$A$1:$I$89,5,0)</f>
        <v>297.20600000000002</v>
      </c>
      <c r="CA189" s="13">
        <f t="shared" si="170"/>
        <v>70.590415164571112</v>
      </c>
      <c r="CB189" s="20">
        <f t="shared" si="171"/>
        <v>640.57875641162809</v>
      </c>
      <c r="CC189" s="59">
        <f t="shared" si="119"/>
        <v>933.91208974496135</v>
      </c>
      <c r="CD189" s="59">
        <f ca="1">AVERAGE(OFFSET($CC$3,0,0,'Données projet'!$E$12+1,1))-AVERAGE(OFFSET($H$3,0,0,'Données projet'!$E$12+1,1))</f>
        <v>270.30888762640245</v>
      </c>
      <c r="CE189" s="59">
        <f t="shared" si="148"/>
        <v>202.23783851977691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9.7512347030963578E-2</v>
      </c>
      <c r="CL189" s="21">
        <f>EXP(-LN(2)/25)*CL188+(1-EXP(-LN(2)/25))/(LN(2)/25)*Calculateur!CG189*Calculateur!CI189*VLOOKUP('Données projet'!$B$12,Paramètres!$A$1:$I$89,3,0)*0.475*44/12</f>
        <v>0.16267046694322326</v>
      </c>
      <c r="CM189" s="21">
        <f>EXP(-LN(2)/2)*CM188+(1-EXP(-LN(2)/2))/(LN(2)/2)*CG189*CJ189*VLOOKUP('Données projet'!$B$12,Paramètres!$A$1:$I$89,3,0)*0.475*44/12</f>
        <v>6.1186909193013998E-23</v>
      </c>
      <c r="CN189" s="22">
        <f t="shared" si="172"/>
        <v>0.26018281397418686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-5.1159076974727213E-13</v>
      </c>
      <c r="CU189" s="17">
        <f>CT189*VLOOKUP('Données projet'!$B$13,Paramètres!$A$1:$I$89,3,0)*VLOOKUP('Données projet'!$B$13,Paramètres!$A$1:$I$89,5,0)</f>
        <v>-3.4317508834647017E-13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207.93042467236967</v>
      </c>
      <c r="CZ189" s="59">
        <f t="shared" si="150"/>
        <v>250.70954318710835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0.12525076265579402</v>
      </c>
      <c r="DG189" s="21">
        <f>EXP(-LN(2)/25)*DG188+(1-EXP(-LN(2)/25))/(LN(2)/25)*Calculateur!DB189*Calculateur!DD189*VLOOKUP('Données projet'!$B$13,Paramètres!$A$1:$I$89,3,0)*0.475*44/12</f>
        <v>0.2288969757986577</v>
      </c>
      <c r="DH189" s="21">
        <f>EXP(-LN(2)/2)*DH188+(1-EXP(-LN(2)/2))/(LN(2)/2)*DB189*DE189*VLOOKUP('Données projet'!$B$13,Paramètres!$A$1:$I$89,3,0)*0.475*44/12</f>
        <v>6.7061866068258536E-23</v>
      </c>
      <c r="DI189" s="22">
        <f t="shared" si="175"/>
        <v>0.35414773845445169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5.6843418860808015E-14</v>
      </c>
      <c r="DP189" s="17">
        <f>DO189*VLOOKUP('Données projet'!$B$14,Paramètres!$A$1:$I$89,3,0)*VLOOKUP('Données projet'!$B$14,Paramètres!$A$1:$I$89,5,0)</f>
        <v>3.813056537183002E-14</v>
      </c>
      <c r="DQ189" s="13">
        <f t="shared" si="176"/>
        <v>6.4086286045526829E-13</v>
      </c>
      <c r="DR189" s="20">
        <f t="shared" si="177"/>
        <v>1.1825802166488628E-12</v>
      </c>
      <c r="DS189" s="59">
        <f t="shared" si="125"/>
        <v>293.33333333333451</v>
      </c>
      <c r="DT189" s="59">
        <f ca="1">AVERAGE(OFFSET($DS$3,0,0,'Données projet'!$E$14+1,1))-AVERAGE(OFFSET($H$3,0,0,'Données projet'!$E$14+1,1))</f>
        <v>156.63226020379989</v>
      </c>
      <c r="DU189" s="59">
        <f t="shared" si="152"/>
        <v>196.0481096619543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0.11470700712995463</v>
      </c>
      <c r="EC189" s="21">
        <f>EXP(-LN(2)/2)*EC188+(1-EXP(-LN(2)/2))/(LN(2)/2)*DW189*DZ189*VLOOKUP('Données projet'!$B$14,Paramètres!$A$1:$I$89,3,0)*0.475*44/12</f>
        <v>3.0021596544341175E-23</v>
      </c>
      <c r="ED189" s="22">
        <f t="shared" si="178"/>
        <v>0.11470700712995463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-5.6843418860808015E-13</v>
      </c>
      <c r="EK189" s="17">
        <f>EJ189*VLOOKUP('Données projet'!$B$15,Paramètres!$A$1:$I$89,3,0)*VLOOKUP('Données projet'!$B$15,Paramètres!$A$1:$I$89,5,0)</f>
        <v>-5.763922672485933E-13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190.21499310415584</v>
      </c>
      <c r="EP189" s="59">
        <f t="shared" si="154"/>
        <v>136.15730566500173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7.1054273576010019E-14</v>
      </c>
      <c r="FF189" s="17">
        <f>FE189*VLOOKUP('Données projet'!$B$16,Paramètres!$A$1:$I$89,3,0)*VLOOKUP('Données projet'!$B$16,Paramètres!$A$1:$I$89,5,0)</f>
        <v>8.1854523159563538E-14</v>
      </c>
      <c r="FG189" s="13">
        <f t="shared" si="182"/>
        <v>1.2586836169904262E-12</v>
      </c>
      <c r="FH189" s="20">
        <f t="shared" si="183"/>
        <v>2.3347705940945655E-12</v>
      </c>
      <c r="FI189" s="59">
        <f t="shared" si="131"/>
        <v>293.33333333333564</v>
      </c>
      <c r="FJ189" s="59">
        <f ca="1">AVERAGE(OFFSET($FI$3,0,0,'Données projet'!$E$16+1,1))-AVERAGE(OFFSET($H$3,0,0,'Données projet'!$E$16+1,1))</f>
        <v>14.847345852478327</v>
      </c>
      <c r="FK189" s="59">
        <f t="shared" si="156"/>
        <v>46.764428272166299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2.3480956273040841E-2</v>
      </c>
      <c r="FS189" s="21">
        <f>EXP(-LN(2)/2)*FS188+(1-EXP(-LN(2)/2))/(LN(2)/2)*FM189*FP189*VLOOKUP('Données projet'!$B$16,Paramètres!$A$1:$I$89,3,0)*0.475*44/12</f>
        <v>6.5280944858894582E-24</v>
      </c>
      <c r="FT189" s="22">
        <f t="shared" si="184"/>
        <v>2.3480956273040841E-2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4.1145540308207271E-13</v>
      </c>
      <c r="P190" s="13">
        <f t="shared" si="141"/>
        <v>5.2428527960910789E-12</v>
      </c>
      <c r="Q190" s="20">
        <f t="shared" si="162"/>
        <v>9.8479201135599071E-12</v>
      </c>
      <c r="R190" s="59">
        <f t="shared" si="109"/>
        <v>293.33333333334315</v>
      </c>
      <c r="S190" s="59">
        <f ca="1">AVERAGE(OFFSET($R$3,0,0,'Données projet'!$E$9+1,1))-AVERAGE(OFFSET($H$3,0,0,'Données projet'!$E$9+1,1))</f>
        <v>221.7429870520005</v>
      </c>
      <c r="T190" s="59">
        <f t="shared" si="142"/>
        <v>182.2029938397186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-5.1159076974727213E-13</v>
      </c>
      <c r="AJ190" s="13">
        <f>AI190*VLOOKUP('Données projet'!$B$10,Paramètres!$A$1:$I$89,3,0)*VLOOKUP('Données projet'!$B$10,Paramètres!$A$1:$I$89,5,0)</f>
        <v>-4.0702161641092972E-13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260.20517190557814</v>
      </c>
      <c r="AO190" s="59">
        <f t="shared" si="144"/>
        <v>307.22009971147133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0.14564019189237967</v>
      </c>
      <c r="AV190" s="21">
        <f>EXP(-LN(2)/25)*AV189+(1-EXP(-LN(2)/25))/(LN(2)/25)*Calculateur!AQ190*Calculateur!AS190*VLOOKUP('Données projet'!$B$10,Paramètres!$A$1:$I$89,3,0)*0.475*44/12</f>
        <v>0.26405875753190666</v>
      </c>
      <c r="AW190" s="21">
        <f>EXP(-LN(2)/2)*AW189+(1-EXP(-LN(2)/2))/(LN(2)/2)*AQ190*AT190*VLOOKUP('Données projet'!$B$10,Paramètres!$A$1:$I$89,3,0)*0.475*44/12</f>
        <v>5.624220728024121E-23</v>
      </c>
      <c r="AX190" s="21">
        <f t="shared" si="166"/>
        <v>0.40969894942428631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553.99999999999955</v>
      </c>
      <c r="BE190" s="13">
        <f>BD190*VLOOKUP('Données projet'!$B$11,Paramètres!$A$1:$I$89,3,0)*VLOOKUP('Données projet'!$B$11,Paramètres!$A$1:$I$89,5,0)</f>
        <v>331.29199999999975</v>
      </c>
      <c r="BF190" s="13">
        <f t="shared" si="167"/>
        <v>77.698110787752</v>
      </c>
      <c r="BG190" s="20">
        <f t="shared" si="168"/>
        <v>712.32444295533423</v>
      </c>
      <c r="BH190" s="59">
        <f t="shared" si="116"/>
        <v>1005.6577762886675</v>
      </c>
      <c r="BI190" s="59">
        <f ca="1">AVERAGE(OFFSET($BH$3,0,0,'Données projet'!$E$11+1,1))-AVERAGE(OFFSET($H$3,0,0,'Données projet'!$E$11+1,1))</f>
        <v>316.58509520829671</v>
      </c>
      <c r="BJ190" s="59">
        <f t="shared" si="146"/>
        <v>240.71332110643596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0.11312689076910865</v>
      </c>
      <c r="BQ190" s="21">
        <f>EXP(-LN(2)/25)*BQ189+(1-EXP(-LN(2)/25))/(LN(2)/25)*Calculateur!BL190*Calculateur!BN190*VLOOKUP('Données projet'!$B$11,Paramètres!$A$1:$I$89,3,0)*0.475*44/12</f>
        <v>0.19647698905284447</v>
      </c>
      <c r="BR190" s="21">
        <f>EXP(-LN(2)/2)*BR189+(1-EXP(-LN(2)/2))/(LN(2)/2)*BL190*BO190*VLOOKUP('Données projet'!$B$11,Paramètres!$A$1:$I$89,3,0)*0.475*44/12</f>
        <v>5.1329727624214319E-23</v>
      </c>
      <c r="BS190" s="22">
        <f t="shared" si="169"/>
        <v>0.30960387982195314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497</v>
      </c>
      <c r="BZ190" s="13">
        <f>BY190*VLOOKUP('Données projet'!$B$12,Paramètres!$A$1:$I$89,3,0)*VLOOKUP('Données projet'!$B$12,Paramètres!$A$1:$I$89,5,0)</f>
        <v>297.20600000000002</v>
      </c>
      <c r="CA190" s="13">
        <f t="shared" si="170"/>
        <v>70.590415164571112</v>
      </c>
      <c r="CB190" s="20">
        <f t="shared" si="171"/>
        <v>640.57875641162809</v>
      </c>
      <c r="CC190" s="59">
        <f t="shared" si="119"/>
        <v>933.91208974496135</v>
      </c>
      <c r="CD190" s="59">
        <f ca="1">AVERAGE(OFFSET($CC$3,0,0,'Données projet'!$E$12+1,1))-AVERAGE(OFFSET($H$3,0,0,'Données projet'!$E$12+1,1))</f>
        <v>270.30888762640245</v>
      </c>
      <c r="CE190" s="59">
        <f t="shared" si="148"/>
        <v>202.23783851977691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9.5600189382345241E-2</v>
      </c>
      <c r="CL190" s="21">
        <f>EXP(-LN(2)/25)*CL189+(1-EXP(-LN(2)/25))/(LN(2)/25)*Calculateur!CG190*Calculateur!CI190*VLOOKUP('Données projet'!$B$12,Paramètres!$A$1:$I$89,3,0)*0.475*44/12</f>
        <v>0.15822223447019276</v>
      </c>
      <c r="CM190" s="21">
        <f>EXP(-LN(2)/2)*CM189+(1-EXP(-LN(2)/2))/(LN(2)/2)*CG190*CJ190*VLOOKUP('Données projet'!$B$12,Paramètres!$A$1:$I$89,3,0)*0.475*44/12</f>
        <v>4.3265678410225702E-23</v>
      </c>
      <c r="CN190" s="22">
        <f t="shared" si="172"/>
        <v>0.253822423852538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-5.1159076974727213E-13</v>
      </c>
      <c r="CU190" s="17">
        <f>CT190*VLOOKUP('Données projet'!$B$13,Paramètres!$A$1:$I$89,3,0)*VLOOKUP('Données projet'!$B$13,Paramètres!$A$1:$I$89,5,0)</f>
        <v>-3.4317508834647017E-13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207.93042467236967</v>
      </c>
      <c r="CZ190" s="59">
        <f t="shared" si="150"/>
        <v>250.70954318710835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0.1227946715955357</v>
      </c>
      <c r="DG190" s="21">
        <f>EXP(-LN(2)/25)*DG189+(1-EXP(-LN(2)/25))/(LN(2)/25)*Calculateur!DB190*Calculateur!DD190*VLOOKUP('Données projet'!$B$13,Paramètres!$A$1:$I$89,3,0)*0.475*44/12</f>
        <v>0.22263777595827461</v>
      </c>
      <c r="DH190" s="21">
        <f>EXP(-LN(2)/2)*DH189+(1-EXP(-LN(2)/2))/(LN(2)/2)*DB190*DE190*VLOOKUP('Données projet'!$B$13,Paramètres!$A$1:$I$89,3,0)*0.475*44/12</f>
        <v>4.7419900255889645E-23</v>
      </c>
      <c r="DI190" s="22">
        <f t="shared" si="175"/>
        <v>0.34543244755381031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5.6843418860808015E-14</v>
      </c>
      <c r="DP190" s="17">
        <f>DO190*VLOOKUP('Données projet'!$B$14,Paramètres!$A$1:$I$89,3,0)*VLOOKUP('Données projet'!$B$14,Paramètres!$A$1:$I$89,5,0)</f>
        <v>3.813056537183002E-14</v>
      </c>
      <c r="DQ190" s="13">
        <f t="shared" si="176"/>
        <v>6.4086286045526829E-13</v>
      </c>
      <c r="DR190" s="20">
        <f t="shared" si="177"/>
        <v>1.1825802166488628E-12</v>
      </c>
      <c r="DS190" s="59">
        <f t="shared" si="125"/>
        <v>293.33333333333451</v>
      </c>
      <c r="DT190" s="59">
        <f ca="1">AVERAGE(OFFSET($DS$3,0,0,'Données projet'!$E$14+1,1))-AVERAGE(OFFSET($H$3,0,0,'Données projet'!$E$14+1,1))</f>
        <v>156.63226020379989</v>
      </c>
      <c r="DU190" s="59">
        <f t="shared" si="152"/>
        <v>196.0481096619543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0.11157033798780668</v>
      </c>
      <c r="EC190" s="21">
        <f>EXP(-LN(2)/2)*EC189+(1-EXP(-LN(2)/2))/(LN(2)/2)*DW190*DZ190*VLOOKUP('Données projet'!$B$14,Paramètres!$A$1:$I$89,3,0)*0.475*44/12</f>
        <v>2.1228474498550267E-23</v>
      </c>
      <c r="ED190" s="22">
        <f t="shared" si="178"/>
        <v>0.11157033798780668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-5.6843418860808015E-13</v>
      </c>
      <c r="EK190" s="17">
        <f>EJ190*VLOOKUP('Données projet'!$B$15,Paramètres!$A$1:$I$89,3,0)*VLOOKUP('Données projet'!$B$15,Paramètres!$A$1:$I$89,5,0)</f>
        <v>-5.763922672485933E-13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190.21499310415584</v>
      </c>
      <c r="EP190" s="59">
        <f t="shared" si="154"/>
        <v>136.15730566500173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7.1054273576010019E-14</v>
      </c>
      <c r="FF190" s="17">
        <f>FE190*VLOOKUP('Données projet'!$B$16,Paramètres!$A$1:$I$89,3,0)*VLOOKUP('Données projet'!$B$16,Paramètres!$A$1:$I$89,5,0)</f>
        <v>8.1854523159563538E-14</v>
      </c>
      <c r="FG190" s="13">
        <f t="shared" si="182"/>
        <v>1.2586836169904262E-12</v>
      </c>
      <c r="FH190" s="20">
        <f t="shared" si="183"/>
        <v>2.3347705940945655E-12</v>
      </c>
      <c r="FI190" s="59">
        <f t="shared" si="131"/>
        <v>293.33333333333564</v>
      </c>
      <c r="FJ190" s="59">
        <f ca="1">AVERAGE(OFFSET($FI$3,0,0,'Données projet'!$E$16+1,1))-AVERAGE(OFFSET($H$3,0,0,'Données projet'!$E$16+1,1))</f>
        <v>14.847345852478327</v>
      </c>
      <c r="FK190" s="59">
        <f t="shared" si="156"/>
        <v>46.764428272166299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2.2838868288944714E-2</v>
      </c>
      <c r="FS190" s="21">
        <f>EXP(-LN(2)/2)*FS189+(1-EXP(-LN(2)/2))/(LN(2)/2)*FM190*FP190*VLOOKUP('Données projet'!$B$16,Paramètres!$A$1:$I$89,3,0)*0.475*44/12</f>
        <v>4.6160598791989449E-24</v>
      </c>
      <c r="FT190" s="22">
        <f t="shared" si="184"/>
        <v>2.2838868288944714E-2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4.1145540308207271E-13</v>
      </c>
      <c r="P191" s="13">
        <f t="shared" si="141"/>
        <v>5.2428527960910789E-12</v>
      </c>
      <c r="Q191" s="20">
        <f t="shared" si="162"/>
        <v>9.8479201135599071E-12</v>
      </c>
      <c r="R191" s="59">
        <f t="shared" si="109"/>
        <v>293.33333333334315</v>
      </c>
      <c r="S191" s="59">
        <f ca="1">AVERAGE(OFFSET($R$3,0,0,'Données projet'!$E$9+1,1))-AVERAGE(OFFSET($H$3,0,0,'Données projet'!$E$9+1,1))</f>
        <v>221.7429870520005</v>
      </c>
      <c r="T191" s="59">
        <f t="shared" si="142"/>
        <v>182.2029938397186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-5.1159076974727213E-13</v>
      </c>
      <c r="AJ191" s="13">
        <f>AI191*VLOOKUP('Données projet'!$B$10,Paramètres!$A$1:$I$89,3,0)*VLOOKUP('Données projet'!$B$10,Paramètres!$A$1:$I$89,5,0)</f>
        <v>-4.0702161641092972E-13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260.20517190557814</v>
      </c>
      <c r="AO191" s="59">
        <f t="shared" si="144"/>
        <v>307.22009971147133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0.14278427656111575</v>
      </c>
      <c r="AV191" s="21">
        <f>EXP(-LN(2)/25)*AV190+(1-EXP(-LN(2)/25))/(LN(2)/25)*Calculateur!AQ191*Calculateur!AS191*VLOOKUP('Données projet'!$B$10,Paramètres!$A$1:$I$89,3,0)*0.475*44/12</f>
        <v>0.25683805692095013</v>
      </c>
      <c r="AW191" s="21">
        <f>EXP(-LN(2)/2)*AW190+(1-EXP(-LN(2)/2))/(LN(2)/2)*AQ191*AT191*VLOOKUP('Données projet'!$B$10,Paramètres!$A$1:$I$89,3,0)*0.475*44/12</f>
        <v>3.9769246156757972E-23</v>
      </c>
      <c r="AX191" s="21">
        <f t="shared" si="166"/>
        <v>0.39962233348206588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553.99999999999955</v>
      </c>
      <c r="BE191" s="13">
        <f>BD191*VLOOKUP('Données projet'!$B$11,Paramètres!$A$1:$I$89,3,0)*VLOOKUP('Données projet'!$B$11,Paramètres!$A$1:$I$89,5,0)</f>
        <v>331.29199999999975</v>
      </c>
      <c r="BF191" s="13">
        <f t="shared" si="167"/>
        <v>77.698110787752</v>
      </c>
      <c r="BG191" s="20">
        <f t="shared" si="168"/>
        <v>712.32444295533423</v>
      </c>
      <c r="BH191" s="59">
        <f t="shared" si="116"/>
        <v>1005.6577762886675</v>
      </c>
      <c r="BI191" s="59">
        <f ca="1">AVERAGE(OFFSET($BH$3,0,0,'Données projet'!$E$11+1,1))-AVERAGE(OFFSET($H$3,0,0,'Données projet'!$E$11+1,1))</f>
        <v>316.58509520829671</v>
      </c>
      <c r="BJ191" s="59">
        <f t="shared" si="146"/>
        <v>240.71332110643596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0.11090854144171655</v>
      </c>
      <c r="BQ191" s="21">
        <f>EXP(-LN(2)/25)*BQ190+(1-EXP(-LN(2)/25))/(LN(2)/25)*Calculateur!BL191*Calculateur!BN191*VLOOKUP('Données projet'!$B$11,Paramètres!$A$1:$I$89,3,0)*0.475*44/12</f>
        <v>0.19110431545491863</v>
      </c>
      <c r="BR191" s="21">
        <f>EXP(-LN(2)/2)*BR190+(1-EXP(-LN(2)/2))/(LN(2)/2)*BL191*BO191*VLOOKUP('Données projet'!$B$11,Paramètres!$A$1:$I$89,3,0)*0.475*44/12</f>
        <v>3.6295598479540398E-23</v>
      </c>
      <c r="BS191" s="22">
        <f t="shared" si="169"/>
        <v>0.30201285689663515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497</v>
      </c>
      <c r="BZ191" s="13">
        <f>BY191*VLOOKUP('Données projet'!$B$12,Paramètres!$A$1:$I$89,3,0)*VLOOKUP('Données projet'!$B$12,Paramètres!$A$1:$I$89,5,0)</f>
        <v>297.20600000000002</v>
      </c>
      <c r="CA191" s="13">
        <f t="shared" si="170"/>
        <v>70.590415164571112</v>
      </c>
      <c r="CB191" s="20">
        <f t="shared" si="171"/>
        <v>640.57875641162809</v>
      </c>
      <c r="CC191" s="59">
        <f t="shared" si="119"/>
        <v>933.91208974496135</v>
      </c>
      <c r="CD191" s="59">
        <f ca="1">AVERAGE(OFFSET($CC$3,0,0,'Données projet'!$E$12+1,1))-AVERAGE(OFFSET($H$3,0,0,'Données projet'!$E$12+1,1))</f>
        <v>270.30888762640245</v>
      </c>
      <c r="CE191" s="59">
        <f t="shared" si="148"/>
        <v>202.23783851977691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9.3725527978915299E-2</v>
      </c>
      <c r="CL191" s="21">
        <f>EXP(-LN(2)/25)*CL190+(1-EXP(-LN(2)/25))/(LN(2)/25)*Calculateur!CG191*Calculateur!CI191*VLOOKUP('Données projet'!$B$12,Paramètres!$A$1:$I$89,3,0)*0.475*44/12</f>
        <v>0.15389563914805965</v>
      </c>
      <c r="CM191" s="21">
        <f>EXP(-LN(2)/2)*CM190+(1-EXP(-LN(2)/2))/(LN(2)/2)*CG191*CJ191*VLOOKUP('Données projet'!$B$12,Paramètres!$A$1:$I$89,3,0)*0.475*44/12</f>
        <v>3.0593454596506999E-23</v>
      </c>
      <c r="CN191" s="22">
        <f t="shared" si="172"/>
        <v>0.24762116712697496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-5.1159076974727213E-13</v>
      </c>
      <c r="CU191" s="17">
        <f>CT191*VLOOKUP('Données projet'!$B$13,Paramètres!$A$1:$I$89,3,0)*VLOOKUP('Données projet'!$B$13,Paramètres!$A$1:$I$89,5,0)</f>
        <v>-3.4317508834647017E-13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207.93042467236967</v>
      </c>
      <c r="CZ191" s="59">
        <f t="shared" si="150"/>
        <v>250.70954318710835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0.12038674298290142</v>
      </c>
      <c r="DG191" s="21">
        <f>EXP(-LN(2)/25)*DG190+(1-EXP(-LN(2)/25))/(LN(2)/25)*Calculateur!DB191*Calculateur!DD191*VLOOKUP('Données projet'!$B$13,Paramètres!$A$1:$I$89,3,0)*0.475*44/12</f>
        <v>0.21654973426668381</v>
      </c>
      <c r="DH191" s="21">
        <f>EXP(-LN(2)/2)*DH190+(1-EXP(-LN(2)/2))/(LN(2)/2)*DB191*DE191*VLOOKUP('Données projet'!$B$13,Paramètres!$A$1:$I$89,3,0)*0.475*44/12</f>
        <v>3.3530933034129268E-23</v>
      </c>
      <c r="DI191" s="22">
        <f t="shared" si="175"/>
        <v>0.3369364772495852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5.6843418860808015E-14</v>
      </c>
      <c r="DP191" s="17">
        <f>DO191*VLOOKUP('Données projet'!$B$14,Paramètres!$A$1:$I$89,3,0)*VLOOKUP('Données projet'!$B$14,Paramètres!$A$1:$I$89,5,0)</f>
        <v>3.813056537183002E-14</v>
      </c>
      <c r="DQ191" s="13">
        <f t="shared" si="176"/>
        <v>6.4086286045526829E-13</v>
      </c>
      <c r="DR191" s="20">
        <f t="shared" si="177"/>
        <v>1.1825802166488628E-12</v>
      </c>
      <c r="DS191" s="59">
        <f t="shared" si="125"/>
        <v>293.33333333333451</v>
      </c>
      <c r="DT191" s="59">
        <f ca="1">AVERAGE(OFFSET($DS$3,0,0,'Données projet'!$E$14+1,1))-AVERAGE(OFFSET($H$3,0,0,'Données projet'!$E$14+1,1))</f>
        <v>156.63226020379989</v>
      </c>
      <c r="DU191" s="59">
        <f t="shared" si="152"/>
        <v>196.0481096619543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0.10851944122830103</v>
      </c>
      <c r="EC191" s="21">
        <f>EXP(-LN(2)/2)*EC190+(1-EXP(-LN(2)/2))/(LN(2)/2)*DW191*DZ191*VLOOKUP('Données projet'!$B$14,Paramètres!$A$1:$I$89,3,0)*0.475*44/12</f>
        <v>1.5010798272170588E-23</v>
      </c>
      <c r="ED191" s="22">
        <f t="shared" si="178"/>
        <v>0.10851944122830103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-5.6843418860808015E-13</v>
      </c>
      <c r="EK191" s="17">
        <f>EJ191*VLOOKUP('Données projet'!$B$15,Paramètres!$A$1:$I$89,3,0)*VLOOKUP('Données projet'!$B$15,Paramètres!$A$1:$I$89,5,0)</f>
        <v>-5.763922672485933E-13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190.21499310415584</v>
      </c>
      <c r="EP191" s="59">
        <f t="shared" si="154"/>
        <v>136.15730566500173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7.1054273576010019E-14</v>
      </c>
      <c r="FF191" s="17">
        <f>FE191*VLOOKUP('Données projet'!$B$16,Paramètres!$A$1:$I$89,3,0)*VLOOKUP('Données projet'!$B$16,Paramètres!$A$1:$I$89,5,0)</f>
        <v>8.1854523159563538E-14</v>
      </c>
      <c r="FG191" s="13">
        <f t="shared" si="182"/>
        <v>1.2586836169904262E-12</v>
      </c>
      <c r="FH191" s="20">
        <f t="shared" si="183"/>
        <v>2.3347705940945655E-12</v>
      </c>
      <c r="FI191" s="59">
        <f t="shared" si="131"/>
        <v>293.33333333333564</v>
      </c>
      <c r="FJ191" s="59">
        <f ca="1">AVERAGE(OFFSET($FI$3,0,0,'Données projet'!$E$16+1,1))-AVERAGE(OFFSET($H$3,0,0,'Données projet'!$E$16+1,1))</f>
        <v>14.847345852478327</v>
      </c>
      <c r="FK191" s="59">
        <f t="shared" si="156"/>
        <v>46.764428272166299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2.2214338234539634E-2</v>
      </c>
      <c r="FS191" s="21">
        <f>EXP(-LN(2)/2)*FS190+(1-EXP(-LN(2)/2))/(LN(2)/2)*FM191*FP191*VLOOKUP('Données projet'!$B$16,Paramètres!$A$1:$I$89,3,0)*0.475*44/12</f>
        <v>3.2640472429447295E-24</v>
      </c>
      <c r="FT191" s="22">
        <f t="shared" si="184"/>
        <v>2.2214338234539634E-2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4.1145540308207271E-13</v>
      </c>
      <c r="P192" s="13">
        <f t="shared" si="141"/>
        <v>5.2428527960910789E-12</v>
      </c>
      <c r="Q192" s="20">
        <f t="shared" si="162"/>
        <v>9.8479201135599071E-12</v>
      </c>
      <c r="R192" s="59">
        <f t="shared" si="109"/>
        <v>293.33333333334315</v>
      </c>
      <c r="S192" s="59">
        <f ca="1">AVERAGE(OFFSET($R$3,0,0,'Données projet'!$E$9+1,1))-AVERAGE(OFFSET($H$3,0,0,'Données projet'!$E$9+1,1))</f>
        <v>221.7429870520005</v>
      </c>
      <c r="T192" s="59">
        <f t="shared" si="142"/>
        <v>182.2029938397186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-5.1159076974727213E-13</v>
      </c>
      <c r="AJ192" s="13">
        <f>AI192*VLOOKUP('Données projet'!$B$10,Paramètres!$A$1:$I$89,3,0)*VLOOKUP('Données projet'!$B$10,Paramètres!$A$1:$I$89,5,0)</f>
        <v>-4.0702161641092972E-13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260.20517190557814</v>
      </c>
      <c r="AO192" s="59">
        <f t="shared" si="144"/>
        <v>307.22009971147133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0.13998436398756156</v>
      </c>
      <c r="AV192" s="21">
        <f>EXP(-LN(2)/25)*AV191+(1-EXP(-LN(2)/25))/(LN(2)/25)*Calculateur!AQ192*Calculateur!AS192*VLOOKUP('Données projet'!$B$10,Paramètres!$A$1:$I$89,3,0)*0.475*44/12</f>
        <v>0.24981480674792034</v>
      </c>
      <c r="AW192" s="21">
        <f>EXP(-LN(2)/2)*AW191+(1-EXP(-LN(2)/2))/(LN(2)/2)*AQ192*AT192*VLOOKUP('Données projet'!$B$10,Paramètres!$A$1:$I$89,3,0)*0.475*44/12</f>
        <v>2.8121103640120605E-23</v>
      </c>
      <c r="AX192" s="21">
        <f t="shared" si="166"/>
        <v>0.38979917073548187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553.99999999999955</v>
      </c>
      <c r="BE192" s="13">
        <f>BD192*VLOOKUP('Données projet'!$B$11,Paramètres!$A$1:$I$89,3,0)*VLOOKUP('Données projet'!$B$11,Paramètres!$A$1:$I$89,5,0)</f>
        <v>331.29199999999975</v>
      </c>
      <c r="BF192" s="13">
        <f t="shared" si="167"/>
        <v>77.698110787752</v>
      </c>
      <c r="BG192" s="20">
        <f t="shared" si="168"/>
        <v>712.32444295533423</v>
      </c>
      <c r="BH192" s="59">
        <f t="shared" si="116"/>
        <v>1005.6577762886675</v>
      </c>
      <c r="BI192" s="59">
        <f ca="1">AVERAGE(OFFSET($BH$3,0,0,'Données projet'!$E$11+1,1))-AVERAGE(OFFSET($H$3,0,0,'Données projet'!$E$11+1,1))</f>
        <v>316.58509520829671</v>
      </c>
      <c r="BJ192" s="59">
        <f t="shared" si="146"/>
        <v>240.71332110643596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0.10873369259157513</v>
      </c>
      <c r="BQ192" s="21">
        <f>EXP(-LN(2)/25)*BQ191+(1-EXP(-LN(2)/25))/(LN(2)/25)*Calculateur!BL192*Calculateur!BN192*VLOOKUP('Données projet'!$B$11,Paramètres!$A$1:$I$89,3,0)*0.475*44/12</f>
        <v>0.18587855789906471</v>
      </c>
      <c r="BR192" s="21">
        <f>EXP(-LN(2)/2)*BR191+(1-EXP(-LN(2)/2))/(LN(2)/2)*BL192*BO192*VLOOKUP('Données projet'!$B$11,Paramètres!$A$1:$I$89,3,0)*0.475*44/12</f>
        <v>2.566486381210716E-23</v>
      </c>
      <c r="BS192" s="22">
        <f t="shared" si="169"/>
        <v>0.29461225049063983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497</v>
      </c>
      <c r="BZ192" s="13">
        <f>BY192*VLOOKUP('Données projet'!$B$12,Paramètres!$A$1:$I$89,3,0)*VLOOKUP('Données projet'!$B$12,Paramètres!$A$1:$I$89,5,0)</f>
        <v>297.20600000000002</v>
      </c>
      <c r="CA192" s="13">
        <f t="shared" si="170"/>
        <v>70.590415164571112</v>
      </c>
      <c r="CB192" s="20">
        <f t="shared" si="171"/>
        <v>640.57875641162809</v>
      </c>
      <c r="CC192" s="59">
        <f t="shared" si="119"/>
        <v>933.91208974496135</v>
      </c>
      <c r="CD192" s="59">
        <f ca="1">AVERAGE(OFFSET($CC$3,0,0,'Données projet'!$E$12+1,1))-AVERAGE(OFFSET($H$3,0,0,'Données projet'!$E$12+1,1))</f>
        <v>270.30888762640245</v>
      </c>
      <c r="CE192" s="59">
        <f t="shared" si="148"/>
        <v>202.23783851977691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9.1887627542176067E-2</v>
      </c>
      <c r="CL192" s="21">
        <f>EXP(-LN(2)/25)*CL191+(1-EXP(-LN(2)/25))/(LN(2)/25)*Calculateur!CG192*Calculateur!CI192*VLOOKUP('Données projet'!$B$12,Paramètres!$A$1:$I$89,3,0)*0.475*44/12</f>
        <v>0.14968735480253603</v>
      </c>
      <c r="CM192" s="21">
        <f>EXP(-LN(2)/2)*CM191+(1-EXP(-LN(2)/2))/(LN(2)/2)*CG192*CJ192*VLOOKUP('Données projet'!$B$12,Paramètres!$A$1:$I$89,3,0)*0.475*44/12</f>
        <v>2.1632839205112851E-23</v>
      </c>
      <c r="CN192" s="22">
        <f t="shared" si="172"/>
        <v>0.24157498234471209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-5.1159076974727213E-13</v>
      </c>
      <c r="CU192" s="17">
        <f>CT192*VLOOKUP('Données projet'!$B$13,Paramètres!$A$1:$I$89,3,0)*VLOOKUP('Données projet'!$B$13,Paramètres!$A$1:$I$89,5,0)</f>
        <v>-3.4317508834647017E-13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207.93042467236967</v>
      </c>
      <c r="CZ192" s="59">
        <f t="shared" si="150"/>
        <v>250.70954318710835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0.11802603238166946</v>
      </c>
      <c r="DG192" s="21">
        <f>EXP(-LN(2)/25)*DG191+(1-EXP(-LN(2)/25))/(LN(2)/25)*Calculateur!DB192*Calculateur!DD192*VLOOKUP('Données projet'!$B$13,Paramètres!$A$1:$I$89,3,0)*0.475*44/12</f>
        <v>0.21062817039530574</v>
      </c>
      <c r="DH192" s="21">
        <f>EXP(-LN(2)/2)*DH191+(1-EXP(-LN(2)/2))/(LN(2)/2)*DB192*DE192*VLOOKUP('Données projet'!$B$13,Paramètres!$A$1:$I$89,3,0)*0.475*44/12</f>
        <v>2.3709950127944823E-23</v>
      </c>
      <c r="DI192" s="22">
        <f t="shared" si="175"/>
        <v>0.32865420277697521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5.6843418860808015E-14</v>
      </c>
      <c r="DP192" s="17">
        <f>DO192*VLOOKUP('Données projet'!$B$14,Paramètres!$A$1:$I$89,3,0)*VLOOKUP('Données projet'!$B$14,Paramètres!$A$1:$I$89,5,0)</f>
        <v>3.813056537183002E-14</v>
      </c>
      <c r="DQ192" s="13">
        <f t="shared" si="176"/>
        <v>6.4086286045526829E-13</v>
      </c>
      <c r="DR192" s="20">
        <f t="shared" si="177"/>
        <v>1.1825802166488628E-12</v>
      </c>
      <c r="DS192" s="59">
        <f t="shared" si="125"/>
        <v>293.33333333333451</v>
      </c>
      <c r="DT192" s="59">
        <f ca="1">AVERAGE(OFFSET($DS$3,0,0,'Données projet'!$E$14+1,1))-AVERAGE(OFFSET($H$3,0,0,'Données projet'!$E$14+1,1))</f>
        <v>156.63226020379989</v>
      </c>
      <c r="DU192" s="59">
        <f t="shared" si="152"/>
        <v>196.0481096619543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0.10555197140112374</v>
      </c>
      <c r="EC192" s="21">
        <f>EXP(-LN(2)/2)*EC191+(1-EXP(-LN(2)/2))/(LN(2)/2)*DW192*DZ192*VLOOKUP('Données projet'!$B$14,Paramètres!$A$1:$I$89,3,0)*0.475*44/12</f>
        <v>1.0614237249275133E-23</v>
      </c>
      <c r="ED192" s="22">
        <f t="shared" si="178"/>
        <v>0.10555197140112374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-5.6843418860808015E-13</v>
      </c>
      <c r="EK192" s="17">
        <f>EJ192*VLOOKUP('Données projet'!$B$15,Paramètres!$A$1:$I$89,3,0)*VLOOKUP('Données projet'!$B$15,Paramètres!$A$1:$I$89,5,0)</f>
        <v>-5.763922672485933E-13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190.21499310415584</v>
      </c>
      <c r="EP192" s="59">
        <f t="shared" si="154"/>
        <v>136.15730566500173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7.1054273576010019E-14</v>
      </c>
      <c r="FF192" s="17">
        <f>FE192*VLOOKUP('Données projet'!$B$16,Paramètres!$A$1:$I$89,3,0)*VLOOKUP('Données projet'!$B$16,Paramètres!$A$1:$I$89,5,0)</f>
        <v>8.1854523159563538E-14</v>
      </c>
      <c r="FG192" s="13">
        <f t="shared" si="182"/>
        <v>1.2586836169904262E-12</v>
      </c>
      <c r="FH192" s="20">
        <f t="shared" si="183"/>
        <v>2.3347705940945655E-12</v>
      </c>
      <c r="FI192" s="59">
        <f t="shared" si="131"/>
        <v>293.33333333333564</v>
      </c>
      <c r="FJ192" s="59">
        <f ca="1">AVERAGE(OFFSET($FI$3,0,0,'Données projet'!$E$16+1,1))-AVERAGE(OFFSET($H$3,0,0,'Données projet'!$E$16+1,1))</f>
        <v>14.847345852478327</v>
      </c>
      <c r="FK192" s="59">
        <f t="shared" si="156"/>
        <v>46.764428272166299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2.1606885987314872E-2</v>
      </c>
      <c r="FS192" s="21">
        <f>EXP(-LN(2)/2)*FS191+(1-EXP(-LN(2)/2))/(LN(2)/2)*FM192*FP192*VLOOKUP('Données projet'!$B$16,Paramètres!$A$1:$I$89,3,0)*0.475*44/12</f>
        <v>2.3080299395994728E-24</v>
      </c>
      <c r="FT192" s="22">
        <f t="shared" si="184"/>
        <v>2.1606885987314872E-2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4.1145540308207271E-13</v>
      </c>
      <c r="P193" s="13">
        <f t="shared" si="141"/>
        <v>5.2428527960910789E-12</v>
      </c>
      <c r="Q193" s="20">
        <f t="shared" si="162"/>
        <v>9.8479201135599071E-12</v>
      </c>
      <c r="R193" s="59">
        <f t="shared" si="109"/>
        <v>293.33333333334315</v>
      </c>
      <c r="S193" s="59">
        <f ca="1">AVERAGE(OFFSET($R$3,0,0,'Données projet'!$E$9+1,1))-AVERAGE(OFFSET($H$3,0,0,'Données projet'!$E$9+1,1))</f>
        <v>221.7429870520005</v>
      </c>
      <c r="T193" s="59">
        <f t="shared" si="142"/>
        <v>182.2029938397186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-5.1159076974727213E-13</v>
      </c>
      <c r="AJ193" s="13">
        <f>AI193*VLOOKUP('Données projet'!$B$10,Paramètres!$A$1:$I$89,3,0)*VLOOKUP('Données projet'!$B$10,Paramètres!$A$1:$I$89,5,0)</f>
        <v>-4.0702161641092972E-13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260.20517190557814</v>
      </c>
      <c r="AO193" s="59">
        <f t="shared" si="144"/>
        <v>307.22009971147133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0.13723935599179674</v>
      </c>
      <c r="AV193" s="21">
        <f>EXP(-LN(2)/25)*AV192+(1-EXP(-LN(2)/25))/(LN(2)/25)*Calculateur!AQ193*Calculateur!AS193*VLOOKUP('Données projet'!$B$10,Paramètres!$A$1:$I$89,3,0)*0.475*44/12</f>
        <v>0.24298360772020872</v>
      </c>
      <c r="AW193" s="21">
        <f>EXP(-LN(2)/2)*AW192+(1-EXP(-LN(2)/2))/(LN(2)/2)*AQ193*AT193*VLOOKUP('Données projet'!$B$10,Paramètres!$A$1:$I$89,3,0)*0.475*44/12</f>
        <v>1.9884623078378986E-23</v>
      </c>
      <c r="AX193" s="21">
        <f t="shared" si="166"/>
        <v>0.38022296371200548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553.99999999999955</v>
      </c>
      <c r="BE193" s="13">
        <f>BD193*VLOOKUP('Données projet'!$B$11,Paramètres!$A$1:$I$89,3,0)*VLOOKUP('Données projet'!$B$11,Paramètres!$A$1:$I$89,5,0)</f>
        <v>331.29199999999975</v>
      </c>
      <c r="BF193" s="13">
        <f t="shared" si="167"/>
        <v>77.698110787752</v>
      </c>
      <c r="BG193" s="20">
        <f t="shared" si="168"/>
        <v>712.32444295533423</v>
      </c>
      <c r="BH193" s="59">
        <f t="shared" si="116"/>
        <v>1005.6577762886675</v>
      </c>
      <c r="BI193" s="59">
        <f ca="1">AVERAGE(OFFSET($BH$3,0,0,'Données projet'!$E$11+1,1))-AVERAGE(OFFSET($H$3,0,0,'Données projet'!$E$11+1,1))</f>
        <v>316.58509520829671</v>
      </c>
      <c r="BJ193" s="59">
        <f t="shared" si="146"/>
        <v>240.71332110643596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0.10660149120085817</v>
      </c>
      <c r="BQ193" s="21">
        <f>EXP(-LN(2)/25)*BQ192+(1-EXP(-LN(2)/25))/(LN(2)/25)*Calculateur!BL193*Calculateur!BN193*VLOOKUP('Données projet'!$B$11,Paramètres!$A$1:$I$89,3,0)*0.475*44/12</f>
        <v>0.18079569895838626</v>
      </c>
      <c r="BR193" s="21">
        <f>EXP(-LN(2)/2)*BR192+(1-EXP(-LN(2)/2))/(LN(2)/2)*BL193*BO193*VLOOKUP('Données projet'!$B$11,Paramètres!$A$1:$I$89,3,0)*0.475*44/12</f>
        <v>1.8147799239770199E-23</v>
      </c>
      <c r="BS193" s="22">
        <f t="shared" si="169"/>
        <v>0.28739719015924442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497</v>
      </c>
      <c r="BZ193" s="13">
        <f>BY193*VLOOKUP('Données projet'!$B$12,Paramètres!$A$1:$I$89,3,0)*VLOOKUP('Données projet'!$B$12,Paramètres!$A$1:$I$89,5,0)</f>
        <v>297.20600000000002</v>
      </c>
      <c r="CA193" s="13">
        <f t="shared" si="170"/>
        <v>70.590415164571112</v>
      </c>
      <c r="CB193" s="20">
        <f t="shared" si="171"/>
        <v>640.57875641162809</v>
      </c>
      <c r="CC193" s="59">
        <f t="shared" si="119"/>
        <v>933.91208974496135</v>
      </c>
      <c r="CD193" s="59">
        <f ca="1">AVERAGE(OFFSET($CC$3,0,0,'Données projet'!$E$12+1,1))-AVERAGE(OFFSET($H$3,0,0,'Données projet'!$E$12+1,1))</f>
        <v>270.30888762640245</v>
      </c>
      <c r="CE193" s="59">
        <f t="shared" si="148"/>
        <v>202.23783851977691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9.0085767211992726E-2</v>
      </c>
      <c r="CL193" s="21">
        <f>EXP(-LN(2)/25)*CL192+(1-EXP(-LN(2)/25))/(LN(2)/25)*Calculateur!CG193*Calculateur!CI193*VLOOKUP('Données projet'!$B$12,Paramètres!$A$1:$I$89,3,0)*0.475*44/12</f>
        <v>0.14559414621374481</v>
      </c>
      <c r="CM193" s="21">
        <f>EXP(-LN(2)/2)*CM192+(1-EXP(-LN(2)/2))/(LN(2)/2)*CG193*CJ193*VLOOKUP('Données projet'!$B$12,Paramètres!$A$1:$I$89,3,0)*0.475*44/12</f>
        <v>1.5296727298253499E-23</v>
      </c>
      <c r="CN193" s="22">
        <f t="shared" si="172"/>
        <v>0.23567991342573752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-5.1159076974727213E-13</v>
      </c>
      <c r="CU193" s="17">
        <f>CT193*VLOOKUP('Données projet'!$B$13,Paramètres!$A$1:$I$89,3,0)*VLOOKUP('Données projet'!$B$13,Paramètres!$A$1:$I$89,5,0)</f>
        <v>-3.4317508834647017E-13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207.93042467236967</v>
      </c>
      <c r="CZ193" s="59">
        <f t="shared" si="150"/>
        <v>250.70954318710835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0.11571161387543638</v>
      </c>
      <c r="DG193" s="21">
        <f>EXP(-LN(2)/25)*DG192+(1-EXP(-LN(2)/25))/(LN(2)/25)*Calculateur!DB193*Calculateur!DD193*VLOOKUP('Données projet'!$B$13,Paramètres!$A$1:$I$89,3,0)*0.475*44/12</f>
        <v>0.20486853199939201</v>
      </c>
      <c r="DH193" s="21">
        <f>EXP(-LN(2)/2)*DH192+(1-EXP(-LN(2)/2))/(LN(2)/2)*DB193*DE193*VLOOKUP('Données projet'!$B$13,Paramètres!$A$1:$I$89,3,0)*0.475*44/12</f>
        <v>1.6765466517064634E-23</v>
      </c>
      <c r="DI193" s="22">
        <f t="shared" si="175"/>
        <v>0.32058014587482841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5.6843418860808015E-14</v>
      </c>
      <c r="DP193" s="17">
        <f>DO193*VLOOKUP('Données projet'!$B$14,Paramètres!$A$1:$I$89,3,0)*VLOOKUP('Données projet'!$B$14,Paramètres!$A$1:$I$89,5,0)</f>
        <v>3.813056537183002E-14</v>
      </c>
      <c r="DQ193" s="13">
        <f t="shared" si="176"/>
        <v>6.4086286045526829E-13</v>
      </c>
      <c r="DR193" s="20">
        <f t="shared" si="177"/>
        <v>1.1825802166488628E-12</v>
      </c>
      <c r="DS193" s="59">
        <f t="shared" si="125"/>
        <v>293.33333333333451</v>
      </c>
      <c r="DT193" s="59">
        <f ca="1">AVERAGE(OFFSET($DS$3,0,0,'Données projet'!$E$14+1,1))-AVERAGE(OFFSET($H$3,0,0,'Données projet'!$E$14+1,1))</f>
        <v>156.63226020379989</v>
      </c>
      <c r="DU193" s="59">
        <f t="shared" si="152"/>
        <v>196.0481096619543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0.10266564719242308</v>
      </c>
      <c r="EC193" s="21">
        <f>EXP(-LN(2)/2)*EC192+(1-EXP(-LN(2)/2))/(LN(2)/2)*DW193*DZ193*VLOOKUP('Données projet'!$B$14,Paramètres!$A$1:$I$89,3,0)*0.475*44/12</f>
        <v>7.5053991360852938E-24</v>
      </c>
      <c r="ED193" s="22">
        <f t="shared" si="178"/>
        <v>0.10266564719242308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-5.6843418860808015E-13</v>
      </c>
      <c r="EK193" s="17">
        <f>EJ193*VLOOKUP('Données projet'!$B$15,Paramètres!$A$1:$I$89,3,0)*VLOOKUP('Données projet'!$B$15,Paramètres!$A$1:$I$89,5,0)</f>
        <v>-5.763922672485933E-13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190.21499310415584</v>
      </c>
      <c r="EP193" s="59">
        <f t="shared" si="154"/>
        <v>136.15730566500173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7.1054273576010019E-14</v>
      </c>
      <c r="FF193" s="17">
        <f>FE193*VLOOKUP('Données projet'!$B$16,Paramètres!$A$1:$I$89,3,0)*VLOOKUP('Données projet'!$B$16,Paramètres!$A$1:$I$89,5,0)</f>
        <v>8.1854523159563538E-14</v>
      </c>
      <c r="FG193" s="13">
        <f t="shared" si="182"/>
        <v>1.2586836169904262E-12</v>
      </c>
      <c r="FH193" s="20">
        <f t="shared" si="183"/>
        <v>2.3347705940945655E-12</v>
      </c>
      <c r="FI193" s="59">
        <f t="shared" si="131"/>
        <v>293.33333333333564</v>
      </c>
      <c r="FJ193" s="59">
        <f ca="1">AVERAGE(OFFSET($FI$3,0,0,'Données projet'!$E$16+1,1))-AVERAGE(OFFSET($H$3,0,0,'Données projet'!$E$16+1,1))</f>
        <v>14.847345852478327</v>
      </c>
      <c r="FK193" s="59">
        <f t="shared" si="156"/>
        <v>46.764428272166299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2.1016044553734996E-2</v>
      </c>
      <c r="FS193" s="21">
        <f>EXP(-LN(2)/2)*FS192+(1-EXP(-LN(2)/2))/(LN(2)/2)*FM193*FP193*VLOOKUP('Données projet'!$B$16,Paramètres!$A$1:$I$89,3,0)*0.475*44/12</f>
        <v>1.6320236214723651E-24</v>
      </c>
      <c r="FT193" s="22">
        <f t="shared" si="184"/>
        <v>2.1016044553734996E-2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4.1145540308207271E-13</v>
      </c>
      <c r="P194" s="13">
        <f t="shared" si="141"/>
        <v>5.2428527960910789E-12</v>
      </c>
      <c r="Q194" s="20">
        <f t="shared" si="162"/>
        <v>9.8479201135599071E-12</v>
      </c>
      <c r="R194" s="59">
        <f t="shared" si="109"/>
        <v>293.33333333334315</v>
      </c>
      <c r="S194" s="59">
        <f ca="1">AVERAGE(OFFSET($R$3,0,0,'Données projet'!$E$9+1,1))-AVERAGE(OFFSET($H$3,0,0,'Données projet'!$E$9+1,1))</f>
        <v>221.7429870520005</v>
      </c>
      <c r="T194" s="59">
        <f t="shared" si="142"/>
        <v>182.2029938397186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-5.1159076974727213E-13</v>
      </c>
      <c r="AJ194" s="13">
        <f>AI194*VLOOKUP('Données projet'!$B$10,Paramètres!$A$1:$I$89,3,0)*VLOOKUP('Données projet'!$B$10,Paramètres!$A$1:$I$89,5,0)</f>
        <v>-4.0702161641092972E-13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260.20517190557814</v>
      </c>
      <c r="AO194" s="59">
        <f t="shared" si="144"/>
        <v>307.22009971147133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0.13454817592853929</v>
      </c>
      <c r="AV194" s="21">
        <f>EXP(-LN(2)/25)*AV193+(1-EXP(-LN(2)/25))/(LN(2)/25)*Calculateur!AQ194*Calculateur!AS194*VLOOKUP('Données projet'!$B$10,Paramètres!$A$1:$I$89,3,0)*0.475*44/12</f>
        <v>0.23633920818914703</v>
      </c>
      <c r="AW194" s="21">
        <f>EXP(-LN(2)/2)*AW193+(1-EXP(-LN(2)/2))/(LN(2)/2)*AQ194*AT194*VLOOKUP('Données projet'!$B$10,Paramètres!$A$1:$I$89,3,0)*0.475*44/12</f>
        <v>1.4060551820060303E-23</v>
      </c>
      <c r="AX194" s="21">
        <f t="shared" si="166"/>
        <v>0.37088738411768629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553.99999999999955</v>
      </c>
      <c r="BE194" s="13">
        <f>BD194*VLOOKUP('Données projet'!$B$11,Paramètres!$A$1:$I$89,3,0)*VLOOKUP('Données projet'!$B$11,Paramètres!$A$1:$I$89,5,0)</f>
        <v>331.29199999999975</v>
      </c>
      <c r="BF194" s="13">
        <f t="shared" si="167"/>
        <v>77.698110787752</v>
      </c>
      <c r="BG194" s="20">
        <f t="shared" si="168"/>
        <v>712.32444295533423</v>
      </c>
      <c r="BH194" s="59">
        <f t="shared" si="116"/>
        <v>1005.6577762886675</v>
      </c>
      <c r="BI194" s="59">
        <f ca="1">AVERAGE(OFFSET($BH$3,0,0,'Données projet'!$E$11+1,1))-AVERAGE(OFFSET($H$3,0,0,'Données projet'!$E$11+1,1))</f>
        <v>316.58509520829671</v>
      </c>
      <c r="BJ194" s="59">
        <f t="shared" si="146"/>
        <v>240.71332110643596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0.10451110097889874</v>
      </c>
      <c r="BQ194" s="21">
        <f>EXP(-LN(2)/25)*BQ193+(1-EXP(-LN(2)/25))/(LN(2)/25)*Calculateur!BL194*Calculateur!BN194*VLOOKUP('Données projet'!$B$11,Paramètres!$A$1:$I$89,3,0)*0.475*44/12</f>
        <v>0.17585183106273661</v>
      </c>
      <c r="BR194" s="21">
        <f>EXP(-LN(2)/2)*BR193+(1-EXP(-LN(2)/2))/(LN(2)/2)*BL194*BO194*VLOOKUP('Données projet'!$B$11,Paramètres!$A$1:$I$89,3,0)*0.475*44/12</f>
        <v>1.283243190605358E-23</v>
      </c>
      <c r="BS194" s="22">
        <f t="shared" si="169"/>
        <v>0.28036293204163532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497</v>
      </c>
      <c r="BZ194" s="13">
        <f>BY194*VLOOKUP('Données projet'!$B$12,Paramètres!$A$1:$I$89,3,0)*VLOOKUP('Données projet'!$B$12,Paramètres!$A$1:$I$89,5,0)</f>
        <v>297.20600000000002</v>
      </c>
      <c r="CA194" s="13">
        <f t="shared" si="170"/>
        <v>70.590415164571112</v>
      </c>
      <c r="CB194" s="20">
        <f t="shared" si="171"/>
        <v>640.57875641162809</v>
      </c>
      <c r="CC194" s="59">
        <f t="shared" si="119"/>
        <v>933.91208974496135</v>
      </c>
      <c r="CD194" s="59">
        <f ca="1">AVERAGE(OFFSET($CC$3,0,0,'Données projet'!$E$12+1,1))-AVERAGE(OFFSET($H$3,0,0,'Données projet'!$E$12+1,1))</f>
        <v>270.30888762640245</v>
      </c>
      <c r="CE194" s="59">
        <f t="shared" si="148"/>
        <v>202.23783851977691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8.8319240263857998E-2</v>
      </c>
      <c r="CL194" s="21">
        <f>EXP(-LN(2)/25)*CL193+(1-EXP(-LN(2)/25))/(LN(2)/25)*Calculateur!CG194*Calculateur!CI194*VLOOKUP('Données projet'!$B$12,Paramètres!$A$1:$I$89,3,0)*0.475*44/12</f>
        <v>0.14161286662906655</v>
      </c>
      <c r="CM194" s="21">
        <f>EXP(-LN(2)/2)*CM193+(1-EXP(-LN(2)/2))/(LN(2)/2)*CG194*CJ194*VLOOKUP('Données projet'!$B$12,Paramètres!$A$1:$I$89,3,0)*0.475*44/12</f>
        <v>1.0816419602556426E-23</v>
      </c>
      <c r="CN194" s="22">
        <f t="shared" si="172"/>
        <v>0.22993210689292454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-5.1159076974727213E-13</v>
      </c>
      <c r="CU194" s="17">
        <f>CT194*VLOOKUP('Données projet'!$B$13,Paramètres!$A$1:$I$89,3,0)*VLOOKUP('Données projet'!$B$13,Paramètres!$A$1:$I$89,5,0)</f>
        <v>-3.4317508834647017E-13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207.93042467236967</v>
      </c>
      <c r="CZ194" s="59">
        <f t="shared" si="150"/>
        <v>250.70954318710835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0.11344257970445462</v>
      </c>
      <c r="DG194" s="21">
        <f>EXP(-LN(2)/25)*DG193+(1-EXP(-LN(2)/25))/(LN(2)/25)*Calculateur!DB194*Calculateur!DD194*VLOOKUP('Données projet'!$B$13,Paramètres!$A$1:$I$89,3,0)*0.475*44/12</f>
        <v>0.19926639121830075</v>
      </c>
      <c r="DH194" s="21">
        <f>EXP(-LN(2)/2)*DH193+(1-EXP(-LN(2)/2))/(LN(2)/2)*DB194*DE194*VLOOKUP('Données projet'!$B$13,Paramètres!$A$1:$I$89,3,0)*0.475*44/12</f>
        <v>1.1854975063972411E-23</v>
      </c>
      <c r="DI194" s="22">
        <f t="shared" si="175"/>
        <v>0.3127089709227554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5.6843418860808015E-14</v>
      </c>
      <c r="DP194" s="17">
        <f>DO194*VLOOKUP('Données projet'!$B$14,Paramètres!$A$1:$I$89,3,0)*VLOOKUP('Données projet'!$B$14,Paramètres!$A$1:$I$89,5,0)</f>
        <v>3.813056537183002E-14</v>
      </c>
      <c r="DQ194" s="13">
        <f t="shared" si="176"/>
        <v>6.4086286045526829E-13</v>
      </c>
      <c r="DR194" s="20">
        <f t="shared" si="177"/>
        <v>1.1825802166488628E-12</v>
      </c>
      <c r="DS194" s="59">
        <f t="shared" si="125"/>
        <v>293.33333333333451</v>
      </c>
      <c r="DT194" s="59">
        <f ca="1">AVERAGE(OFFSET($DS$3,0,0,'Données projet'!$E$14+1,1))-AVERAGE(OFFSET($H$3,0,0,'Données projet'!$E$14+1,1))</f>
        <v>156.63226020379989</v>
      </c>
      <c r="DU194" s="59">
        <f t="shared" si="152"/>
        <v>196.0481096619543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9.985824967099452E-2</v>
      </c>
      <c r="EC194" s="21">
        <f>EXP(-LN(2)/2)*EC193+(1-EXP(-LN(2)/2))/(LN(2)/2)*DW194*DZ194*VLOOKUP('Données projet'!$B$14,Paramètres!$A$1:$I$89,3,0)*0.475*44/12</f>
        <v>5.3071186246375667E-24</v>
      </c>
      <c r="ED194" s="22">
        <f t="shared" si="178"/>
        <v>9.985824967099452E-2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-5.6843418860808015E-13</v>
      </c>
      <c r="EK194" s="17">
        <f>EJ194*VLOOKUP('Données projet'!$B$15,Paramètres!$A$1:$I$89,3,0)*VLOOKUP('Données projet'!$B$15,Paramètres!$A$1:$I$89,5,0)</f>
        <v>-5.763922672485933E-13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190.21499310415584</v>
      </c>
      <c r="EP194" s="59">
        <f t="shared" si="154"/>
        <v>136.15730566500173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7.1054273576010019E-14</v>
      </c>
      <c r="FF194" s="17">
        <f>FE194*VLOOKUP('Données projet'!$B$16,Paramètres!$A$1:$I$89,3,0)*VLOOKUP('Données projet'!$B$16,Paramètres!$A$1:$I$89,5,0)</f>
        <v>8.1854523159563538E-14</v>
      </c>
      <c r="FG194" s="13">
        <f t="shared" si="182"/>
        <v>1.2586836169904262E-12</v>
      </c>
      <c r="FH194" s="20">
        <f t="shared" si="183"/>
        <v>2.3347705940945655E-12</v>
      </c>
      <c r="FI194" s="59">
        <f t="shared" si="131"/>
        <v>293.33333333333564</v>
      </c>
      <c r="FJ194" s="59">
        <f ca="1">AVERAGE(OFFSET($FI$3,0,0,'Données projet'!$E$16+1,1))-AVERAGE(OFFSET($H$3,0,0,'Données projet'!$E$16+1,1))</f>
        <v>14.847345852478327</v>
      </c>
      <c r="FK194" s="59">
        <f t="shared" si="156"/>
        <v>46.764428272166299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2.0441359710227362E-2</v>
      </c>
      <c r="FS194" s="21">
        <f>EXP(-LN(2)/2)*FS193+(1-EXP(-LN(2)/2))/(LN(2)/2)*FM194*FP194*VLOOKUP('Données projet'!$B$16,Paramètres!$A$1:$I$89,3,0)*0.475*44/12</f>
        <v>1.1540149697997366E-24</v>
      </c>
      <c r="FT194" s="22">
        <f t="shared" si="184"/>
        <v>2.0441359710227362E-2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4.1145540308207271E-13</v>
      </c>
      <c r="P195" s="13">
        <f t="shared" si="141"/>
        <v>5.2428527960910789E-12</v>
      </c>
      <c r="Q195" s="20">
        <f t="shared" si="162"/>
        <v>9.8479201135599071E-12</v>
      </c>
      <c r="R195" s="59">
        <f t="shared" ref="R195:R203" si="191">Q195+(I195+J195)*44/12</f>
        <v>293.33333333334315</v>
      </c>
      <c r="S195" s="59">
        <f ca="1">AVERAGE(OFFSET($R$3,0,0,'Données projet'!$E$9+1,1))-AVERAGE(OFFSET($H$3,0,0,'Données projet'!$E$9+1,1))</f>
        <v>221.7429870520005</v>
      </c>
      <c r="T195" s="59">
        <f t="shared" si="142"/>
        <v>182.2029938397186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-5.1159076974727213E-13</v>
      </c>
      <c r="AJ195" s="13">
        <f>AI195*VLOOKUP('Données projet'!$B$10,Paramètres!$A$1:$I$89,3,0)*VLOOKUP('Données projet'!$B$10,Paramètres!$A$1:$I$89,5,0)</f>
        <v>-4.0702161641092972E-13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260.20517190557814</v>
      </c>
      <c r="AO195" s="59">
        <f t="shared" si="144"/>
        <v>307.22009971147133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0.13190976826486459</v>
      </c>
      <c r="AV195" s="21">
        <f>EXP(-LN(2)/25)*AV194+(1-EXP(-LN(2)/25))/(LN(2)/25)*Calculateur!AQ195*Calculateur!AS195*VLOOKUP('Données projet'!$B$10,Paramètres!$A$1:$I$89,3,0)*0.475*44/12</f>
        <v>0.22987650011267599</v>
      </c>
      <c r="AW195" s="21">
        <f>EXP(-LN(2)/2)*AW194+(1-EXP(-LN(2)/2))/(LN(2)/2)*AQ195*AT195*VLOOKUP('Données projet'!$B$10,Paramètres!$A$1:$I$89,3,0)*0.475*44/12</f>
        <v>9.942311539189493E-24</v>
      </c>
      <c r="AX195" s="21">
        <f t="shared" si="166"/>
        <v>0.36178626837754058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553.99999999999955</v>
      </c>
      <c r="BE195" s="13">
        <f>BD195*VLOOKUP('Données projet'!$B$11,Paramètres!$A$1:$I$89,3,0)*VLOOKUP('Données projet'!$B$11,Paramètres!$A$1:$I$89,5,0)</f>
        <v>331.29199999999975</v>
      </c>
      <c r="BF195" s="13">
        <f t="shared" si="167"/>
        <v>77.698110787752</v>
      </c>
      <c r="BG195" s="20">
        <f t="shared" si="168"/>
        <v>712.32444295533423</v>
      </c>
      <c r="BH195" s="59">
        <f t="shared" si="116"/>
        <v>1005.6577762886675</v>
      </c>
      <c r="BI195" s="59">
        <f ca="1">AVERAGE(OFFSET($BH$3,0,0,'Données projet'!$E$11+1,1))-AVERAGE(OFFSET($H$3,0,0,'Données projet'!$E$11+1,1))</f>
        <v>316.58509520829671</v>
      </c>
      <c r="BJ195" s="59">
        <f t="shared" si="146"/>
        <v>240.71332110643596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0.10246170203417979</v>
      </c>
      <c r="BQ195" s="21">
        <f>EXP(-LN(2)/25)*BQ194+(1-EXP(-LN(2)/25))/(LN(2)/25)*Calculateur!BL195*Calculateur!BN195*VLOOKUP('Données projet'!$B$11,Paramètres!$A$1:$I$89,3,0)*0.475*44/12</f>
        <v>0.17104315349468019</v>
      </c>
      <c r="BR195" s="21">
        <f>EXP(-LN(2)/2)*BR194+(1-EXP(-LN(2)/2))/(LN(2)/2)*BL195*BO195*VLOOKUP('Données projet'!$B$11,Paramètres!$A$1:$I$89,3,0)*0.475*44/12</f>
        <v>9.0738996198850996E-24</v>
      </c>
      <c r="BS195" s="22">
        <f t="shared" si="169"/>
        <v>0.27350485552885995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497</v>
      </c>
      <c r="BZ195" s="13">
        <f>BY195*VLOOKUP('Données projet'!$B$12,Paramètres!$A$1:$I$89,3,0)*VLOOKUP('Données projet'!$B$12,Paramètres!$A$1:$I$89,5,0)</f>
        <v>297.20600000000002</v>
      </c>
      <c r="CA195" s="13">
        <f t="shared" si="170"/>
        <v>70.590415164571112</v>
      </c>
      <c r="CB195" s="20">
        <f t="shared" si="171"/>
        <v>640.57875641162809</v>
      </c>
      <c r="CC195" s="59">
        <f t="shared" si="119"/>
        <v>933.91208974496135</v>
      </c>
      <c r="CD195" s="59">
        <f ca="1">AVERAGE(OFFSET($CC$3,0,0,'Données projet'!$E$12+1,1))-AVERAGE(OFFSET($H$3,0,0,'Données projet'!$E$12+1,1))</f>
        <v>270.30888762640245</v>
      </c>
      <c r="CE195" s="59">
        <f t="shared" si="148"/>
        <v>202.23783851977691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8.6587353831701144E-2</v>
      </c>
      <c r="CL195" s="21">
        <f>EXP(-LN(2)/25)*CL194+(1-EXP(-LN(2)/25))/(LN(2)/25)*Calculateur!CG195*Calculateur!CI195*VLOOKUP('Données projet'!$B$12,Paramètres!$A$1:$I$89,3,0)*0.475*44/12</f>
        <v>0.13774045534399773</v>
      </c>
      <c r="CM195" s="21">
        <f>EXP(-LN(2)/2)*CM194+(1-EXP(-LN(2)/2))/(LN(2)/2)*CG195*CJ195*VLOOKUP('Données projet'!$B$12,Paramètres!$A$1:$I$89,3,0)*0.475*44/12</f>
        <v>7.6483636491267497E-24</v>
      </c>
      <c r="CN195" s="22">
        <f t="shared" si="172"/>
        <v>0.22432780917569889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-5.1159076974727213E-13</v>
      </c>
      <c r="CU195" s="17">
        <f>CT195*VLOOKUP('Données projet'!$B$13,Paramètres!$A$1:$I$89,3,0)*VLOOKUP('Données projet'!$B$13,Paramètres!$A$1:$I$89,5,0)</f>
        <v>-3.4317508834647017E-13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207.93042467236967</v>
      </c>
      <c r="CZ195" s="59">
        <f t="shared" si="150"/>
        <v>250.70954318710835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0.11121803990959163</v>
      </c>
      <c r="DG195" s="21">
        <f>EXP(-LN(2)/25)*DG194+(1-EXP(-LN(2)/25))/(LN(2)/25)*Calculateur!DB195*Calculateur!DD195*VLOOKUP('Données projet'!$B$13,Paramètres!$A$1:$I$89,3,0)*0.475*44/12</f>
        <v>0.19381744127147224</v>
      </c>
      <c r="DH195" s="21">
        <f>EXP(-LN(2)/2)*DH194+(1-EXP(-LN(2)/2))/(LN(2)/2)*DB195*DE195*VLOOKUP('Données projet'!$B$13,Paramètres!$A$1:$I$89,3,0)*0.475*44/12</f>
        <v>8.382733258532317E-24</v>
      </c>
      <c r="DI195" s="22">
        <f t="shared" si="175"/>
        <v>0.30503548118106388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5.6843418860808015E-14</v>
      </c>
      <c r="DP195" s="17">
        <f>DO195*VLOOKUP('Données projet'!$B$14,Paramètres!$A$1:$I$89,3,0)*VLOOKUP('Données projet'!$B$14,Paramètres!$A$1:$I$89,5,0)</f>
        <v>3.813056537183002E-14</v>
      </c>
      <c r="DQ195" s="13">
        <f t="shared" si="176"/>
        <v>6.4086286045526829E-13</v>
      </c>
      <c r="DR195" s="20">
        <f t="shared" si="177"/>
        <v>1.1825802166488628E-12</v>
      </c>
      <c r="DS195" s="59">
        <f t="shared" si="125"/>
        <v>293.33333333333451</v>
      </c>
      <c r="DT195" s="59">
        <f ca="1">AVERAGE(OFFSET($DS$3,0,0,'Données projet'!$E$14+1,1))-AVERAGE(OFFSET($H$3,0,0,'Données projet'!$E$14+1,1))</f>
        <v>156.63226020379989</v>
      </c>
      <c r="DU195" s="59">
        <f t="shared" si="152"/>
        <v>196.0481096619543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9.7127620582424051E-2</v>
      </c>
      <c r="EC195" s="21">
        <f>EXP(-LN(2)/2)*EC194+(1-EXP(-LN(2)/2))/(LN(2)/2)*DW195*DZ195*VLOOKUP('Données projet'!$B$14,Paramètres!$A$1:$I$89,3,0)*0.475*44/12</f>
        <v>3.7526995680426469E-24</v>
      </c>
      <c r="ED195" s="22">
        <f t="shared" si="178"/>
        <v>9.7127620582424051E-2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-5.6843418860808015E-13</v>
      </c>
      <c r="EK195" s="17">
        <f>EJ195*VLOOKUP('Données projet'!$B$15,Paramètres!$A$1:$I$89,3,0)*VLOOKUP('Données projet'!$B$15,Paramètres!$A$1:$I$89,5,0)</f>
        <v>-5.763922672485933E-13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190.21499310415584</v>
      </c>
      <c r="EP195" s="59">
        <f t="shared" si="154"/>
        <v>136.15730566500173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7.1054273576010019E-14</v>
      </c>
      <c r="FF195" s="17">
        <f>FE195*VLOOKUP('Données projet'!$B$16,Paramètres!$A$1:$I$89,3,0)*VLOOKUP('Données projet'!$B$16,Paramètres!$A$1:$I$89,5,0)</f>
        <v>8.1854523159563538E-14</v>
      </c>
      <c r="FG195" s="13">
        <f t="shared" si="182"/>
        <v>1.2586836169904262E-12</v>
      </c>
      <c r="FH195" s="20">
        <f t="shared" si="183"/>
        <v>2.3347705940945655E-12</v>
      </c>
      <c r="FI195" s="59">
        <f t="shared" si="131"/>
        <v>293.33333333333564</v>
      </c>
      <c r="FJ195" s="59">
        <f ca="1">AVERAGE(OFFSET($FI$3,0,0,'Données projet'!$E$16+1,1))-AVERAGE(OFFSET($H$3,0,0,'Données projet'!$E$16+1,1))</f>
        <v>14.847345852478327</v>
      </c>
      <c r="FK195" s="59">
        <f t="shared" si="156"/>
        <v>46.764428272166299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1.9882389653986806E-2</v>
      </c>
      <c r="FS195" s="21">
        <f>EXP(-LN(2)/2)*FS194+(1-EXP(-LN(2)/2))/(LN(2)/2)*FM195*FP195*VLOOKUP('Données projet'!$B$16,Paramètres!$A$1:$I$89,3,0)*0.475*44/12</f>
        <v>8.1601181073618264E-25</v>
      </c>
      <c r="FT195" s="22">
        <f t="shared" si="184"/>
        <v>1.9882389653986806E-2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4.1145540308207271E-13</v>
      </c>
      <c r="P196" s="13">
        <f t="shared" si="141"/>
        <v>5.2428527960910789E-12</v>
      </c>
      <c r="Q196" s="20">
        <f t="shared" si="162"/>
        <v>9.8479201135599071E-12</v>
      </c>
      <c r="R196" s="59">
        <f t="shared" si="191"/>
        <v>293.33333333334315</v>
      </c>
      <c r="S196" s="59">
        <f ca="1">AVERAGE(OFFSET($R$3,0,0,'Données projet'!$E$9+1,1))-AVERAGE(OFFSET($H$3,0,0,'Données projet'!$E$9+1,1))</f>
        <v>221.7429870520005</v>
      </c>
      <c r="T196" s="59">
        <f t="shared" si="142"/>
        <v>182.2029938397186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-5.1159076974727213E-13</v>
      </c>
      <c r="AJ196" s="13">
        <f>AI196*VLOOKUP('Données projet'!$B$10,Paramètres!$A$1:$I$89,3,0)*VLOOKUP('Données projet'!$B$10,Paramètres!$A$1:$I$89,5,0)</f>
        <v>-4.0702161641092972E-13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260.20517190557814</v>
      </c>
      <c r="AO196" s="59">
        <f t="shared" si="144"/>
        <v>307.22009971147133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0.12932309816620477</v>
      </c>
      <c r="AV196" s="21">
        <f>EXP(-LN(2)/25)*AV195+(1-EXP(-LN(2)/25))/(LN(2)/25)*Calculateur!AQ196*Calculateur!AS196*VLOOKUP('Données projet'!$B$10,Paramètres!$A$1:$I$89,3,0)*0.475*44/12</f>
        <v>0.2235905151284151</v>
      </c>
      <c r="AW196" s="21">
        <f>EXP(-LN(2)/2)*AW195+(1-EXP(-LN(2)/2))/(LN(2)/2)*AQ196*AT196*VLOOKUP('Données projet'!$B$10,Paramètres!$A$1:$I$89,3,0)*0.475*44/12</f>
        <v>7.0302759100301513E-24</v>
      </c>
      <c r="AX196" s="21">
        <f t="shared" si="166"/>
        <v>0.3529136132946199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553.99999999999955</v>
      </c>
      <c r="BE196" s="13">
        <f>BD196*VLOOKUP('Données projet'!$B$11,Paramètres!$A$1:$I$89,3,0)*VLOOKUP('Données projet'!$B$11,Paramètres!$A$1:$I$89,5,0)</f>
        <v>331.29199999999975</v>
      </c>
      <c r="BF196" s="13">
        <f t="shared" si="167"/>
        <v>77.698110787752</v>
      </c>
      <c r="BG196" s="20">
        <f t="shared" si="168"/>
        <v>712.32444295533423</v>
      </c>
      <c r="BH196" s="59">
        <f t="shared" ref="BH196:BH203" si="194">BG196+(AY196+AZ196)*44/12</f>
        <v>1005.6577762886675</v>
      </c>
      <c r="BI196" s="59">
        <f ca="1">AVERAGE(OFFSET($BH$3,0,0,'Données projet'!$E$11+1,1))-AVERAGE(OFFSET($H$3,0,0,'Données projet'!$E$11+1,1))</f>
        <v>316.58509520829671</v>
      </c>
      <c r="BJ196" s="59">
        <f t="shared" si="146"/>
        <v>240.71332110643596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0.10045249055275685</v>
      </c>
      <c r="BQ196" s="21">
        <f>EXP(-LN(2)/25)*BQ195+(1-EXP(-LN(2)/25))/(LN(2)/25)*Calculateur!BL196*Calculateur!BN196*VLOOKUP('Données projet'!$B$11,Paramètres!$A$1:$I$89,3,0)*0.475*44/12</f>
        <v>0.16636596946759963</v>
      </c>
      <c r="BR196" s="21">
        <f>EXP(-LN(2)/2)*BR195+(1-EXP(-LN(2)/2))/(LN(2)/2)*BL196*BO196*VLOOKUP('Données projet'!$B$11,Paramètres!$A$1:$I$89,3,0)*0.475*44/12</f>
        <v>6.4162159530267899E-24</v>
      </c>
      <c r="BS196" s="22">
        <f t="shared" si="169"/>
        <v>0.26681846002035647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497</v>
      </c>
      <c r="BZ196" s="13">
        <f>BY196*VLOOKUP('Données projet'!$B$12,Paramètres!$A$1:$I$89,3,0)*VLOOKUP('Données projet'!$B$12,Paramètres!$A$1:$I$89,5,0)</f>
        <v>297.20600000000002</v>
      </c>
      <c r="CA196" s="13">
        <f t="shared" si="170"/>
        <v>70.590415164571112</v>
      </c>
      <c r="CB196" s="20">
        <f t="shared" si="171"/>
        <v>640.57875641162809</v>
      </c>
      <c r="CC196" s="59">
        <f t="shared" ref="CC196:CC203" si="195">CB196+(BT196+BU196)*44/12</f>
        <v>933.91208974496135</v>
      </c>
      <c r="CD196" s="59">
        <f ca="1">AVERAGE(OFFSET($CC$3,0,0,'Données projet'!$E$12+1,1))-AVERAGE(OFFSET($H$3,0,0,'Données projet'!$E$12+1,1))</f>
        <v>270.30888762640245</v>
      </c>
      <c r="CE196" s="59">
        <f t="shared" si="148"/>
        <v>202.23783851977691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8.4889428636132469E-2</v>
      </c>
      <c r="CL196" s="21">
        <f>EXP(-LN(2)/25)*CL195+(1-EXP(-LN(2)/25))/(LN(2)/25)*Calculateur!CG196*Calculateur!CI196*VLOOKUP('Données projet'!$B$12,Paramètres!$A$1:$I$89,3,0)*0.475*44/12</f>
        <v>0.13397393534916038</v>
      </c>
      <c r="CM196" s="21">
        <f>EXP(-LN(2)/2)*CM195+(1-EXP(-LN(2)/2))/(LN(2)/2)*CG196*CJ196*VLOOKUP('Données projet'!$B$12,Paramètres!$A$1:$I$89,3,0)*0.475*44/12</f>
        <v>5.4082098012782128E-24</v>
      </c>
      <c r="CN196" s="22">
        <f t="shared" si="172"/>
        <v>0.21886336398529285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-5.1159076974727213E-13</v>
      </c>
      <c r="CU196" s="17">
        <f>CT196*VLOOKUP('Données projet'!$B$13,Paramètres!$A$1:$I$89,3,0)*VLOOKUP('Données projet'!$B$13,Paramètres!$A$1:$I$89,5,0)</f>
        <v>-3.4317508834647017E-13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207.93042467236967</v>
      </c>
      <c r="CZ196" s="59">
        <f t="shared" si="150"/>
        <v>250.70954318710835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0.1090371219832706</v>
      </c>
      <c r="DG196" s="21">
        <f>EXP(-LN(2)/25)*DG195+(1-EXP(-LN(2)/25))/(LN(2)/25)*Calculateur!DB196*Calculateur!DD196*VLOOKUP('Données projet'!$B$13,Paramètres!$A$1:$I$89,3,0)*0.475*44/12</f>
        <v>0.18851749314748756</v>
      </c>
      <c r="DH196" s="21">
        <f>EXP(-LN(2)/2)*DH195+(1-EXP(-LN(2)/2))/(LN(2)/2)*DB196*DE196*VLOOKUP('Données projet'!$B$13,Paramètres!$A$1:$I$89,3,0)*0.475*44/12</f>
        <v>5.9274875319862057E-24</v>
      </c>
      <c r="DI196" s="22">
        <f t="shared" si="175"/>
        <v>0.29755461513075815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5.6843418860808015E-14</v>
      </c>
      <c r="DP196" s="17">
        <f>DO196*VLOOKUP('Données projet'!$B$14,Paramètres!$A$1:$I$89,3,0)*VLOOKUP('Données projet'!$B$14,Paramètres!$A$1:$I$89,5,0)</f>
        <v>3.813056537183002E-14</v>
      </c>
      <c r="DQ196" s="13">
        <f t="shared" si="176"/>
        <v>6.4086286045526829E-13</v>
      </c>
      <c r="DR196" s="20">
        <f t="shared" si="177"/>
        <v>1.1825802166488628E-12</v>
      </c>
      <c r="DS196" s="59">
        <f t="shared" ref="DS196:DS203" si="197">DR196+(DJ196+DK196)*44/12</f>
        <v>293.33333333333451</v>
      </c>
      <c r="DT196" s="59">
        <f ca="1">AVERAGE(OFFSET($DS$3,0,0,'Données projet'!$E$14+1,1))-AVERAGE(OFFSET($H$3,0,0,'Données projet'!$E$14+1,1))</f>
        <v>156.63226020379989</v>
      </c>
      <c r="DU196" s="59">
        <f t="shared" si="152"/>
        <v>196.0481096619543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9.4471660689878084E-2</v>
      </c>
      <c r="EC196" s="21">
        <f>EXP(-LN(2)/2)*EC195+(1-EXP(-LN(2)/2))/(LN(2)/2)*DW196*DZ196*VLOOKUP('Données projet'!$B$14,Paramètres!$A$1:$I$89,3,0)*0.475*44/12</f>
        <v>2.6535593123187833E-24</v>
      </c>
      <c r="ED196" s="22">
        <f t="shared" si="178"/>
        <v>9.4471660689878084E-2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-5.6843418860808015E-13</v>
      </c>
      <c r="EK196" s="17">
        <f>EJ196*VLOOKUP('Données projet'!$B$15,Paramètres!$A$1:$I$89,3,0)*VLOOKUP('Données projet'!$B$15,Paramètres!$A$1:$I$89,5,0)</f>
        <v>-5.763922672485933E-13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190.21499310415584</v>
      </c>
      <c r="EP196" s="59">
        <f t="shared" si="154"/>
        <v>136.15730566500173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7.1054273576010019E-14</v>
      </c>
      <c r="FF196" s="17">
        <f>FE196*VLOOKUP('Données projet'!$B$16,Paramètres!$A$1:$I$89,3,0)*VLOOKUP('Données projet'!$B$16,Paramètres!$A$1:$I$89,5,0)</f>
        <v>8.1854523159563538E-14</v>
      </c>
      <c r="FG196" s="13">
        <f t="shared" si="182"/>
        <v>1.2586836169904262E-12</v>
      </c>
      <c r="FH196" s="20">
        <f t="shared" si="183"/>
        <v>2.3347705940945655E-12</v>
      </c>
      <c r="FI196" s="59">
        <f t="shared" ref="FI196:FI203" si="199">FH196+(EZ196+FA196)*44/12</f>
        <v>293.33333333333564</v>
      </c>
      <c r="FJ196" s="59">
        <f ca="1">AVERAGE(OFFSET($FI$3,0,0,'Données projet'!$E$16+1,1))-AVERAGE(OFFSET($H$3,0,0,'Données projet'!$E$16+1,1))</f>
        <v>14.847345852478327</v>
      </c>
      <c r="FK196" s="59">
        <f t="shared" si="156"/>
        <v>46.764428272166299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1.9338704663329105E-2</v>
      </c>
      <c r="FS196" s="21">
        <f>EXP(-LN(2)/2)*FS195+(1-EXP(-LN(2)/2))/(LN(2)/2)*FM196*FP196*VLOOKUP('Données projet'!$B$16,Paramètres!$A$1:$I$89,3,0)*0.475*44/12</f>
        <v>5.7700748489986839E-25</v>
      </c>
      <c r="FT196" s="22">
        <f t="shared" si="184"/>
        <v>1.9338704663329105E-2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4.1145540308207271E-13</v>
      </c>
      <c r="P197" s="13">
        <f t="shared" ref="P197:P203" si="203">EXP(-1.0587+0.8836*LN(O197)+0.284)</f>
        <v>5.2428527960910789E-12</v>
      </c>
      <c r="Q197" s="20">
        <f t="shared" si="162"/>
        <v>9.8479201135599071E-12</v>
      </c>
      <c r="R197" s="59">
        <f t="shared" si="191"/>
        <v>293.33333333334315</v>
      </c>
      <c r="S197" s="59">
        <f ca="1">AVERAGE(OFFSET($R$3,0,0,'Données projet'!$E$9+1,1))-AVERAGE(OFFSET($H$3,0,0,'Données projet'!$E$9+1,1))</f>
        <v>221.7429870520005</v>
      </c>
      <c r="T197" s="59">
        <f t="shared" ref="T197:T203" si="204">$T$3</f>
        <v>182.2029938397186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-5.1159076974727213E-13</v>
      </c>
      <c r="AJ197" s="13">
        <f>AI197*VLOOKUP('Données projet'!$B$10,Paramètres!$A$1:$I$89,3,0)*VLOOKUP('Données projet'!$B$10,Paramètres!$A$1:$I$89,5,0)</f>
        <v>-4.0702161641092972E-13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260.20517190557814</v>
      </c>
      <c r="AO197" s="59">
        <f t="shared" ref="AO197:AO203" si="205">$AO$3</f>
        <v>307.22009971147133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0.1267871510904667</v>
      </c>
      <c r="AV197" s="21">
        <f>EXP(-LN(2)/25)*AV196+(1-EXP(-LN(2)/25))/(LN(2)/25)*Calculateur!AQ197*Calculateur!AS197*VLOOKUP('Données projet'!$B$10,Paramètres!$A$1:$I$89,3,0)*0.475*44/12</f>
        <v>0.21747642073411441</v>
      </c>
      <c r="AW197" s="21">
        <f>EXP(-LN(2)/2)*AW196+(1-EXP(-LN(2)/2))/(LN(2)/2)*AQ197*AT197*VLOOKUP('Données projet'!$B$10,Paramètres!$A$1:$I$89,3,0)*0.475*44/12</f>
        <v>4.9711557695947465E-24</v>
      </c>
      <c r="AX197" s="21">
        <f t="shared" si="166"/>
        <v>0.34426357182458112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553.99999999999955</v>
      </c>
      <c r="BE197" s="13">
        <f>BD197*VLOOKUP('Données projet'!$B$11,Paramètres!$A$1:$I$89,3,0)*VLOOKUP('Données projet'!$B$11,Paramètres!$A$1:$I$89,5,0)</f>
        <v>331.29199999999975</v>
      </c>
      <c r="BF197" s="13">
        <f t="shared" si="167"/>
        <v>77.698110787752</v>
      </c>
      <c r="BG197" s="20">
        <f t="shared" si="168"/>
        <v>712.32444295533423</v>
      </c>
      <c r="BH197" s="59">
        <f t="shared" si="194"/>
        <v>1005.6577762886675</v>
      </c>
      <c r="BI197" s="59">
        <f ca="1">AVERAGE(OFFSET($BH$3,0,0,'Données projet'!$E$11+1,1))-AVERAGE(OFFSET($H$3,0,0,'Données projet'!$E$11+1,1))</f>
        <v>316.58509520829671</v>
      </c>
      <c r="BJ197" s="59">
        <f t="shared" ref="BJ197:BJ203" si="206">$BJ$3</f>
        <v>240.71332110643596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9.8482678482986613E-2</v>
      </c>
      <c r="BQ197" s="21">
        <f>EXP(-LN(2)/25)*BQ196+(1-EXP(-LN(2)/25))/(LN(2)/25)*Calculateur!BL197*Calculateur!BN197*VLOOKUP('Données projet'!$B$11,Paramètres!$A$1:$I$89,3,0)*0.475*44/12</f>
        <v>0.16181668328370202</v>
      </c>
      <c r="BR197" s="21">
        <f>EXP(-LN(2)/2)*BR196+(1-EXP(-LN(2)/2))/(LN(2)/2)*BL197*BO197*VLOOKUP('Données projet'!$B$11,Paramètres!$A$1:$I$89,3,0)*0.475*44/12</f>
        <v>4.5369498099425498E-24</v>
      </c>
      <c r="BS197" s="22">
        <f t="shared" si="169"/>
        <v>0.26029936176668866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497</v>
      </c>
      <c r="BZ197" s="13">
        <f>BY197*VLOOKUP('Données projet'!$B$12,Paramètres!$A$1:$I$89,3,0)*VLOOKUP('Données projet'!$B$12,Paramètres!$A$1:$I$89,5,0)</f>
        <v>297.20600000000002</v>
      </c>
      <c r="CA197" s="13">
        <f t="shared" si="170"/>
        <v>70.590415164571112</v>
      </c>
      <c r="CB197" s="20">
        <f t="shared" si="171"/>
        <v>640.57875641162809</v>
      </c>
      <c r="CC197" s="59">
        <f t="shared" si="195"/>
        <v>933.91208974496135</v>
      </c>
      <c r="CD197" s="59">
        <f ca="1">AVERAGE(OFFSET($CC$3,0,0,'Données projet'!$E$12+1,1))-AVERAGE(OFFSET($H$3,0,0,'Données projet'!$E$12+1,1))</f>
        <v>270.30888762640245</v>
      </c>
      <c r="CE197" s="59">
        <f t="shared" ref="CE197:CE203" si="207">$CE$3</f>
        <v>202.23783851977691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8.3224798718016788E-2</v>
      </c>
      <c r="CL197" s="21">
        <f>EXP(-LN(2)/25)*CL196+(1-EXP(-LN(2)/25))/(LN(2)/25)*Calculateur!CG197*Calculateur!CI197*VLOOKUP('Données projet'!$B$12,Paramètres!$A$1:$I$89,3,0)*0.475*44/12</f>
        <v>0.13031041104165453</v>
      </c>
      <c r="CM197" s="21">
        <f>EXP(-LN(2)/2)*CM196+(1-EXP(-LN(2)/2))/(LN(2)/2)*CG197*CJ197*VLOOKUP('Données projet'!$B$12,Paramètres!$A$1:$I$89,3,0)*0.475*44/12</f>
        <v>3.8241818245633749E-24</v>
      </c>
      <c r="CN197" s="22">
        <f t="shared" si="172"/>
        <v>0.21353520975967133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-5.1159076974727213E-13</v>
      </c>
      <c r="CU197" s="17">
        <f>CT197*VLOOKUP('Données projet'!$B$13,Paramètres!$A$1:$I$89,3,0)*VLOOKUP('Données projet'!$B$13,Paramètres!$A$1:$I$89,5,0)</f>
        <v>-3.4317508834647017E-13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207.93042467236967</v>
      </c>
      <c r="CZ197" s="59">
        <f t="shared" ref="CZ197:CZ203" si="208">$CZ$3</f>
        <v>250.70954318710835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0.10689897052725615</v>
      </c>
      <c r="DG197" s="21">
        <f>EXP(-LN(2)/25)*DG196+(1-EXP(-LN(2)/25))/(LN(2)/25)*Calculateur!DB197*Calculateur!DD197*VLOOKUP('Données projet'!$B$13,Paramètres!$A$1:$I$89,3,0)*0.475*44/12</f>
        <v>0.1833624723836654</v>
      </c>
      <c r="DH197" s="21">
        <f>EXP(-LN(2)/2)*DH196+(1-EXP(-LN(2)/2))/(LN(2)/2)*DB197*DE197*VLOOKUP('Données projet'!$B$13,Paramètres!$A$1:$I$89,3,0)*0.475*44/12</f>
        <v>4.1913666292661585E-24</v>
      </c>
      <c r="DI197" s="22">
        <f t="shared" si="175"/>
        <v>0.29026144291092154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5.6843418860808015E-14</v>
      </c>
      <c r="DP197" s="17">
        <f>DO197*VLOOKUP('Données projet'!$B$14,Paramètres!$A$1:$I$89,3,0)*VLOOKUP('Données projet'!$B$14,Paramètres!$A$1:$I$89,5,0)</f>
        <v>3.813056537183002E-14</v>
      </c>
      <c r="DQ197" s="13">
        <f t="shared" si="176"/>
        <v>6.4086286045526829E-13</v>
      </c>
      <c r="DR197" s="20">
        <f t="shared" si="177"/>
        <v>1.1825802166488628E-12</v>
      </c>
      <c r="DS197" s="59">
        <f t="shared" si="197"/>
        <v>293.33333333333451</v>
      </c>
      <c r="DT197" s="59">
        <f ca="1">AVERAGE(OFFSET($DS$3,0,0,'Données projet'!$E$14+1,1))-AVERAGE(OFFSET($H$3,0,0,'Données projet'!$E$14+1,1))</f>
        <v>156.63226020379989</v>
      </c>
      <c r="DU197" s="59">
        <f t="shared" ref="DU197:DU203" si="209">$DU$3</f>
        <v>196.0481096619543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9.1888328160264654E-2</v>
      </c>
      <c r="EC197" s="21">
        <f>EXP(-LN(2)/2)*EC196+(1-EXP(-LN(2)/2))/(LN(2)/2)*DW197*DZ197*VLOOKUP('Données projet'!$B$14,Paramètres!$A$1:$I$89,3,0)*0.475*44/12</f>
        <v>1.8763497840213234E-24</v>
      </c>
      <c r="ED197" s="22">
        <f t="shared" si="178"/>
        <v>9.1888328160264654E-2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-5.6843418860808015E-13</v>
      </c>
      <c r="EK197" s="17">
        <f>EJ197*VLOOKUP('Données projet'!$B$15,Paramètres!$A$1:$I$89,3,0)*VLOOKUP('Données projet'!$B$15,Paramètres!$A$1:$I$89,5,0)</f>
        <v>-5.763922672485933E-13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190.21499310415584</v>
      </c>
      <c r="EP197" s="59">
        <f t="shared" ref="EP197:EP203" si="210">$EP$3</f>
        <v>136.15730566500173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7.1054273576010019E-14</v>
      </c>
      <c r="FF197" s="17">
        <f>FE197*VLOOKUP('Données projet'!$B$16,Paramètres!$A$1:$I$89,3,0)*VLOOKUP('Données projet'!$B$16,Paramètres!$A$1:$I$89,5,0)</f>
        <v>8.1854523159563538E-14</v>
      </c>
      <c r="FG197" s="13">
        <f t="shared" si="182"/>
        <v>1.2586836169904262E-12</v>
      </c>
      <c r="FH197" s="20">
        <f t="shared" si="183"/>
        <v>2.3347705940945655E-12</v>
      </c>
      <c r="FI197" s="59">
        <f t="shared" si="199"/>
        <v>293.33333333333564</v>
      </c>
      <c r="FJ197" s="59">
        <f ca="1">AVERAGE(OFFSET($FI$3,0,0,'Données projet'!$E$16+1,1))-AVERAGE(OFFSET($H$3,0,0,'Données projet'!$E$16+1,1))</f>
        <v>14.847345852478327</v>
      </c>
      <c r="FK197" s="59">
        <f t="shared" ref="FK197:FK203" si="211">$FK$3</f>
        <v>46.764428272166299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1.8809886767332092E-2</v>
      </c>
      <c r="FS197" s="21">
        <f>EXP(-LN(2)/2)*FS196+(1-EXP(-LN(2)/2))/(LN(2)/2)*FM197*FP197*VLOOKUP('Données projet'!$B$16,Paramètres!$A$1:$I$89,3,0)*0.475*44/12</f>
        <v>4.0800590536809141E-25</v>
      </c>
      <c r="FT197" s="22">
        <f t="shared" si="184"/>
        <v>1.8809886767332092E-2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4.1145540308207271E-13</v>
      </c>
      <c r="P198" s="13">
        <f t="shared" si="203"/>
        <v>5.2428527960910789E-12</v>
      </c>
      <c r="Q198" s="20">
        <f t="shared" si="162"/>
        <v>9.8479201135599071E-12</v>
      </c>
      <c r="R198" s="59">
        <f t="shared" si="191"/>
        <v>293.33333333334315</v>
      </c>
      <c r="S198" s="59">
        <f ca="1">AVERAGE(OFFSET($R$3,0,0,'Données projet'!$E$9+1,1))-AVERAGE(OFFSET($H$3,0,0,'Données projet'!$E$9+1,1))</f>
        <v>221.7429870520005</v>
      </c>
      <c r="T198" s="59">
        <f t="shared" si="204"/>
        <v>182.2029938397186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-5.1159076974727213E-13</v>
      </c>
      <c r="AJ198" s="13">
        <f>AI198*VLOOKUP('Données projet'!$B$10,Paramètres!$A$1:$I$89,3,0)*VLOOKUP('Données projet'!$B$10,Paramètres!$A$1:$I$89,5,0)</f>
        <v>-4.0702161641092972E-13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260.20517190557814</v>
      </c>
      <c r="AO198" s="59">
        <f t="shared" si="205"/>
        <v>307.22009971147133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0.12430093239010886</v>
      </c>
      <c r="AV198" s="21">
        <f>EXP(-LN(2)/25)*AV197+(1-EXP(-LN(2)/25))/(LN(2)/25)*Calculateur!AQ198*Calculateur!AS198*VLOOKUP('Données projet'!$B$10,Paramètres!$A$1:$I$89,3,0)*0.475*44/12</f>
        <v>0.21152951657255215</v>
      </c>
      <c r="AW198" s="21">
        <f>EXP(-LN(2)/2)*AW197+(1-EXP(-LN(2)/2))/(LN(2)/2)*AQ198*AT198*VLOOKUP('Données projet'!$B$10,Paramètres!$A$1:$I$89,3,0)*0.475*44/12</f>
        <v>3.5151379550150756E-24</v>
      </c>
      <c r="AX198" s="21">
        <f t="shared" si="166"/>
        <v>0.33583044896266101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553.99999999999955</v>
      </c>
      <c r="BE198" s="13">
        <f>BD198*VLOOKUP('Données projet'!$B$11,Paramètres!$A$1:$I$89,3,0)*VLOOKUP('Données projet'!$B$11,Paramètres!$A$1:$I$89,5,0)</f>
        <v>331.29199999999975</v>
      </c>
      <c r="BF198" s="13">
        <f t="shared" si="167"/>
        <v>77.698110787752</v>
      </c>
      <c r="BG198" s="20">
        <f t="shared" si="168"/>
        <v>712.32444295533423</v>
      </c>
      <c r="BH198" s="59">
        <f t="shared" si="194"/>
        <v>1005.6577762886675</v>
      </c>
      <c r="BI198" s="59">
        <f ca="1">AVERAGE(OFFSET($BH$3,0,0,'Données projet'!$E$11+1,1))-AVERAGE(OFFSET($H$3,0,0,'Données projet'!$E$11+1,1))</f>
        <v>316.58509520829671</v>
      </c>
      <c r="BJ198" s="59">
        <f t="shared" si="206"/>
        <v>240.71332110643596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9.6551493226437843E-2</v>
      </c>
      <c r="BQ198" s="21">
        <f>EXP(-LN(2)/25)*BQ197+(1-EXP(-LN(2)/25))/(LN(2)/25)*Calculateur!BL198*Calculateur!BN198*VLOOKUP('Données projet'!$B$11,Paramètres!$A$1:$I$89,3,0)*0.475*44/12</f>
        <v>0.15739179756973964</v>
      </c>
      <c r="BR198" s="21">
        <f>EXP(-LN(2)/2)*BR197+(1-EXP(-LN(2)/2))/(LN(2)/2)*BL198*BO198*VLOOKUP('Données projet'!$B$11,Paramètres!$A$1:$I$89,3,0)*0.475*44/12</f>
        <v>3.208107976513395E-24</v>
      </c>
      <c r="BS198" s="22">
        <f t="shared" si="169"/>
        <v>0.2539432907961775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497</v>
      </c>
      <c r="BZ198" s="13">
        <f>BY198*VLOOKUP('Données projet'!$B$12,Paramètres!$A$1:$I$89,3,0)*VLOOKUP('Données projet'!$B$12,Paramètres!$A$1:$I$89,5,0)</f>
        <v>297.20600000000002</v>
      </c>
      <c r="CA198" s="13">
        <f t="shared" si="170"/>
        <v>70.590415164571112</v>
      </c>
      <c r="CB198" s="20">
        <f t="shared" si="171"/>
        <v>640.57875641162809</v>
      </c>
      <c r="CC198" s="59">
        <f t="shared" si="195"/>
        <v>933.91208974496135</v>
      </c>
      <c r="CD198" s="59">
        <f ca="1">AVERAGE(OFFSET($CC$3,0,0,'Données projet'!$E$12+1,1))-AVERAGE(OFFSET($H$3,0,0,'Données projet'!$E$12+1,1))</f>
        <v>270.30888762640245</v>
      </c>
      <c r="CE198" s="59">
        <f t="shared" si="207"/>
        <v>202.23783851977691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8.1592811177271352E-2</v>
      </c>
      <c r="CL198" s="21">
        <f>EXP(-LN(2)/25)*CL197+(1-EXP(-LN(2)/25))/(LN(2)/25)*Calculateur!CG198*Calculateur!CI198*VLOOKUP('Données projet'!$B$12,Paramètres!$A$1:$I$89,3,0)*0.475*44/12</f>
        <v>0.1267470659989938</v>
      </c>
      <c r="CM198" s="21">
        <f>EXP(-LN(2)/2)*CM197+(1-EXP(-LN(2)/2))/(LN(2)/2)*CG198*CJ198*VLOOKUP('Données projet'!$B$12,Paramètres!$A$1:$I$89,3,0)*0.475*44/12</f>
        <v>2.7041049006391064E-24</v>
      </c>
      <c r="CN198" s="22">
        <f t="shared" si="172"/>
        <v>0.20833987717626515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-5.1159076974727213E-13</v>
      </c>
      <c r="CU198" s="17">
        <f>CT198*VLOOKUP('Données projet'!$B$13,Paramètres!$A$1:$I$89,3,0)*VLOOKUP('Données projet'!$B$13,Paramètres!$A$1:$I$89,5,0)</f>
        <v>-3.4317508834647017E-13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207.93042467236967</v>
      </c>
      <c r="CZ198" s="59">
        <f t="shared" si="208"/>
        <v>250.70954318710835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0.10480274691715052</v>
      </c>
      <c r="DG198" s="21">
        <f>EXP(-LN(2)/25)*DG197+(1-EXP(-LN(2)/25))/(LN(2)/25)*Calculateur!DB198*Calculateur!DD198*VLOOKUP('Données projet'!$B$13,Paramètres!$A$1:$I$89,3,0)*0.475*44/12</f>
        <v>0.17834841593372072</v>
      </c>
      <c r="DH198" s="21">
        <f>EXP(-LN(2)/2)*DH197+(1-EXP(-LN(2)/2))/(LN(2)/2)*DB198*DE198*VLOOKUP('Données projet'!$B$13,Paramètres!$A$1:$I$89,3,0)*0.475*44/12</f>
        <v>2.9637437659931028E-24</v>
      </c>
      <c r="DI198" s="22">
        <f t="shared" si="175"/>
        <v>0.28315116285087127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5.6843418860808015E-14</v>
      </c>
      <c r="DP198" s="17">
        <f>DO198*VLOOKUP('Données projet'!$B$14,Paramètres!$A$1:$I$89,3,0)*VLOOKUP('Données projet'!$B$14,Paramètres!$A$1:$I$89,5,0)</f>
        <v>3.813056537183002E-14</v>
      </c>
      <c r="DQ198" s="13">
        <f t="shared" si="176"/>
        <v>6.4086286045526829E-13</v>
      </c>
      <c r="DR198" s="20">
        <f t="shared" si="177"/>
        <v>1.1825802166488628E-12</v>
      </c>
      <c r="DS198" s="59">
        <f t="shared" si="197"/>
        <v>293.33333333333451</v>
      </c>
      <c r="DT198" s="59">
        <f ca="1">AVERAGE(OFFSET($DS$3,0,0,'Données projet'!$E$14+1,1))-AVERAGE(OFFSET($H$3,0,0,'Données projet'!$E$14+1,1))</f>
        <v>156.63226020379989</v>
      </c>
      <c r="DU198" s="59">
        <f t="shared" si="209"/>
        <v>196.0481096619543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8.9375636994525054E-2</v>
      </c>
      <c r="EC198" s="21">
        <f>EXP(-LN(2)/2)*EC197+(1-EXP(-LN(2)/2))/(LN(2)/2)*DW198*DZ198*VLOOKUP('Données projet'!$B$14,Paramètres!$A$1:$I$89,3,0)*0.475*44/12</f>
        <v>1.3267796561593917E-24</v>
      </c>
      <c r="ED198" s="22">
        <f t="shared" si="178"/>
        <v>8.9375636994525054E-2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-5.6843418860808015E-13</v>
      </c>
      <c r="EK198" s="17">
        <f>EJ198*VLOOKUP('Données projet'!$B$15,Paramètres!$A$1:$I$89,3,0)*VLOOKUP('Données projet'!$B$15,Paramètres!$A$1:$I$89,5,0)</f>
        <v>-5.763922672485933E-13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190.21499310415584</v>
      </c>
      <c r="EP198" s="59">
        <f t="shared" si="210"/>
        <v>136.15730566500173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7.1054273576010019E-14</v>
      </c>
      <c r="FF198" s="17">
        <f>FE198*VLOOKUP('Données projet'!$B$16,Paramètres!$A$1:$I$89,3,0)*VLOOKUP('Données projet'!$B$16,Paramètres!$A$1:$I$89,5,0)</f>
        <v>8.1854523159563538E-14</v>
      </c>
      <c r="FG198" s="13">
        <f t="shared" si="182"/>
        <v>1.2586836169904262E-12</v>
      </c>
      <c r="FH198" s="20">
        <f t="shared" si="183"/>
        <v>2.3347705940945655E-12</v>
      </c>
      <c r="FI198" s="59">
        <f t="shared" si="199"/>
        <v>293.33333333333564</v>
      </c>
      <c r="FJ198" s="59">
        <f ca="1">AVERAGE(OFFSET($FI$3,0,0,'Données projet'!$E$16+1,1))-AVERAGE(OFFSET($H$3,0,0,'Données projet'!$E$16+1,1))</f>
        <v>14.847345852478327</v>
      </c>
      <c r="FK198" s="59">
        <f t="shared" si="211"/>
        <v>46.764428272166299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1.8295529424510442E-2</v>
      </c>
      <c r="FS198" s="21">
        <f>EXP(-LN(2)/2)*FS197+(1-EXP(-LN(2)/2))/(LN(2)/2)*FM198*FP198*VLOOKUP('Données projet'!$B$16,Paramètres!$A$1:$I$89,3,0)*0.475*44/12</f>
        <v>2.8850374244993424E-25</v>
      </c>
      <c r="FT198" s="22">
        <f t="shared" si="184"/>
        <v>1.8295529424510442E-2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4.1145540308207271E-13</v>
      </c>
      <c r="P199" s="13">
        <f t="shared" si="203"/>
        <v>5.2428527960910789E-12</v>
      </c>
      <c r="Q199" s="20">
        <f t="shared" si="162"/>
        <v>9.8479201135599071E-12</v>
      </c>
      <c r="R199" s="59">
        <f t="shared" si="191"/>
        <v>293.33333333334315</v>
      </c>
      <c r="S199" s="59">
        <f ca="1">AVERAGE(OFFSET($R$3,0,0,'Données projet'!$E$9+1,1))-AVERAGE(OFFSET($H$3,0,0,'Données projet'!$E$9+1,1))</f>
        <v>221.7429870520005</v>
      </c>
      <c r="T199" s="59">
        <f t="shared" si="204"/>
        <v>182.2029938397186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-5.1159076974727213E-13</v>
      </c>
      <c r="AJ199" s="13">
        <f>AI199*VLOOKUP('Données projet'!$B$10,Paramètres!$A$1:$I$89,3,0)*VLOOKUP('Données projet'!$B$10,Paramètres!$A$1:$I$89,5,0)</f>
        <v>-4.0702161641092972E-13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260.20517190557814</v>
      </c>
      <c r="AO199" s="59">
        <f t="shared" si="205"/>
        <v>307.22009971147133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0.12186346692202137</v>
      </c>
      <c r="AV199" s="21">
        <f>EXP(-LN(2)/25)*AV198+(1-EXP(-LN(2)/25))/(LN(2)/25)*Calculateur!AQ199*Calculateur!AS199*VLOOKUP('Données projet'!$B$10,Paramètres!$A$1:$I$89,3,0)*0.475*44/12</f>
        <v>0.2057452308180219</v>
      </c>
      <c r="AW199" s="21">
        <f>EXP(-LN(2)/2)*AW198+(1-EXP(-LN(2)/2))/(LN(2)/2)*AQ199*AT199*VLOOKUP('Données projet'!$B$10,Paramètres!$A$1:$I$89,3,0)*0.475*44/12</f>
        <v>2.4855778847973732E-24</v>
      </c>
      <c r="AX199" s="21">
        <f t="shared" si="166"/>
        <v>0.32760869774004325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553.99999999999955</v>
      </c>
      <c r="BE199" s="13">
        <f>BD199*VLOOKUP('Données projet'!$B$11,Paramètres!$A$1:$I$89,3,0)*VLOOKUP('Données projet'!$B$11,Paramètres!$A$1:$I$89,5,0)</f>
        <v>331.29199999999975</v>
      </c>
      <c r="BF199" s="13">
        <f t="shared" si="167"/>
        <v>77.698110787752</v>
      </c>
      <c r="BG199" s="20">
        <f t="shared" si="168"/>
        <v>712.32444295533423</v>
      </c>
      <c r="BH199" s="59">
        <f t="shared" si="194"/>
        <v>1005.6577762886675</v>
      </c>
      <c r="BI199" s="59">
        <f ca="1">AVERAGE(OFFSET($BH$3,0,0,'Données projet'!$E$11+1,1))-AVERAGE(OFFSET($H$3,0,0,'Données projet'!$E$11+1,1))</f>
        <v>316.58509520829671</v>
      </c>
      <c r="BJ199" s="59">
        <f t="shared" si="206"/>
        <v>240.71332110643596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9.46581773348633E-2</v>
      </c>
      <c r="BQ199" s="21">
        <f>EXP(-LN(2)/25)*BQ198+(1-EXP(-LN(2)/25))/(LN(2)/25)*Calculateur!BL199*Calculateur!BN199*VLOOKUP('Données projet'!$B$11,Paramètres!$A$1:$I$89,3,0)*0.475*44/12</f>
        <v>0.15308791058832019</v>
      </c>
      <c r="BR199" s="21">
        <f>EXP(-LN(2)/2)*BR198+(1-EXP(-LN(2)/2))/(LN(2)/2)*BL199*BO199*VLOOKUP('Données projet'!$B$11,Paramètres!$A$1:$I$89,3,0)*0.475*44/12</f>
        <v>2.2684749049712749E-24</v>
      </c>
      <c r="BS199" s="22">
        <f t="shared" si="169"/>
        <v>0.24774608792318348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497</v>
      </c>
      <c r="BZ199" s="13">
        <f>BY199*VLOOKUP('Données projet'!$B$12,Paramètres!$A$1:$I$89,3,0)*VLOOKUP('Données projet'!$B$12,Paramètres!$A$1:$I$89,5,0)</f>
        <v>297.20600000000002</v>
      </c>
      <c r="CA199" s="13">
        <f t="shared" si="170"/>
        <v>70.590415164571112</v>
      </c>
      <c r="CB199" s="20">
        <f t="shared" si="171"/>
        <v>640.57875641162809</v>
      </c>
      <c r="CC199" s="59">
        <f t="shared" si="195"/>
        <v>933.91208974496135</v>
      </c>
      <c r="CD199" s="59">
        <f ca="1">AVERAGE(OFFSET($CC$3,0,0,'Données projet'!$E$12+1,1))-AVERAGE(OFFSET($H$3,0,0,'Données projet'!$E$12+1,1))</f>
        <v>270.30888762640245</v>
      </c>
      <c r="CE199" s="59">
        <f t="shared" si="207"/>
        <v>202.23783851977691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7.9992825916785831E-2</v>
      </c>
      <c r="CL199" s="21">
        <f>EXP(-LN(2)/25)*CL198+(1-EXP(-LN(2)/25))/(LN(2)/25)*Calculateur!CG199*Calculateur!CI199*VLOOKUP('Données projet'!$B$12,Paramètres!$A$1:$I$89,3,0)*0.475*44/12</f>
        <v>0.1232811608139128</v>
      </c>
      <c r="CM199" s="21">
        <f>EXP(-LN(2)/2)*CM198+(1-EXP(-LN(2)/2))/(LN(2)/2)*CG199*CJ199*VLOOKUP('Données projet'!$B$12,Paramètres!$A$1:$I$89,3,0)*0.475*44/12</f>
        <v>1.9120909122816874E-24</v>
      </c>
      <c r="CN199" s="22">
        <f t="shared" si="172"/>
        <v>0.20327398673069863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-5.1159076974727213E-13</v>
      </c>
      <c r="CU199" s="17">
        <f>CT199*VLOOKUP('Données projet'!$B$13,Paramètres!$A$1:$I$89,3,0)*VLOOKUP('Données projet'!$B$13,Paramètres!$A$1:$I$89,5,0)</f>
        <v>-3.4317508834647017E-13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207.93042467236967</v>
      </c>
      <c r="CZ199" s="59">
        <f t="shared" si="208"/>
        <v>250.70954318710835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0.10274762897346891</v>
      </c>
      <c r="DG199" s="21">
        <f>EXP(-LN(2)/25)*DG198+(1-EXP(-LN(2)/25))/(LN(2)/25)*Calculateur!DB199*Calculateur!DD199*VLOOKUP('Données projet'!$B$13,Paramètres!$A$1:$I$89,3,0)*0.475*44/12</f>
        <v>0.17347146912107755</v>
      </c>
      <c r="DH199" s="21">
        <f>EXP(-LN(2)/2)*DH198+(1-EXP(-LN(2)/2))/(LN(2)/2)*DB199*DE199*VLOOKUP('Données projet'!$B$13,Paramètres!$A$1:$I$89,3,0)*0.475*44/12</f>
        <v>2.0956833146330792E-24</v>
      </c>
      <c r="DI199" s="22">
        <f t="shared" si="175"/>
        <v>0.27621909809454648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5.6843418860808015E-14</v>
      </c>
      <c r="DP199" s="17">
        <f>DO199*VLOOKUP('Données projet'!$B$14,Paramètres!$A$1:$I$89,3,0)*VLOOKUP('Données projet'!$B$14,Paramètres!$A$1:$I$89,5,0)</f>
        <v>3.813056537183002E-14</v>
      </c>
      <c r="DQ199" s="13">
        <f t="shared" si="176"/>
        <v>6.4086286045526829E-13</v>
      </c>
      <c r="DR199" s="20">
        <f t="shared" si="177"/>
        <v>1.1825802166488628E-12</v>
      </c>
      <c r="DS199" s="59">
        <f t="shared" si="197"/>
        <v>293.33333333333451</v>
      </c>
      <c r="DT199" s="59">
        <f ca="1">AVERAGE(OFFSET($DS$3,0,0,'Données projet'!$E$14+1,1))-AVERAGE(OFFSET($H$3,0,0,'Données projet'!$E$14+1,1))</f>
        <v>156.63226020379989</v>
      </c>
      <c r="DU199" s="59">
        <f t="shared" si="209"/>
        <v>196.0481096619543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8.6931655500849289E-2</v>
      </c>
      <c r="EC199" s="21">
        <f>EXP(-LN(2)/2)*EC198+(1-EXP(-LN(2)/2))/(LN(2)/2)*DW199*DZ199*VLOOKUP('Données projet'!$B$14,Paramètres!$A$1:$I$89,3,0)*0.475*44/12</f>
        <v>9.3817489201066172E-25</v>
      </c>
      <c r="ED199" s="22">
        <f t="shared" si="178"/>
        <v>8.6931655500849289E-2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-5.6843418860808015E-13</v>
      </c>
      <c r="EK199" s="17">
        <f>EJ199*VLOOKUP('Données projet'!$B$15,Paramètres!$A$1:$I$89,3,0)*VLOOKUP('Données projet'!$B$15,Paramètres!$A$1:$I$89,5,0)</f>
        <v>-5.763922672485933E-13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190.21499310415584</v>
      </c>
      <c r="EP199" s="59">
        <f t="shared" si="210"/>
        <v>136.15730566500173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7.1054273576010019E-14</v>
      </c>
      <c r="FF199" s="17">
        <f>FE199*VLOOKUP('Données projet'!$B$16,Paramètres!$A$1:$I$89,3,0)*VLOOKUP('Données projet'!$B$16,Paramètres!$A$1:$I$89,5,0)</f>
        <v>8.1854523159563538E-14</v>
      </c>
      <c r="FG199" s="13">
        <f t="shared" si="182"/>
        <v>1.2586836169904262E-12</v>
      </c>
      <c r="FH199" s="20">
        <f t="shared" si="183"/>
        <v>2.3347705940945655E-12</v>
      </c>
      <c r="FI199" s="59">
        <f t="shared" si="199"/>
        <v>293.33333333333564</v>
      </c>
      <c r="FJ199" s="59">
        <f ca="1">AVERAGE(OFFSET($FI$3,0,0,'Données projet'!$E$16+1,1))-AVERAGE(OFFSET($H$3,0,0,'Données projet'!$E$16+1,1))</f>
        <v>14.847345852478327</v>
      </c>
      <c r="FK199" s="59">
        <f t="shared" si="211"/>
        <v>46.764428272166299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1.7795237210277128E-2</v>
      </c>
      <c r="FS199" s="21">
        <f>EXP(-LN(2)/2)*FS198+(1-EXP(-LN(2)/2))/(LN(2)/2)*FM199*FP199*VLOOKUP('Données projet'!$B$16,Paramètres!$A$1:$I$89,3,0)*0.475*44/12</f>
        <v>2.0400295268404573E-25</v>
      </c>
      <c r="FT199" s="22">
        <f t="shared" si="184"/>
        <v>1.7795237210277128E-2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4.1145540308207271E-13</v>
      </c>
      <c r="P200" s="13">
        <f t="shared" si="203"/>
        <v>5.2428527960910789E-12</v>
      </c>
      <c r="Q200" s="20">
        <f t="shared" si="162"/>
        <v>9.8479201135599071E-12</v>
      </c>
      <c r="R200" s="59">
        <f t="shared" si="191"/>
        <v>293.33333333334315</v>
      </c>
      <c r="S200" s="59">
        <f ca="1">AVERAGE(OFFSET($R$3,0,0,'Données projet'!$E$9+1,1))-AVERAGE(OFFSET($H$3,0,0,'Données projet'!$E$9+1,1))</f>
        <v>221.7429870520005</v>
      </c>
      <c r="T200" s="59">
        <f t="shared" si="204"/>
        <v>182.2029938397186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-5.1159076974727213E-13</v>
      </c>
      <c r="AJ200" s="13">
        <f>AI200*VLOOKUP('Données projet'!$B$10,Paramètres!$A$1:$I$89,3,0)*VLOOKUP('Données projet'!$B$10,Paramètres!$A$1:$I$89,5,0)</f>
        <v>-4.0702161641092972E-13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260.20517190557814</v>
      </c>
      <c r="AO200" s="59">
        <f t="shared" si="205"/>
        <v>307.22009971147133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0.11947379866505593</v>
      </c>
      <c r="AV200" s="21">
        <f>EXP(-LN(2)/25)*AV199+(1-EXP(-LN(2)/25))/(LN(2)/25)*Calculateur!AQ200*Calculateur!AS200*VLOOKUP('Données projet'!$B$10,Paramètres!$A$1:$I$89,3,0)*0.475*44/12</f>
        <v>0.20011911666163165</v>
      </c>
      <c r="AW200" s="21">
        <f>EXP(-LN(2)/2)*AW199+(1-EXP(-LN(2)/2))/(LN(2)/2)*AQ200*AT200*VLOOKUP('Données projet'!$B$10,Paramètres!$A$1:$I$89,3,0)*0.475*44/12</f>
        <v>1.7575689775075378E-24</v>
      </c>
      <c r="AX200" s="21">
        <f t="shared" si="166"/>
        <v>0.3195929153266876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553.99999999999955</v>
      </c>
      <c r="BE200" s="13">
        <f>BD200*VLOOKUP('Données projet'!$B$11,Paramètres!$A$1:$I$89,3,0)*VLOOKUP('Données projet'!$B$11,Paramètres!$A$1:$I$89,5,0)</f>
        <v>331.29199999999975</v>
      </c>
      <c r="BF200" s="13">
        <f t="shared" si="167"/>
        <v>77.698110787752</v>
      </c>
      <c r="BG200" s="20">
        <f t="shared" si="168"/>
        <v>712.32444295533423</v>
      </c>
      <c r="BH200" s="59">
        <f t="shared" si="194"/>
        <v>1005.6577762886675</v>
      </c>
      <c r="BI200" s="59">
        <f ca="1">AVERAGE(OFFSET($BH$3,0,0,'Données projet'!$E$11+1,1))-AVERAGE(OFFSET($H$3,0,0,'Données projet'!$E$11+1,1))</f>
        <v>316.58509520829671</v>
      </c>
      <c r="BJ200" s="59">
        <f t="shared" si="206"/>
        <v>240.71332110643596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9.2801988213113876E-2</v>
      </c>
      <c r="BQ200" s="21">
        <f>EXP(-LN(2)/25)*BQ199+(1-EXP(-LN(2)/25))/(LN(2)/25)*Calculateur!BL200*Calculateur!BN200*VLOOKUP('Données projet'!$B$11,Paramètres!$A$1:$I$89,3,0)*0.475*44/12</f>
        <v>0.14890171362273924</v>
      </c>
      <c r="BR200" s="21">
        <f>EXP(-LN(2)/2)*BR199+(1-EXP(-LN(2)/2))/(LN(2)/2)*BL200*BO200*VLOOKUP('Données projet'!$B$11,Paramètres!$A$1:$I$89,3,0)*0.475*44/12</f>
        <v>1.6040539882566975E-24</v>
      </c>
      <c r="BS200" s="22">
        <f t="shared" si="169"/>
        <v>0.2417037018358531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497</v>
      </c>
      <c r="BZ200" s="13">
        <f>BY200*VLOOKUP('Données projet'!$B$12,Paramètres!$A$1:$I$89,3,0)*VLOOKUP('Données projet'!$B$12,Paramètres!$A$1:$I$89,5,0)</f>
        <v>297.20600000000002</v>
      </c>
      <c r="CA200" s="13">
        <f t="shared" si="170"/>
        <v>70.590415164571112</v>
      </c>
      <c r="CB200" s="20">
        <f t="shared" si="171"/>
        <v>640.57875641162809</v>
      </c>
      <c r="CC200" s="59">
        <f t="shared" si="195"/>
        <v>933.91208974496135</v>
      </c>
      <c r="CD200" s="59">
        <f ca="1">AVERAGE(OFFSET($CC$3,0,0,'Données projet'!$E$12+1,1))-AVERAGE(OFFSET($H$3,0,0,'Données projet'!$E$12+1,1))</f>
        <v>270.30888762640245</v>
      </c>
      <c r="CE200" s="59">
        <f t="shared" si="207"/>
        <v>202.23783851977691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7.842421539136378E-2</v>
      </c>
      <c r="CL200" s="21">
        <f>EXP(-LN(2)/25)*CL199+(1-EXP(-LN(2)/25))/(LN(2)/25)*Calculateur!CG200*Calculateur!CI200*VLOOKUP('Données projet'!$B$12,Paramètres!$A$1:$I$89,3,0)*0.475*44/12</f>
        <v>0.11991003098838186</v>
      </c>
      <c r="CM200" s="21">
        <f>EXP(-LN(2)/2)*CM199+(1-EXP(-LN(2)/2))/(LN(2)/2)*CG200*CJ200*VLOOKUP('Données projet'!$B$12,Paramètres!$A$1:$I$89,3,0)*0.475*44/12</f>
        <v>1.3520524503195532E-24</v>
      </c>
      <c r="CN200" s="22">
        <f t="shared" si="172"/>
        <v>0.19833424637974564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-5.1159076974727213E-13</v>
      </c>
      <c r="CU200" s="17">
        <f>CT200*VLOOKUP('Données projet'!$B$13,Paramètres!$A$1:$I$89,3,0)*VLOOKUP('Données projet'!$B$13,Paramètres!$A$1:$I$89,5,0)</f>
        <v>-3.4317508834647017E-13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207.93042467236967</v>
      </c>
      <c r="CZ200" s="59">
        <f t="shared" si="208"/>
        <v>250.70954318710835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0.10073281063916473</v>
      </c>
      <c r="DG200" s="21">
        <f>EXP(-LN(2)/25)*DG199+(1-EXP(-LN(2)/25))/(LN(2)/25)*Calculateur!DB200*Calculateur!DD200*VLOOKUP('Données projet'!$B$13,Paramètres!$A$1:$I$89,3,0)*0.475*44/12</f>
        <v>0.1687278826754936</v>
      </c>
      <c r="DH200" s="21">
        <f>EXP(-LN(2)/2)*DH199+(1-EXP(-LN(2)/2))/(LN(2)/2)*DB200*DE200*VLOOKUP('Données projet'!$B$13,Paramètres!$A$1:$I$89,3,0)*0.475*44/12</f>
        <v>1.4818718829965514E-24</v>
      </c>
      <c r="DI200" s="22">
        <f t="shared" si="175"/>
        <v>0.26946069331465833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5.6843418860808015E-14</v>
      </c>
      <c r="DP200" s="17">
        <f>DO200*VLOOKUP('Données projet'!$B$14,Paramètres!$A$1:$I$89,3,0)*VLOOKUP('Données projet'!$B$14,Paramètres!$A$1:$I$89,5,0)</f>
        <v>3.813056537183002E-14</v>
      </c>
      <c r="DQ200" s="13">
        <f t="shared" si="176"/>
        <v>6.4086286045526829E-13</v>
      </c>
      <c r="DR200" s="20">
        <f t="shared" si="177"/>
        <v>1.1825802166488628E-12</v>
      </c>
      <c r="DS200" s="59">
        <f t="shared" si="197"/>
        <v>293.33333333333451</v>
      </c>
      <c r="DT200" s="59">
        <f ca="1">AVERAGE(OFFSET($DS$3,0,0,'Données projet'!$E$14+1,1))-AVERAGE(OFFSET($H$3,0,0,'Données projet'!$E$14+1,1))</f>
        <v>156.63226020379989</v>
      </c>
      <c r="DU200" s="59">
        <f t="shared" si="209"/>
        <v>196.0481096619543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8.4554504809641481E-2</v>
      </c>
      <c r="EC200" s="21">
        <f>EXP(-LN(2)/2)*EC199+(1-EXP(-LN(2)/2))/(LN(2)/2)*DW200*DZ200*VLOOKUP('Données projet'!$B$14,Paramètres!$A$1:$I$89,3,0)*0.475*44/12</f>
        <v>6.6338982807969583E-25</v>
      </c>
      <c r="ED200" s="22">
        <f t="shared" si="178"/>
        <v>8.4554504809641481E-2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-5.6843418860808015E-13</v>
      </c>
      <c r="EK200" s="17">
        <f>EJ200*VLOOKUP('Données projet'!$B$15,Paramètres!$A$1:$I$89,3,0)*VLOOKUP('Données projet'!$B$15,Paramètres!$A$1:$I$89,5,0)</f>
        <v>-5.763922672485933E-13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190.21499310415584</v>
      </c>
      <c r="EP200" s="59">
        <f t="shared" si="210"/>
        <v>136.15730566500173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7.1054273576010019E-14</v>
      </c>
      <c r="FF200" s="17">
        <f>FE200*VLOOKUP('Données projet'!$B$16,Paramètres!$A$1:$I$89,3,0)*VLOOKUP('Données projet'!$B$16,Paramètres!$A$1:$I$89,5,0)</f>
        <v>8.1854523159563538E-14</v>
      </c>
      <c r="FG200" s="13">
        <f t="shared" si="182"/>
        <v>1.2586836169904262E-12</v>
      </c>
      <c r="FH200" s="20">
        <f t="shared" si="183"/>
        <v>2.3347705940945655E-12</v>
      </c>
      <c r="FI200" s="59">
        <f t="shared" si="199"/>
        <v>293.33333333333564</v>
      </c>
      <c r="FJ200" s="59">
        <f ca="1">AVERAGE(OFFSET($FI$3,0,0,'Données projet'!$E$16+1,1))-AVERAGE(OFFSET($H$3,0,0,'Données projet'!$E$16+1,1))</f>
        <v>14.847345852478327</v>
      </c>
      <c r="FK200" s="59">
        <f t="shared" si="211"/>
        <v>46.764428272166299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1.7308625512951245E-2</v>
      </c>
      <c r="FS200" s="21">
        <f>EXP(-LN(2)/2)*FS199+(1-EXP(-LN(2)/2))/(LN(2)/2)*FM200*FP200*VLOOKUP('Données projet'!$B$16,Paramètres!$A$1:$I$89,3,0)*0.475*44/12</f>
        <v>1.4425187122496714E-25</v>
      </c>
      <c r="FT200" s="22">
        <f t="shared" si="184"/>
        <v>1.7308625512951245E-2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4.1145540308207271E-13</v>
      </c>
      <c r="P201" s="13">
        <f t="shared" si="203"/>
        <v>5.2428527960910789E-12</v>
      </c>
      <c r="Q201" s="20">
        <f t="shared" si="162"/>
        <v>9.8479201135599071E-12</v>
      </c>
      <c r="R201" s="59">
        <f t="shared" si="191"/>
        <v>293.33333333334315</v>
      </c>
      <c r="S201" s="59">
        <f ca="1">AVERAGE(OFFSET($R$3,0,0,'Données projet'!$E$9+1,1))-AVERAGE(OFFSET($H$3,0,0,'Données projet'!$E$9+1,1))</f>
        <v>221.7429870520005</v>
      </c>
      <c r="T201" s="59">
        <f t="shared" si="204"/>
        <v>182.2029938397186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-5.1159076974727213E-13</v>
      </c>
      <c r="AJ201" s="13">
        <f>AI201*VLOOKUP('Données projet'!$B$10,Paramètres!$A$1:$I$89,3,0)*VLOOKUP('Données projet'!$B$10,Paramètres!$A$1:$I$89,5,0)</f>
        <v>-4.0702161641092972E-13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260.20517190557814</v>
      </c>
      <c r="AO201" s="59">
        <f t="shared" si="205"/>
        <v>307.22009971147133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0.11713099034505588</v>
      </c>
      <c r="AV201" s="21">
        <f>EXP(-LN(2)/25)*AV200+(1-EXP(-LN(2)/25))/(LN(2)/25)*Calculateur!AQ201*Calculateur!AS201*VLOOKUP('Données projet'!$B$10,Paramètres!$A$1:$I$89,3,0)*0.475*44/12</f>
        <v>0.19464684889271236</v>
      </c>
      <c r="AW201" s="21">
        <f>EXP(-LN(2)/2)*AW200+(1-EXP(-LN(2)/2))/(LN(2)/2)*AQ201*AT201*VLOOKUP('Données projet'!$B$10,Paramètres!$A$1:$I$89,3,0)*0.475*44/12</f>
        <v>1.2427889423986866E-24</v>
      </c>
      <c r="AX201" s="21">
        <f t="shared" si="166"/>
        <v>0.31177783923776825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553.99999999999955</v>
      </c>
      <c r="BE201" s="13">
        <f>BD201*VLOOKUP('Données projet'!$B$11,Paramètres!$A$1:$I$89,3,0)*VLOOKUP('Données projet'!$B$11,Paramètres!$A$1:$I$89,5,0)</f>
        <v>331.29199999999975</v>
      </c>
      <c r="BF201" s="13">
        <f t="shared" si="167"/>
        <v>77.698110787752</v>
      </c>
      <c r="BG201" s="20">
        <f t="shared" si="168"/>
        <v>712.32444295533423</v>
      </c>
      <c r="BH201" s="59">
        <f t="shared" si="194"/>
        <v>1005.6577762886675</v>
      </c>
      <c r="BI201" s="59">
        <f ca="1">AVERAGE(OFFSET($BH$3,0,0,'Données projet'!$E$11+1,1))-AVERAGE(OFFSET($H$3,0,0,'Données projet'!$E$11+1,1))</f>
        <v>316.58509520829671</v>
      </c>
      <c r="BJ201" s="59">
        <f t="shared" si="206"/>
        <v>240.71332110643596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9.0982197827878378E-2</v>
      </c>
      <c r="BQ201" s="21">
        <f>EXP(-LN(2)/25)*BQ200+(1-EXP(-LN(2)/25))/(LN(2)/25)*Calculateur!BL201*Calculateur!BN201*VLOOKUP('Données projet'!$B$11,Paramètres!$A$1:$I$89,3,0)*0.475*44/12</f>
        <v>0.14482998843332465</v>
      </c>
      <c r="BR201" s="21">
        <f>EXP(-LN(2)/2)*BR200+(1-EXP(-LN(2)/2))/(LN(2)/2)*BL201*BO201*VLOOKUP('Données projet'!$B$11,Paramètres!$A$1:$I$89,3,0)*0.475*44/12</f>
        <v>1.1342374524856374E-24</v>
      </c>
      <c r="BS201" s="22">
        <f t="shared" si="169"/>
        <v>0.23581218626120304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497</v>
      </c>
      <c r="BZ201" s="13">
        <f>BY201*VLOOKUP('Données projet'!$B$12,Paramètres!$A$1:$I$89,3,0)*VLOOKUP('Données projet'!$B$12,Paramètres!$A$1:$I$89,5,0)</f>
        <v>297.20600000000002</v>
      </c>
      <c r="CA201" s="13">
        <f t="shared" si="170"/>
        <v>70.590415164571112</v>
      </c>
      <c r="CB201" s="20">
        <f t="shared" si="171"/>
        <v>640.57875641162809</v>
      </c>
      <c r="CC201" s="59">
        <f t="shared" si="195"/>
        <v>933.91208974496135</v>
      </c>
      <c r="CD201" s="59">
        <f ca="1">AVERAGE(OFFSET($CC$3,0,0,'Données projet'!$E$12+1,1))-AVERAGE(OFFSET($H$3,0,0,'Données projet'!$E$12+1,1))</f>
        <v>270.30888762640245</v>
      </c>
      <c r="CE201" s="59">
        <f t="shared" si="207"/>
        <v>202.23783851977691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7.68863643615873E-2</v>
      </c>
      <c r="CL201" s="21">
        <f>EXP(-LN(2)/25)*CL200+(1-EXP(-LN(2)/25))/(LN(2)/25)*Calculateur!CG201*Calculateur!CI201*VLOOKUP('Données projet'!$B$12,Paramètres!$A$1:$I$89,3,0)*0.475*44/12</f>
        <v>0.1166310848852101</v>
      </c>
      <c r="CM201" s="21">
        <f>EXP(-LN(2)/2)*CM200+(1-EXP(-LN(2)/2))/(LN(2)/2)*CG201*CJ201*VLOOKUP('Données projet'!$B$12,Paramètres!$A$1:$I$89,3,0)*0.475*44/12</f>
        <v>9.5604545614084372E-25</v>
      </c>
      <c r="CN201" s="22">
        <f t="shared" si="172"/>
        <v>0.1935174492467974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-5.1159076974727213E-13</v>
      </c>
      <c r="CU201" s="17">
        <f>CT201*VLOOKUP('Données projet'!$B$13,Paramètres!$A$1:$I$89,3,0)*VLOOKUP('Données projet'!$B$13,Paramètres!$A$1:$I$89,5,0)</f>
        <v>-3.4317508834647017E-13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207.93042467236967</v>
      </c>
      <c r="CZ201" s="59">
        <f t="shared" si="208"/>
        <v>250.70954318710835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9.8757501663478409E-2</v>
      </c>
      <c r="DG201" s="21">
        <f>EXP(-LN(2)/25)*DG200+(1-EXP(-LN(2)/25))/(LN(2)/25)*Calculateur!DB201*Calculateur!DD201*VLOOKUP('Données projet'!$B$13,Paramètres!$A$1:$I$89,3,0)*0.475*44/12</f>
        <v>0.1641140098507185</v>
      </c>
      <c r="DH201" s="21">
        <f>EXP(-LN(2)/2)*DH200+(1-EXP(-LN(2)/2))/(LN(2)/2)*DB201*DE201*VLOOKUP('Données projet'!$B$13,Paramètres!$A$1:$I$89,3,0)*0.475*44/12</f>
        <v>1.0478416573165396E-24</v>
      </c>
      <c r="DI201" s="22">
        <f t="shared" si="175"/>
        <v>0.26287151151419691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5.6843418860808015E-14</v>
      </c>
      <c r="DP201" s="17">
        <f>DO201*VLOOKUP('Données projet'!$B$14,Paramètres!$A$1:$I$89,3,0)*VLOOKUP('Données projet'!$B$14,Paramètres!$A$1:$I$89,5,0)</f>
        <v>3.813056537183002E-14</v>
      </c>
      <c r="DQ201" s="13">
        <f t="shared" si="176"/>
        <v>6.4086286045526829E-13</v>
      </c>
      <c r="DR201" s="20">
        <f t="shared" si="177"/>
        <v>1.1825802166488628E-12</v>
      </c>
      <c r="DS201" s="59">
        <f t="shared" si="197"/>
        <v>293.33333333333451</v>
      </c>
      <c r="DT201" s="59">
        <f ca="1">AVERAGE(OFFSET($DS$3,0,0,'Données projet'!$E$14+1,1))-AVERAGE(OFFSET($H$3,0,0,'Données projet'!$E$14+1,1))</f>
        <v>156.63226020379989</v>
      </c>
      <c r="DU201" s="59">
        <f t="shared" si="209"/>
        <v>196.0481096619543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8.2242357429093679E-2</v>
      </c>
      <c r="EC201" s="21">
        <f>EXP(-LN(2)/2)*EC200+(1-EXP(-LN(2)/2))/(LN(2)/2)*DW201*DZ201*VLOOKUP('Données projet'!$B$14,Paramètres!$A$1:$I$89,3,0)*0.475*44/12</f>
        <v>4.6908744600533086E-25</v>
      </c>
      <c r="ED201" s="22">
        <f t="shared" si="178"/>
        <v>8.2242357429093679E-2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-5.6843418860808015E-13</v>
      </c>
      <c r="EK201" s="17">
        <f>EJ201*VLOOKUP('Données projet'!$B$15,Paramètres!$A$1:$I$89,3,0)*VLOOKUP('Données projet'!$B$15,Paramètres!$A$1:$I$89,5,0)</f>
        <v>-5.763922672485933E-13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190.21499310415584</v>
      </c>
      <c r="EP201" s="59">
        <f t="shared" si="210"/>
        <v>136.15730566500173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7.1054273576010019E-14</v>
      </c>
      <c r="FF201" s="17">
        <f>FE201*VLOOKUP('Données projet'!$B$16,Paramètres!$A$1:$I$89,3,0)*VLOOKUP('Données projet'!$B$16,Paramètres!$A$1:$I$89,5,0)</f>
        <v>8.1854523159563538E-14</v>
      </c>
      <c r="FG201" s="13">
        <f t="shared" si="182"/>
        <v>1.2586836169904262E-12</v>
      </c>
      <c r="FH201" s="20">
        <f t="shared" si="183"/>
        <v>2.3347705940945655E-12</v>
      </c>
      <c r="FI201" s="59">
        <f t="shared" si="199"/>
        <v>293.33333333333564</v>
      </c>
      <c r="FJ201" s="59">
        <f ca="1">AVERAGE(OFFSET($FI$3,0,0,'Données projet'!$E$16+1,1))-AVERAGE(OFFSET($H$3,0,0,'Données projet'!$E$16+1,1))</f>
        <v>14.847345852478327</v>
      </c>
      <c r="FK201" s="59">
        <f t="shared" si="211"/>
        <v>46.764428272166299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1.6835320238078537E-2</v>
      </c>
      <c r="FS201" s="21">
        <f>EXP(-LN(2)/2)*FS200+(1-EXP(-LN(2)/2))/(LN(2)/2)*FM201*FP201*VLOOKUP('Données projet'!$B$16,Paramètres!$A$1:$I$89,3,0)*0.475*44/12</f>
        <v>1.0200147634202288E-25</v>
      </c>
      <c r="FT201" s="22">
        <f t="shared" si="184"/>
        <v>1.6835320238078537E-2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4.1145540308207271E-13</v>
      </c>
      <c r="P202" s="13">
        <f t="shared" si="203"/>
        <v>5.2428527960910789E-12</v>
      </c>
      <c r="Q202" s="20">
        <f t="shared" si="162"/>
        <v>9.8479201135599071E-12</v>
      </c>
      <c r="R202" s="59">
        <f t="shared" si="191"/>
        <v>293.33333333334315</v>
      </c>
      <c r="S202" s="59">
        <f ca="1">AVERAGE(OFFSET($R$3,0,0,'Données projet'!$E$9+1,1))-AVERAGE(OFFSET($H$3,0,0,'Données projet'!$E$9+1,1))</f>
        <v>221.7429870520005</v>
      </c>
      <c r="T202" s="59">
        <f t="shared" si="204"/>
        <v>182.2029938397186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-5.1159076974727213E-13</v>
      </c>
      <c r="AJ202" s="13">
        <f>AI202*VLOOKUP('Données projet'!$B$10,Paramètres!$A$1:$I$89,3,0)*VLOOKUP('Données projet'!$B$10,Paramètres!$A$1:$I$89,5,0)</f>
        <v>-4.0702161641092972E-13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260.20517190557814</v>
      </c>
      <c r="AO202" s="59">
        <f t="shared" si="205"/>
        <v>307.22009971147133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0.11483412306723904</v>
      </c>
      <c r="AV202" s="21">
        <f>EXP(-LN(2)/25)*AV201+(1-EXP(-LN(2)/25))/(LN(2)/25)*Calculateur!AQ202*Calculateur!AS202*VLOOKUP('Données projet'!$B$10,Paramètres!$A$1:$I$89,3,0)*0.475*44/12</f>
        <v>0.18932422057370824</v>
      </c>
      <c r="AW202" s="21">
        <f>EXP(-LN(2)/2)*AW201+(1-EXP(-LN(2)/2))/(LN(2)/2)*AQ202*AT202*VLOOKUP('Données projet'!$B$10,Paramètres!$A$1:$I$89,3,0)*0.475*44/12</f>
        <v>8.7878448875376891E-25</v>
      </c>
      <c r="AX202" s="21">
        <f t="shared" si="166"/>
        <v>0.30415834364094729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553.99999999999955</v>
      </c>
      <c r="BE202" s="13">
        <f>BD202*VLOOKUP('Données projet'!$B$11,Paramètres!$A$1:$I$89,3,0)*VLOOKUP('Données projet'!$B$11,Paramètres!$A$1:$I$89,5,0)</f>
        <v>331.29199999999975</v>
      </c>
      <c r="BF202" s="13">
        <f t="shared" si="167"/>
        <v>77.698110787752</v>
      </c>
      <c r="BG202" s="20">
        <f t="shared" si="168"/>
        <v>712.32444295533423</v>
      </c>
      <c r="BH202" s="59">
        <f t="shared" si="194"/>
        <v>1005.6577762886675</v>
      </c>
      <c r="BI202" s="59">
        <f ca="1">AVERAGE(OFFSET($BH$3,0,0,'Données projet'!$E$11+1,1))-AVERAGE(OFFSET($H$3,0,0,'Données projet'!$E$11+1,1))</f>
        <v>316.58509520829671</v>
      </c>
      <c r="BJ202" s="59">
        <f t="shared" si="206"/>
        <v>240.71332110643596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8.919809242213482E-2</v>
      </c>
      <c r="BQ202" s="21">
        <f>EXP(-LN(2)/25)*BQ201+(1-EXP(-LN(2)/25))/(LN(2)/25)*Calculateur!BL202*Calculateur!BN202*VLOOKUP('Données projet'!$B$11,Paramètres!$A$1:$I$89,3,0)*0.475*44/12</f>
        <v>0.14086960478333729</v>
      </c>
      <c r="BR202" s="21">
        <f>EXP(-LN(2)/2)*BR201+(1-EXP(-LN(2)/2))/(LN(2)/2)*BL202*BO202*VLOOKUP('Données projet'!$B$11,Paramètres!$A$1:$I$89,3,0)*0.475*44/12</f>
        <v>8.0202699412834874E-25</v>
      </c>
      <c r="BS202" s="22">
        <f t="shared" si="169"/>
        <v>0.2300676972054721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497</v>
      </c>
      <c r="BZ202" s="13">
        <f>BY202*VLOOKUP('Données projet'!$B$12,Paramètres!$A$1:$I$89,3,0)*VLOOKUP('Données projet'!$B$12,Paramètres!$A$1:$I$89,5,0)</f>
        <v>297.20600000000002</v>
      </c>
      <c r="CA202" s="13">
        <f t="shared" si="170"/>
        <v>70.590415164571112</v>
      </c>
      <c r="CB202" s="20">
        <f t="shared" si="171"/>
        <v>640.57875641162809</v>
      </c>
      <c r="CC202" s="59">
        <f t="shared" si="195"/>
        <v>933.91208974496135</v>
      </c>
      <c r="CD202" s="59">
        <f ca="1">AVERAGE(OFFSET($CC$3,0,0,'Données projet'!$E$12+1,1))-AVERAGE(OFFSET($H$3,0,0,'Données projet'!$E$12+1,1))</f>
        <v>270.30888762640245</v>
      </c>
      <c r="CE202" s="59">
        <f t="shared" si="207"/>
        <v>202.23783851977691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7.5378669652508237E-2</v>
      </c>
      <c r="CL202" s="21">
        <f>EXP(-LN(2)/25)*CL201+(1-EXP(-LN(2)/25))/(LN(2)/25)*Calculateur!CG202*Calculateur!CI202*VLOOKUP('Données projet'!$B$12,Paramètres!$A$1:$I$89,3,0)*0.475*44/12</f>
        <v>0.11344180173566183</v>
      </c>
      <c r="CM202" s="21">
        <f>EXP(-LN(2)/2)*CM201+(1-EXP(-LN(2)/2))/(LN(2)/2)*CG202*CJ202*VLOOKUP('Données projet'!$B$12,Paramètres!$A$1:$I$89,3,0)*0.475*44/12</f>
        <v>6.760262251597766E-25</v>
      </c>
      <c r="CN202" s="22">
        <f t="shared" si="172"/>
        <v>0.18882047138817007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-5.1159076974727213E-13</v>
      </c>
      <c r="CU202" s="17">
        <f>CT202*VLOOKUP('Données projet'!$B$13,Paramètres!$A$1:$I$89,3,0)*VLOOKUP('Données projet'!$B$13,Paramètres!$A$1:$I$89,5,0)</f>
        <v>-3.4317508834647017E-13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207.93042467236967</v>
      </c>
      <c r="CZ202" s="59">
        <f t="shared" si="208"/>
        <v>250.70954318710835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9.6820927291985784E-2</v>
      </c>
      <c r="DG202" s="21">
        <f>EXP(-LN(2)/25)*DG201+(1-EXP(-LN(2)/25))/(LN(2)/25)*Calculateur!DB202*Calculateur!DD202*VLOOKUP('Données projet'!$B$13,Paramètres!$A$1:$I$89,3,0)*0.475*44/12</f>
        <v>0.15962630362096991</v>
      </c>
      <c r="DH202" s="21">
        <f>EXP(-LN(2)/2)*DH201+(1-EXP(-LN(2)/2))/(LN(2)/2)*DB202*DE202*VLOOKUP('Données projet'!$B$13,Paramètres!$A$1:$I$89,3,0)*0.475*44/12</f>
        <v>7.4093594149827571E-25</v>
      </c>
      <c r="DI202" s="22">
        <f t="shared" si="175"/>
        <v>0.25644723091295568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5.6843418860808015E-14</v>
      </c>
      <c r="DP202" s="17">
        <f>DO202*VLOOKUP('Données projet'!$B$14,Paramètres!$A$1:$I$89,3,0)*VLOOKUP('Données projet'!$B$14,Paramètres!$A$1:$I$89,5,0)</f>
        <v>3.813056537183002E-14</v>
      </c>
      <c r="DQ202" s="13">
        <f t="shared" si="176"/>
        <v>6.4086286045526829E-13</v>
      </c>
      <c r="DR202" s="20">
        <f t="shared" si="177"/>
        <v>1.1825802166488628E-12</v>
      </c>
      <c r="DS202" s="59">
        <f t="shared" si="197"/>
        <v>293.33333333333451</v>
      </c>
      <c r="DT202" s="59">
        <f ca="1">AVERAGE(OFFSET($DS$3,0,0,'Données projet'!$E$14+1,1))-AVERAGE(OFFSET($H$3,0,0,'Données projet'!$E$14+1,1))</f>
        <v>156.63226020379989</v>
      </c>
      <c r="DU202" s="59">
        <f t="shared" si="209"/>
        <v>196.0481096619543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7.9993435840257504E-2</v>
      </c>
      <c r="EC202" s="21">
        <f>EXP(-LN(2)/2)*EC201+(1-EXP(-LN(2)/2))/(LN(2)/2)*DW202*DZ202*VLOOKUP('Données projet'!$B$14,Paramètres!$A$1:$I$89,3,0)*0.475*44/12</f>
        <v>3.3169491403984792E-25</v>
      </c>
      <c r="ED202" s="22">
        <f t="shared" si="178"/>
        <v>7.9993435840257504E-2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-5.6843418860808015E-13</v>
      </c>
      <c r="EK202" s="17">
        <f>EJ202*VLOOKUP('Données projet'!$B$15,Paramètres!$A$1:$I$89,3,0)*VLOOKUP('Données projet'!$B$15,Paramètres!$A$1:$I$89,5,0)</f>
        <v>-5.763922672485933E-13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190.21499310415584</v>
      </c>
      <c r="EP202" s="59">
        <f t="shared" si="210"/>
        <v>136.15730566500173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7.1054273576010019E-14</v>
      </c>
      <c r="FF202" s="17">
        <f>FE202*VLOOKUP('Données projet'!$B$16,Paramètres!$A$1:$I$89,3,0)*VLOOKUP('Données projet'!$B$16,Paramètres!$A$1:$I$89,5,0)</f>
        <v>8.1854523159563538E-14</v>
      </c>
      <c r="FG202" s="13">
        <f t="shared" si="182"/>
        <v>1.2586836169904262E-12</v>
      </c>
      <c r="FH202" s="20">
        <f t="shared" si="183"/>
        <v>2.3347705940945655E-12</v>
      </c>
      <c r="FI202" s="59">
        <f t="shared" si="199"/>
        <v>293.33333333333564</v>
      </c>
      <c r="FJ202" s="59">
        <f ca="1">AVERAGE(OFFSET($FI$3,0,0,'Données projet'!$E$16+1,1))-AVERAGE(OFFSET($H$3,0,0,'Données projet'!$E$16+1,1))</f>
        <v>14.847345852478327</v>
      </c>
      <c r="FK202" s="59">
        <f t="shared" si="211"/>
        <v>46.764428272166299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1.6374957520837265E-2</v>
      </c>
      <c r="FS202" s="21">
        <f>EXP(-LN(2)/2)*FS201+(1-EXP(-LN(2)/2))/(LN(2)/2)*FM202*FP202*VLOOKUP('Données projet'!$B$16,Paramètres!$A$1:$I$89,3,0)*0.475*44/12</f>
        <v>7.2125935612483583E-26</v>
      </c>
      <c r="FT202" s="22">
        <f t="shared" si="184"/>
        <v>1.6374957520837265E-2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4.1145540308207271E-13</v>
      </c>
      <c r="P203" s="13">
        <f t="shared" si="203"/>
        <v>5.2428527960910789E-12</v>
      </c>
      <c r="Q203" s="20">
        <f t="shared" si="162"/>
        <v>9.8479201135599071E-12</v>
      </c>
      <c r="R203" s="59">
        <f t="shared" si="191"/>
        <v>293.33333333334315</v>
      </c>
      <c r="S203" s="59">
        <f ca="1">AVERAGE(OFFSET($R$3,0,0,'Données projet'!$E$9+1,1))-AVERAGE(OFFSET($H$3,0,0,'Données projet'!$E$9+1,1))</f>
        <v>221.7429870520005</v>
      </c>
      <c r="T203" s="59">
        <f t="shared" si="204"/>
        <v>182.2029938397186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-5.1159076974727213E-13</v>
      </c>
      <c r="AJ203" s="13">
        <f>AI203*VLOOKUP('Données projet'!$B$10,Paramètres!$A$1:$I$89,3,0)*VLOOKUP('Données projet'!$B$10,Paramètres!$A$1:$I$89,5,0)</f>
        <v>-4.0702161641092972E-13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260.20517190557814</v>
      </c>
      <c r="AO203" s="59">
        <f t="shared" si="205"/>
        <v>307.22009971147133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0.11258229595578949</v>
      </c>
      <c r="AV203" s="21">
        <f>EXP(-LN(2)/25)*AV202+(1-EXP(-LN(2)/25))/(LN(2)/25)*Calculateur!AQ203*Calculateur!AS203*VLOOKUP('Données projet'!$B$10,Paramètres!$A$1:$I$89,3,0)*0.475*44/12</f>
        <v>0.18414713980599212</v>
      </c>
      <c r="AW203" s="21">
        <f>EXP(-LN(2)/2)*AW202+(1-EXP(-LN(2)/2))/(LN(2)/2)*AQ203*AT203*VLOOKUP('Données projet'!$B$10,Paramètres!$A$1:$I$89,3,0)*0.475*44/12</f>
        <v>6.2139447119934331E-25</v>
      </c>
      <c r="AX203" s="21">
        <f t="shared" si="166"/>
        <v>0.29672943576178162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553.99999999999955</v>
      </c>
      <c r="BE203" s="13">
        <f>BD203*VLOOKUP('Données projet'!$B$11,Paramètres!$A$1:$I$89,3,0)*VLOOKUP('Données projet'!$B$11,Paramètres!$A$1:$I$89,5,0)</f>
        <v>331.29199999999975</v>
      </c>
      <c r="BF203" s="13">
        <f t="shared" si="167"/>
        <v>77.698110787752</v>
      </c>
      <c r="BG203" s="20">
        <f t="shared" si="168"/>
        <v>712.32444295533423</v>
      </c>
      <c r="BH203" s="59">
        <f t="shared" si="194"/>
        <v>1005.6577762886675</v>
      </c>
      <c r="BI203" s="59">
        <f ca="1">AVERAGE(OFFSET($BH$3,0,0,'Données projet'!$E$11+1,1))-AVERAGE(OFFSET($H$3,0,0,'Données projet'!$E$11+1,1))</f>
        <v>316.58509520829671</v>
      </c>
      <c r="BJ203" s="59">
        <f t="shared" si="206"/>
        <v>240.71332110643596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8.7448972235201039E-2</v>
      </c>
      <c r="BQ203" s="21">
        <f>EXP(-LN(2)/25)*BQ202+(1-EXP(-LN(2)/25))/(LN(2)/25)*Calculateur!BL203*Calculateur!BN203*VLOOKUP('Données projet'!$B$11,Paramètres!$A$1:$I$89,3,0)*0.475*44/12</f>
        <v>0.13701751803252638</v>
      </c>
      <c r="BR203" s="21">
        <f>EXP(-LN(2)/2)*BR202+(1-EXP(-LN(2)/2))/(LN(2)/2)*BL203*BO203*VLOOKUP('Données projet'!$B$11,Paramètres!$A$1:$I$89,3,0)*0.475*44/12</f>
        <v>5.6711872624281872E-25</v>
      </c>
      <c r="BS203" s="22">
        <f t="shared" si="169"/>
        <v>0.22446649026772741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497</v>
      </c>
      <c r="BZ203" s="13">
        <f>BY203*VLOOKUP('Données projet'!$B$12,Paramètres!$A$1:$I$89,3,0)*VLOOKUP('Données projet'!$B$12,Paramètres!$A$1:$I$89,5,0)</f>
        <v>297.20600000000002</v>
      </c>
      <c r="CA203" s="13">
        <f t="shared" si="170"/>
        <v>70.590415164571112</v>
      </c>
      <c r="CB203" s="20">
        <f t="shared" si="171"/>
        <v>640.57875641162809</v>
      </c>
      <c r="CC203" s="59">
        <f t="shared" si="195"/>
        <v>933.91208974496135</v>
      </c>
      <c r="CD203" s="59">
        <f ca="1">AVERAGE(OFFSET($CC$3,0,0,'Données projet'!$E$12+1,1))-AVERAGE(OFFSET($H$3,0,0,'Données projet'!$E$12+1,1))</f>
        <v>270.30888762640245</v>
      </c>
      <c r="CE203" s="59">
        <f t="shared" si="207"/>
        <v>202.23783851977691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7.390053991707124E-2</v>
      </c>
      <c r="CL203" s="21">
        <f>EXP(-LN(2)/25)*CL202+(1-EXP(-LN(2)/25))/(LN(2)/25)*Calculateur!CG203*Calculateur!CI203*VLOOKUP('Données projet'!$B$12,Paramètres!$A$1:$I$89,3,0)*0.475*44/12</f>
        <v>0.11033972970155508</v>
      </c>
      <c r="CM203" s="21">
        <f>EXP(-LN(2)/2)*CM202+(1-EXP(-LN(2)/2))/(LN(2)/2)*CG203*CJ203*VLOOKUP('Données projet'!$B$12,Paramètres!$A$1:$I$89,3,0)*0.475*44/12</f>
        <v>4.7802272807042186E-25</v>
      </c>
      <c r="CN203" s="22">
        <f t="shared" si="172"/>
        <v>0.18424026961862633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-5.1159076974727213E-13</v>
      </c>
      <c r="CU203" s="17">
        <f>CT203*VLOOKUP('Données projet'!$B$13,Paramètres!$A$1:$I$89,3,0)*VLOOKUP('Données projet'!$B$13,Paramètres!$A$1:$I$89,5,0)</f>
        <v>-3.4317508834647017E-13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207.93042467236967</v>
      </c>
      <c r="CZ203" s="59">
        <f t="shared" si="208"/>
        <v>250.70954318710835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9.4922327962724401E-2</v>
      </c>
      <c r="DG203" s="21">
        <f>EXP(-LN(2)/25)*DG202+(1-EXP(-LN(2)/25))/(LN(2)/25)*Calculateur!DB203*Calculateur!DD203*VLOOKUP('Données projet'!$B$13,Paramètres!$A$1:$I$89,3,0)*0.475*44/12</f>
        <v>0.155261313954072</v>
      </c>
      <c r="DH203" s="21">
        <f>EXP(-LN(2)/2)*DH202+(1-EXP(-LN(2)/2))/(LN(2)/2)*DB203*DE203*VLOOKUP('Données projet'!$B$13,Paramètres!$A$1:$I$89,3,0)*0.475*44/12</f>
        <v>5.2392082865826981E-25</v>
      </c>
      <c r="DI203" s="22">
        <f t="shared" si="175"/>
        <v>0.25018364191679643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5.6843418860808015E-14</v>
      </c>
      <c r="DP203" s="17">
        <f>DO203*VLOOKUP('Données projet'!$B$14,Paramètres!$A$1:$I$89,3,0)*VLOOKUP('Données projet'!$B$14,Paramètres!$A$1:$I$89,5,0)</f>
        <v>3.813056537183002E-14</v>
      </c>
      <c r="DQ203" s="13">
        <f t="shared" si="176"/>
        <v>6.4086286045526829E-13</v>
      </c>
      <c r="DR203" s="20">
        <f t="shared" si="177"/>
        <v>1.1825802166488628E-12</v>
      </c>
      <c r="DS203" s="59">
        <f t="shared" si="197"/>
        <v>293.33333333333451</v>
      </c>
      <c r="DT203" s="59">
        <f ca="1">AVERAGE(OFFSET($DS$3,0,0,'Données projet'!$E$14+1,1))-AVERAGE(OFFSET($H$3,0,0,'Données projet'!$E$14+1,1))</f>
        <v>156.63226020379989</v>
      </c>
      <c r="DU203" s="59">
        <f t="shared" si="209"/>
        <v>196.0481096619543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7.7806011130533703E-2</v>
      </c>
      <c r="EC203" s="21">
        <f>EXP(-LN(2)/2)*EC202+(1-EXP(-LN(2)/2))/(LN(2)/2)*DW203*DZ203*VLOOKUP('Données projet'!$B$14,Paramètres!$A$1:$I$89,3,0)*0.475*44/12</f>
        <v>2.3454372300266543E-25</v>
      </c>
      <c r="ED203" s="22">
        <f t="shared" si="178"/>
        <v>7.7806011130533703E-2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-5.6843418860808015E-13</v>
      </c>
      <c r="EK203" s="17">
        <f>EJ203*VLOOKUP('Données projet'!$B$15,Paramètres!$A$1:$I$89,3,0)*VLOOKUP('Données projet'!$B$15,Paramètres!$A$1:$I$89,5,0)</f>
        <v>-5.763922672485933E-13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190.21499310415584</v>
      </c>
      <c r="EP203" s="59">
        <f t="shared" si="210"/>
        <v>136.15730566500173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7.1054273576010019E-14</v>
      </c>
      <c r="FF203" s="17">
        <f>FE203*VLOOKUP('Données projet'!$B$16,Paramètres!$A$1:$I$89,3,0)*VLOOKUP('Données projet'!$B$16,Paramètres!$A$1:$I$89,5,0)</f>
        <v>8.1854523159563538E-14</v>
      </c>
      <c r="FG203" s="13">
        <f t="shared" si="182"/>
        <v>1.2586836169904262E-12</v>
      </c>
      <c r="FH203" s="20">
        <f t="shared" si="183"/>
        <v>2.3347705940945655E-12</v>
      </c>
      <c r="FI203" s="59">
        <f t="shared" si="199"/>
        <v>293.33333333333564</v>
      </c>
      <c r="FJ203" s="59">
        <f ca="1">AVERAGE(OFFSET($FI$3,0,0,'Données projet'!$E$16+1,1))-AVERAGE(OFFSET($H$3,0,0,'Données projet'!$E$16+1,1))</f>
        <v>14.847345852478327</v>
      </c>
      <c r="FK203" s="59">
        <f t="shared" si="211"/>
        <v>46.764428272166299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1.592718344630838E-2</v>
      </c>
      <c r="FS203" s="21">
        <f>EXP(-LN(2)/2)*FS202+(1-EXP(-LN(2)/2))/(LN(2)/2)*FM203*FP203*VLOOKUP('Données projet'!$B$16,Paramètres!$A$1:$I$89,3,0)*0.475*44/12</f>
        <v>5.1000738171011449E-26</v>
      </c>
      <c r="FT203" s="22">
        <f t="shared" si="184"/>
        <v>1.592718344630838E-2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1.1736311550444201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1.2709816152101407</v>
      </c>
      <c r="BA205" s="82">
        <f>EXP(LN('Données projet'!B88)/'Données projet'!A88)</f>
        <v>1.2625985704272813</v>
      </c>
      <c r="BV205" s="82">
        <f>EXP(LN('Données projet'!B114)/'Données projet'!A114)</f>
        <v>1.2501898326862695</v>
      </c>
      <c r="CQ205" s="82">
        <f>EXP(LN('Données projet'!B140)/'Données projet'!A140)</f>
        <v>1.2709816152101407</v>
      </c>
      <c r="DL205" s="82">
        <f>EXP(LN('Données projet'!B166)/'Données projet'!A166)</f>
        <v>1.2557008269631629</v>
      </c>
      <c r="EG205" s="82">
        <f>EXP(LN('Données projet'!B192)/'Données projet'!A192)</f>
        <v>1.1608269964373037</v>
      </c>
      <c r="FB205" s="82">
        <f>EXP(LN('Données projet'!B218)/'Données projet'!A218)</f>
        <v>1.2851714744538538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1.0310000000000001</v>
      </c>
      <c r="C6" s="147">
        <f ca="1">IF(OR('Données projet'!B9="",'Données projet'!C9="",'Données projet'!C9=0%),0,Calculateur!S3)</f>
        <v>221.7429870520005</v>
      </c>
      <c r="D6" s="147">
        <f>IF(OR('Données projet'!B9="",'Données projet'!C9="",'Données projet'!C9=0%),0,Calculateur!T3)</f>
        <v>182.2029938397186</v>
      </c>
      <c r="E6" s="147">
        <f ca="1">MIN(C6,D6)</f>
        <v>182.2029938397186</v>
      </c>
      <c r="F6" s="147">
        <f ca="1">E6*B6</f>
        <v>187.85128664874989</v>
      </c>
      <c r="G6" s="147">
        <f ca="1">F6*(100%-'Données projet'!$C$24)*(100%-'Données projet'!$C$25)*(100%-'Données projet'!$C$26)*(100%-'Données projet'!$C$27)</f>
        <v>169.06615798387492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169.06615798387492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Erable plane</v>
      </c>
      <c r="B7" s="154">
        <f>'Données projet'!D10</f>
        <v>0.51550000000000007</v>
      </c>
      <c r="C7" s="147">
        <f ca="1">IF(OR('Données projet'!B10="",'Données projet'!C10="",'Données projet'!C10=0%),0,Calculateur!AN3)</f>
        <v>260.20517190557814</v>
      </c>
      <c r="D7" s="147">
        <f>IF(OR('Données projet'!B10="",'Données projet'!C10="",'Données projet'!C10=0%),0,Calculateur!AO3)</f>
        <v>307.22009971147133</v>
      </c>
      <c r="E7" s="147">
        <f t="shared" ref="E7:E15" ca="1" si="0">MIN(C7,D7)</f>
        <v>260.20517190557814</v>
      </c>
      <c r="F7" s="147">
        <f t="shared" ref="F7:F15" ca="1" si="1">E7*B7</f>
        <v>134.13576611732555</v>
      </c>
      <c r="G7" s="147">
        <f ca="1">F7*(100%-'Données projet'!$C$24)*(100%-'Données projet'!$C$25)*(100%-'Données projet'!$C$26)*(100%-'Données projet'!$C$27)</f>
        <v>120.72218950559299</v>
      </c>
      <c r="H7" s="155">
        <f>IF(OR('Données projet'!B10="",'Données projet'!C10="",'Données projet'!C10=0%),0,AVERAGE(Calculateur!$AX$3:$AX$33)*B7)</f>
        <v>2.6319814357794087</v>
      </c>
      <c r="I7" s="149">
        <f>H7*(100%-'Données projet'!$C$24)*(100%-'Données projet'!$C$25)*(100%-'Données projet'!$C$26)*(100%-'Données projet'!$C$27)</f>
        <v>2.368783292201468</v>
      </c>
      <c r="J7" s="150">
        <f>IF(OR('Données projet'!B10="",'Données projet'!C10="",'Données projet'!C10=0%),0,SUM(Calculateur!$AQ$3:$AQ$33)*VLOOKUP('Données projet'!$B$10,Paramètres!$A$1:$I$89,9,0)*B7)</f>
        <v>17.655875000000002</v>
      </c>
      <c r="K7" s="151">
        <f>J7*(100%-'Données projet'!$C$24)*(100%-'Données projet'!$C$25)*(100%-'Données projet'!$C$26)*(100%-'Données projet'!$C$27)</f>
        <v>15.890287500000001</v>
      </c>
      <c r="L7" s="152">
        <f t="shared" ref="L7:L15" ca="1" si="2">G7+I7+K7</f>
        <v>138.98126029779448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laricio</v>
      </c>
      <c r="B8" s="154">
        <f>'Données projet'!D11</f>
        <v>0.51550000000000007</v>
      </c>
      <c r="C8" s="147">
        <f ca="1">IF(OR('Données projet'!B11="",'Données projet'!C11="",'Données projet'!C11=0%),0,Calculateur!BI3)</f>
        <v>316.58509520829671</v>
      </c>
      <c r="D8" s="147">
        <f>IF(OR('Données projet'!B11="",'Données projet'!C11="",'Données projet'!C11=0%),0,Calculateur!BJ3)</f>
        <v>240.71332110643596</v>
      </c>
      <c r="E8" s="147">
        <f t="shared" ca="1" si="0"/>
        <v>240.71332110643596</v>
      </c>
      <c r="F8" s="147">
        <f t="shared" ca="1" si="1"/>
        <v>124.08771703036776</v>
      </c>
      <c r="G8" s="147">
        <f ca="1">F8*(100%-'Données projet'!$C$24)*(100%-'Données projet'!$C$25)*(100%-'Données projet'!$C$26)*(100%-'Données projet'!$C$27)</f>
        <v>111.67894532733098</v>
      </c>
      <c r="H8" s="155">
        <f>IF(OR('Données projet'!B11="",'Données projet'!C11="",'Données projet'!C11=0%),0,AVERAGE(Calculateur!$BS$3:$BS$33)*B8)</f>
        <v>1.9600405928526552</v>
      </c>
      <c r="I8" s="149">
        <f>H8*(100%-'Données projet'!$C$24)*(100%-'Données projet'!$C$25)*(100%-'Données projet'!$C$26)*(100%-'Données projet'!$C$27)</f>
        <v>1.7640365335673898</v>
      </c>
      <c r="J8" s="150">
        <f>IF(OR('Données projet'!B11="",'Données projet'!C11="",'Données projet'!C11=0%),0,SUM(Calculateur!$BL$3:$BL$33)*VLOOKUP('Données projet'!$B$11,Paramètres!$A$1:$I$89,9,0)*B8)</f>
        <v>22.166500000000003</v>
      </c>
      <c r="K8" s="151">
        <f>J8*(100%-'Données projet'!$C$24)*(100%-'Données projet'!$C$25)*(100%-'Données projet'!$C$26)*(100%-'Données projet'!$C$27)</f>
        <v>19.949850000000001</v>
      </c>
      <c r="L8" s="152">
        <f t="shared" ca="1" si="2"/>
        <v>133.39283186089838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Pin laricio</v>
      </c>
      <c r="B9" s="154">
        <f>'Données projet'!D12</f>
        <v>2.9899</v>
      </c>
      <c r="C9" s="147">
        <f ca="1">IF(OR('Données projet'!B12="",'Données projet'!C12="",'Données projet'!C12=0%),0,Calculateur!CD3)</f>
        <v>270.30888762640245</v>
      </c>
      <c r="D9" s="147">
        <f>IF(OR('Données projet'!B12="",'Données projet'!C12="",'Données projet'!C12=0%),0,Calculateur!CE3)</f>
        <v>202.23783851977691</v>
      </c>
      <c r="E9" s="147">
        <f t="shared" ca="1" si="0"/>
        <v>202.23783851977691</v>
      </c>
      <c r="F9" s="147">
        <f t="shared" ca="1" si="1"/>
        <v>604.67091339028104</v>
      </c>
      <c r="G9" s="147">
        <f ca="1">F9*(100%-'Données projet'!$C$24)*(100%-'Données projet'!$C$25)*(100%-'Données projet'!$C$26)*(100%-'Données projet'!$C$27)</f>
        <v>544.20382205125293</v>
      </c>
      <c r="H9" s="155">
        <f>IF(OR('Données projet'!B12="",'Données projet'!C12="",'Données projet'!C12=0%),0,AVERAGE(Calculateur!$CN$3:$CN$33)*B9)</f>
        <v>8.3727058058918029</v>
      </c>
      <c r="I9" s="149">
        <f>H9*(100%-'Données projet'!$C$24)*(100%-'Données projet'!$C$25)*(100%-'Données projet'!$C$26)*(100%-'Données projet'!$C$27)</f>
        <v>7.5354352253026224</v>
      </c>
      <c r="J9" s="150">
        <f>IF(OR('Données projet'!B12="",'Données projet'!C12="",'Données projet'!C12=0%),0,SUM(Calculateur!$CG$3:$CG$33)*VLOOKUP('Données projet'!$B$12,Paramètres!$A$1:$I$89,9,0)*B9)</f>
        <v>102.85256</v>
      </c>
      <c r="K9" s="151">
        <f>J9*(100%-'Données projet'!$C$24)*(100%-'Données projet'!$C$25)*(100%-'Données projet'!$C$26)*(100%-'Données projet'!$C$27)</f>
        <v>92.567303999999993</v>
      </c>
      <c r="L9" s="152">
        <f t="shared" ca="1" si="2"/>
        <v>644.30656127655561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Tilleul</v>
      </c>
      <c r="B10" s="154">
        <f>'Données projet'!D13</f>
        <v>0.51550000000000007</v>
      </c>
      <c r="C10" s="147">
        <f ca="1">IF(OR('Données projet'!B13="",'Données projet'!C13="",'Données projet'!C13=0%),0,Calculateur!CY3)</f>
        <v>207.93042467236967</v>
      </c>
      <c r="D10" s="147">
        <f>IF(OR('Données projet'!B13="",'Données projet'!C13="",'Données projet'!C13=0%),0,Calculateur!CZ3)</f>
        <v>250.70954318710835</v>
      </c>
      <c r="E10" s="147">
        <f t="shared" ca="1" si="0"/>
        <v>207.93042467236967</v>
      </c>
      <c r="F10" s="147">
        <f t="shared" ca="1" si="1"/>
        <v>107.18813391860658</v>
      </c>
      <c r="G10" s="147">
        <f ca="1">F10*(100%-'Données projet'!$C$24)*(100%-'Données projet'!$C$25)*(100%-'Données projet'!$C$26)*(100%-'Données projet'!$C$27)</f>
        <v>96.469320526745932</v>
      </c>
      <c r="H10" s="155">
        <f>IF(OR('Données projet'!B13="",'Données projet'!C13="",'Données projet'!C13=0%),0,AVERAGE(Calculateur!$DI$3:$DI$33)*B10)</f>
        <v>2.2191216027159717</v>
      </c>
      <c r="I10" s="149">
        <f>H10*(100%-'Données projet'!$C$24)*(100%-'Données projet'!$C$25)*(100%-'Données projet'!$C$26)*(100%-'Données projet'!$C$27)</f>
        <v>1.9972094424443745</v>
      </c>
      <c r="J10" s="150">
        <f>IF(OR('Données projet'!B13="",'Données projet'!C13="",'Données projet'!C13=0%),0,SUM(Calculateur!$DB$3:$DB$33)*VLOOKUP('Données projet'!$B$13,Paramètres!$A$1:$I$89,9,0)*B10)</f>
        <v>17.655875000000002</v>
      </c>
      <c r="K10" s="151">
        <f>J10*(100%-'Données projet'!$C$24)*(100%-'Données projet'!$C$25)*(100%-'Données projet'!$C$26)*(100%-'Données projet'!$C$27)</f>
        <v>15.890287500000001</v>
      </c>
      <c r="L10" s="152">
        <f t="shared" ca="1" si="2"/>
        <v>114.3568174691903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Tilleul</v>
      </c>
      <c r="B11" s="154">
        <f>'Données projet'!D14</f>
        <v>1.6496000000000002</v>
      </c>
      <c r="C11" s="147">
        <f ca="1">IF(OR('Données projet'!B14="",'Données projet'!C14="",'Données projet'!C14=0%),0,Calculateur!DT3)</f>
        <v>156.63226020379989</v>
      </c>
      <c r="D11" s="147">
        <f>IF(OR('Données projet'!B14="",'Données projet'!C14="",'Données projet'!C14=0%),0,Calculateur!DU3)</f>
        <v>196.0481096619543</v>
      </c>
      <c r="E11" s="147">
        <f t="shared" ca="1" si="0"/>
        <v>156.63226020379989</v>
      </c>
      <c r="F11" s="147">
        <f t="shared" ca="1" si="1"/>
        <v>258.38057643218832</v>
      </c>
      <c r="G11" s="147">
        <f ca="1">F11*(100%-'Données projet'!$C$24)*(100%-'Données projet'!$C$25)*(100%-'Données projet'!$C$26)*(100%-'Données projet'!$C$27)</f>
        <v>232.54251878896949</v>
      </c>
      <c r="H11" s="155">
        <f>IF(OR('Données projet'!B14="",'Données projet'!C14="",'Données projet'!C14=0%),0,AVERAGE(Calculateur!$ED$3:$ED$33)*B11)</f>
        <v>4.124661313839221</v>
      </c>
      <c r="I11" s="149">
        <f>H11*(100%-'Données projet'!$C$24)*(100%-'Données projet'!$C$25)*(100%-'Données projet'!$C$26)*(100%-'Données projet'!$C$27)</f>
        <v>3.7121951824552988</v>
      </c>
      <c r="J11" s="150">
        <f>IF(OR('Données projet'!B14="",'Données projet'!C14="",'Données projet'!C14=0%),0,SUM(Calculateur!$DW$3:$DW$33)*VLOOKUP('Données projet'!$B$14,Paramètres!$A$1:$I$89,9,0)*B11)</f>
        <v>40.827600000000004</v>
      </c>
      <c r="K11" s="151">
        <f>J11*(100%-'Données projet'!$C$24)*(100%-'Données projet'!$C$25)*(100%-'Données projet'!$C$26)*(100%-'Données projet'!$C$27)</f>
        <v>36.744840000000003</v>
      </c>
      <c r="L11" s="152">
        <f t="shared" ca="1" si="2"/>
        <v>272.9995539714248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Chêne pubescent</v>
      </c>
      <c r="B12" s="154">
        <f>'Données projet'!D15</f>
        <v>1.5465</v>
      </c>
      <c r="C12" s="147">
        <f ca="1">IF(OR('Données projet'!B15="",'Données projet'!C15="",'Données projet'!C15=0%),0,Calculateur!EO3)</f>
        <v>190.21499310415584</v>
      </c>
      <c r="D12" s="147">
        <f>IF(OR('Données projet'!B15="",'Données projet'!C15="",'Données projet'!C15=0%),0,Calculateur!EP3)</f>
        <v>136.15730566500173</v>
      </c>
      <c r="E12" s="147">
        <f t="shared" ca="1" si="0"/>
        <v>136.15730566500173</v>
      </c>
      <c r="F12" s="147">
        <f t="shared" ca="1" si="1"/>
        <v>210.56727321092518</v>
      </c>
      <c r="G12" s="147">
        <f ca="1">F12*(100%-'Données projet'!$C$24)*(100%-'Données projet'!$C$25)*(100%-'Données projet'!$C$26)*(100%-'Données projet'!$C$27)</f>
        <v>189.51054588983266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189.51054588983266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Pin pignon</v>
      </c>
      <c r="B13" s="154">
        <f>'Données projet'!D16</f>
        <v>1.5465</v>
      </c>
      <c r="C13" s="147">
        <f ca="1">IF(OR('Données projet'!B16="",'Données projet'!C16="",'Données projet'!C16=0%),0,Calculateur!FJ3)</f>
        <v>14.847345852478327</v>
      </c>
      <c r="D13" s="147">
        <f>IF(OR('Données projet'!B16="",'Données projet'!C16="",'Données projet'!C16=0%),0,Calculateur!FK3)</f>
        <v>46.764428272166299</v>
      </c>
      <c r="E13" s="147">
        <f t="shared" ca="1" si="0"/>
        <v>14.847345852478327</v>
      </c>
      <c r="F13" s="147">
        <f t="shared" ca="1" si="1"/>
        <v>22.961420360857733</v>
      </c>
      <c r="G13" s="147">
        <f ca="1">F13*(100%-'Données projet'!$C$24)*(100%-'Données projet'!$C$25)*(100%-'Données projet'!$C$26)*(100%-'Données projet'!$C$27)</f>
        <v>20.665278324771961</v>
      </c>
      <c r="H13" s="155">
        <f>IF(OR('Données projet'!B16="",'Données projet'!C16="",'Données projet'!C16=0%),0,AVERAGE(Calculateur!$FT$3:$FT$33)*B13)</f>
        <v>1.1307466650149092</v>
      </c>
      <c r="I13" s="149">
        <f>H13*(100%-'Données projet'!$C$24)*(100%-'Données projet'!$C$25)*(100%-'Données projet'!$C$26)*(100%-'Données projet'!$C$27)</f>
        <v>1.0176719985134184</v>
      </c>
      <c r="J13" s="150">
        <f>IF(OR('Données projet'!C16="",'Données projet'!C16=0%),0,SUM(Calculateur!$FM$3:$FM$33)*VLOOKUP('Données projet'!$B$16,Paramètres!$A$1:$I$89,9,0)*B13)</f>
        <v>7.5366099999999996</v>
      </c>
      <c r="K13" s="151">
        <f>J13*(100%-'Données projet'!$C$24)*(100%-'Données projet'!$C$25)*(100%-'Données projet'!$C$26)*(100%-'Données projet'!$C$27)</f>
        <v>6.7829489999999995</v>
      </c>
      <c r="L13" s="152">
        <f t="shared" ca="1" si="2"/>
        <v>28.465899323285377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1649.8430871093019</v>
      </c>
      <c r="G16" s="166">
        <f t="shared" ca="1" si="3"/>
        <v>1484.8587783983719</v>
      </c>
      <c r="H16" s="167">
        <f t="shared" si="3"/>
        <v>20.439257416093973</v>
      </c>
      <c r="I16" s="167">
        <f t="shared" si="3"/>
        <v>18.39533167448457</v>
      </c>
      <c r="J16" s="168">
        <f t="shared" si="3"/>
        <v>208.69502</v>
      </c>
      <c r="K16" s="168">
        <f t="shared" si="3"/>
        <v>187.82551800000002</v>
      </c>
      <c r="L16" s="169">
        <f t="shared" ca="1" si="3"/>
        <v>1691.0796280728564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Erable plane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Tilleul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Tilleul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Chêne pubescent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Pin pignon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Normal="100" workbookViewId="0">
      <selection activeCell="C192" sqref="C19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-1954.5506436169505</v>
      </c>
      <c r="U10" s="178">
        <f>'Données projet'!D9</f>
        <v>1.0310000000000001</v>
      </c>
      <c r="V10" s="177">
        <f>U10*T10</f>
        <v>-2015.1417135690763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plane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-1600.9181755057334</v>
      </c>
      <c r="U11" s="178">
        <f>'Données projet'!D10</f>
        <v>0.51550000000000007</v>
      </c>
      <c r="V11" s="177">
        <f t="shared" ref="V11" si="0">U11*T11</f>
        <v>-825.27331947320567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-1142.7952609634428</v>
      </c>
      <c r="U12" s="178">
        <f>'Données projet'!D11</f>
        <v>0.51550000000000007</v>
      </c>
      <c r="V12" s="177">
        <f t="shared" ref="V12:V19" si="1">U12*T12</f>
        <v>-589.11095702665489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-1304.4992101172377</v>
      </c>
      <c r="U13" s="178">
        <f>'Données projet'!D12</f>
        <v>2.9899</v>
      </c>
      <c r="V13" s="177">
        <f t="shared" si="1"/>
        <v>-3900.3221883295291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Tilleul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-1796.1074595170612</v>
      </c>
      <c r="U14" s="178">
        <f>'Données projet'!D13</f>
        <v>0.51550000000000007</v>
      </c>
      <c r="V14" s="177">
        <f t="shared" si="1"/>
        <v>-925.89339538104514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Tilleul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-2392.9326188908854</v>
      </c>
      <c r="U15" s="178">
        <f>'Données projet'!D14</f>
        <v>1.6496000000000002</v>
      </c>
      <c r="V15" s="177">
        <f t="shared" si="1"/>
        <v>-3947.3816481224048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>Chêne pubescent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-2282.4220877543453</v>
      </c>
      <c r="U16" s="178">
        <f>'Données projet'!D15</f>
        <v>1.5465</v>
      </c>
      <c r="V16" s="177">
        <f t="shared" si="1"/>
        <v>-3529.7657587120948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3446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>Pin pignon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-2937.8023383549257</v>
      </c>
      <c r="U17" s="178">
        <f>'Données projet'!D16</f>
        <v>1.5465</v>
      </c>
      <c r="V17" s="177">
        <f t="shared" si="1"/>
        <v>-4543.3113162658929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2165+1595</f>
        <v>3760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600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-79993.305276051993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35</v>
      </c>
      <c r="B24" s="181">
        <f>'Données projet'!D37</f>
        <v>60.602564102564102</v>
      </c>
      <c r="C24" s="193">
        <v>12</v>
      </c>
      <c r="D24" s="182">
        <f t="shared" ref="D24:D42" si="2">B24*C24</f>
        <v>727.23076923076928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731.41973000615462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41</v>
      </c>
      <c r="B25" s="181">
        <f>'Données projet'!D38</f>
        <v>38.512820512820511</v>
      </c>
      <c r="C25" s="193">
        <v>35</v>
      </c>
      <c r="D25" s="182">
        <f t="shared" si="2"/>
        <v>1347.9487179487178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-80724.725006058143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48</v>
      </c>
      <c r="B26" s="181">
        <f>'Données projet'!D39</f>
        <v>48.025641025641022</v>
      </c>
      <c r="C26" s="193">
        <v>45</v>
      </c>
      <c r="D26" s="182">
        <f t="shared" si="2"/>
        <v>2161.1538461538462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55</v>
      </c>
      <c r="B27" s="181">
        <f>'Données projet'!D40</f>
        <v>45.147435897435898</v>
      </c>
      <c r="C27" s="193">
        <v>50</v>
      </c>
      <c r="D27" s="182">
        <f t="shared" si="2"/>
        <v>2257.3717948717949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63</v>
      </c>
      <c r="B28" s="181">
        <f>'Données projet'!D41</f>
        <v>41.724358974358978</v>
      </c>
      <c r="C28" s="193">
        <v>55</v>
      </c>
      <c r="D28" s="182">
        <f t="shared" si="2"/>
        <v>2294.8397435897436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71</v>
      </c>
      <c r="B29" s="181">
        <f>'Données projet'!D42</f>
        <v>39.935897435897431</v>
      </c>
      <c r="C29" s="193">
        <v>60</v>
      </c>
      <c r="D29" s="182">
        <f t="shared" si="2"/>
        <v>2396.1538461538457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45.608974358974358</v>
      </c>
      <c r="C30" s="193">
        <v>80</v>
      </c>
      <c r="D30" s="182">
        <f t="shared" si="2"/>
        <v>3648.7179487179487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89</v>
      </c>
      <c r="B31" s="181">
        <f>'Données projet'!D44</f>
        <v>49.391025641025635</v>
      </c>
      <c r="C31" s="193">
        <v>80</v>
      </c>
      <c r="D31" s="182">
        <f t="shared" si="2"/>
        <v>3951.2820512820508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99</v>
      </c>
      <c r="B32" s="181">
        <f>'Données projet'!D45</f>
        <v>48.019230769230766</v>
      </c>
      <c r="C32" s="193">
        <v>80</v>
      </c>
      <c r="D32" s="182">
        <f t="shared" si="2"/>
        <v>3841.5384615384614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109</v>
      </c>
      <c r="B33" s="181">
        <f>'Données projet'!D46</f>
        <v>51.28846153846154</v>
      </c>
      <c r="C33" s="193">
        <v>80</v>
      </c>
      <c r="D33" s="182">
        <f t="shared" si="2"/>
        <v>4103.0769230769229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119</v>
      </c>
      <c r="B34" s="181">
        <f>'Données projet'!D47</f>
        <v>150.02564102564102</v>
      </c>
      <c r="C34" s="193">
        <v>80</v>
      </c>
      <c r="D34" s="182">
        <f t="shared" si="2"/>
        <v>12002.051282051281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123</v>
      </c>
      <c r="B35" s="181">
        <f>'Données projet'!D48</f>
        <v>77.17307692307692</v>
      </c>
      <c r="C35" s="193">
        <v>80</v>
      </c>
      <c r="D35" s="182">
        <f t="shared" si="2"/>
        <v>6173.8461538461534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127</v>
      </c>
      <c r="B36" s="181">
        <f>'Données projet'!D49</f>
        <v>49.916666666666671</v>
      </c>
      <c r="C36" s="193">
        <v>80</v>
      </c>
      <c r="D36" s="182">
        <f t="shared" si="2"/>
        <v>3993.3333333333339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131</v>
      </c>
      <c r="B37" s="181">
        <f>'Données projet'!D50</f>
        <v>110.91025641025641</v>
      </c>
      <c r="C37" s="193">
        <v>80</v>
      </c>
      <c r="D37" s="182">
        <f t="shared" si="2"/>
        <v>8872.8205128205118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Erable plane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3101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67</v>
      </c>
      <c r="C55" s="191">
        <v>10</v>
      </c>
      <c r="D55" s="179">
        <f t="shared" ref="D55:D73" si="4">B55*C55</f>
        <v>670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70</v>
      </c>
      <c r="C56" s="191">
        <v>15</v>
      </c>
      <c r="D56" s="179">
        <f t="shared" si="4"/>
        <v>1050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70</v>
      </c>
      <c r="C57" s="191">
        <v>20</v>
      </c>
      <c r="D57" s="179">
        <f t="shared" si="4"/>
        <v>1400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43</v>
      </c>
      <c r="C58" s="191">
        <v>30</v>
      </c>
      <c r="D58" s="179">
        <f t="shared" si="4"/>
        <v>1290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30</v>
      </c>
      <c r="C59" s="191">
        <v>35</v>
      </c>
      <c r="D59" s="179">
        <f t="shared" si="4"/>
        <v>1050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26</v>
      </c>
      <c r="C60" s="191">
        <v>45</v>
      </c>
      <c r="D60" s="179">
        <f t="shared" si="4"/>
        <v>1170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80</v>
      </c>
      <c r="B61" s="181">
        <f>'Données projet'!D69</f>
        <v>342</v>
      </c>
      <c r="C61" s="191">
        <v>70</v>
      </c>
      <c r="D61" s="179">
        <f t="shared" si="4"/>
        <v>23940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2114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29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71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95</v>
      </c>
      <c r="C87" s="191">
        <v>10</v>
      </c>
      <c r="D87" s="179">
        <f t="shared" si="6"/>
        <v>950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107</v>
      </c>
      <c r="C88" s="191">
        <v>15</v>
      </c>
      <c r="D88" s="179">
        <f t="shared" si="6"/>
        <v>1605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108</v>
      </c>
      <c r="C89" s="191">
        <v>30</v>
      </c>
      <c r="D89" s="179">
        <f t="shared" si="6"/>
        <v>3240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103</v>
      </c>
      <c r="C90" s="191">
        <v>35</v>
      </c>
      <c r="D90" s="179">
        <f t="shared" si="6"/>
        <v>3605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94</v>
      </c>
      <c r="C91" s="191">
        <v>50</v>
      </c>
      <c r="D91" s="179">
        <f t="shared" si="6"/>
        <v>4700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83</v>
      </c>
      <c r="C92" s="191">
        <v>60</v>
      </c>
      <c r="D92" s="179">
        <f t="shared" si="6"/>
        <v>4980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2114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20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60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79</v>
      </c>
      <c r="C118" s="191">
        <v>10</v>
      </c>
      <c r="D118" s="179">
        <f t="shared" si="8"/>
        <v>790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89</v>
      </c>
      <c r="C119" s="191">
        <v>15</v>
      </c>
      <c r="D119" s="179">
        <f t="shared" si="8"/>
        <v>1335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90</v>
      </c>
      <c r="C120" s="191">
        <v>30</v>
      </c>
      <c r="D120" s="179">
        <f t="shared" si="8"/>
        <v>2700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86</v>
      </c>
      <c r="C121" s="191">
        <v>35</v>
      </c>
      <c r="D121" s="179">
        <f t="shared" si="8"/>
        <v>3010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78</v>
      </c>
      <c r="C122" s="191">
        <v>50</v>
      </c>
      <c r="D122" s="179">
        <f t="shared" si="8"/>
        <v>3900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70</v>
      </c>
      <c r="C123" s="191">
        <v>60</v>
      </c>
      <c r="D123" s="179">
        <f t="shared" si="8"/>
        <v>4200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Tilleul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3574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67</v>
      </c>
      <c r="C148" s="191">
        <v>10</v>
      </c>
      <c r="D148" s="182">
        <f t="shared" ref="D148:D166" si="10">B148*C148</f>
        <v>670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70</v>
      </c>
      <c r="C149" s="191">
        <v>15</v>
      </c>
      <c r="D149" s="182">
        <f t="shared" si="10"/>
        <v>1050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40</v>
      </c>
      <c r="B150" s="175">
        <f>'Données projet'!D143</f>
        <v>70</v>
      </c>
      <c r="C150" s="191">
        <v>20</v>
      </c>
      <c r="D150" s="182">
        <f t="shared" si="10"/>
        <v>1400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50</v>
      </c>
      <c r="B151" s="175">
        <f>'Données projet'!D144</f>
        <v>43</v>
      </c>
      <c r="C151" s="191">
        <v>30</v>
      </c>
      <c r="D151" s="182">
        <f t="shared" si="10"/>
        <v>1290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60</v>
      </c>
      <c r="B152" s="175">
        <f>'Données projet'!D145</f>
        <v>30</v>
      </c>
      <c r="C152" s="191">
        <v>35</v>
      </c>
      <c r="D152" s="182">
        <f t="shared" si="10"/>
        <v>1050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70</v>
      </c>
      <c r="B153" s="175">
        <f>'Données projet'!D146</f>
        <v>26</v>
      </c>
      <c r="C153" s="191">
        <v>45</v>
      </c>
      <c r="D153" s="182">
        <f t="shared" si="10"/>
        <v>1170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80</v>
      </c>
      <c r="B154" s="175">
        <f>'Données projet'!D147</f>
        <v>342</v>
      </c>
      <c r="C154" s="191">
        <v>70</v>
      </c>
      <c r="D154" s="182">
        <f t="shared" si="10"/>
        <v>23940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Tilleul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3811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43</v>
      </c>
      <c r="C178" s="193">
        <v>10</v>
      </c>
      <c r="D178" s="179">
        <f>B178*C178</f>
        <v>430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56</v>
      </c>
      <c r="C179" s="193">
        <v>15</v>
      </c>
      <c r="D179" s="179">
        <f t="shared" ref="D179:D197" si="11">B179*C179</f>
        <v>840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56</v>
      </c>
      <c r="C180" s="193">
        <v>20</v>
      </c>
      <c r="D180" s="179">
        <f t="shared" si="11"/>
        <v>1120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39</v>
      </c>
      <c r="C181" s="193">
        <v>30</v>
      </c>
      <c r="D181" s="179">
        <f t="shared" si="11"/>
        <v>1170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25</v>
      </c>
      <c r="C182" s="193">
        <v>35</v>
      </c>
      <c r="D182" s="179">
        <f t="shared" si="11"/>
        <v>875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21</v>
      </c>
      <c r="C183" s="193">
        <v>45</v>
      </c>
      <c r="D183" s="179">
        <f t="shared" si="11"/>
        <v>945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284</v>
      </c>
      <c r="C184" s="193">
        <v>70</v>
      </c>
      <c r="D184" s="179">
        <f t="shared" si="11"/>
        <v>19880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Chêne pubescent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3010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30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44</v>
      </c>
      <c r="B210" s="181">
        <f>'Données projet'!D193</f>
        <v>64.416666666666657</v>
      </c>
      <c r="C210" s="193">
        <v>12</v>
      </c>
      <c r="D210" s="179">
        <f t="shared" ref="D210:D228" si="12">B210*C210</f>
        <v>772.99999999999989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51</v>
      </c>
      <c r="B211" s="181">
        <f>'Données projet'!D194</f>
        <v>37.685897435897431</v>
      </c>
      <c r="C211" s="193">
        <v>35</v>
      </c>
      <c r="D211" s="179">
        <f t="shared" si="12"/>
        <v>1319.0064102564102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59</v>
      </c>
      <c r="B212" s="181">
        <f>'Données projet'!D195</f>
        <v>38.942307692307693</v>
      </c>
      <c r="C212" s="193">
        <v>45</v>
      </c>
      <c r="D212" s="179">
        <f t="shared" si="12"/>
        <v>1752.4038461538462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67</v>
      </c>
      <c r="B213" s="181">
        <f>'Données projet'!D196</f>
        <v>31.993589743589741</v>
      </c>
      <c r="C213" s="193">
        <v>50</v>
      </c>
      <c r="D213" s="179">
        <f t="shared" si="12"/>
        <v>1599.6794871794871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75</v>
      </c>
      <c r="B214" s="181">
        <f>'Données projet'!D197</f>
        <v>30.916666666666664</v>
      </c>
      <c r="C214" s="193">
        <v>55</v>
      </c>
      <c r="D214" s="179">
        <f t="shared" si="12"/>
        <v>1700.4166666666665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84</v>
      </c>
      <c r="B215" s="181">
        <f>'Données projet'!D198</f>
        <v>35.083333333333329</v>
      </c>
      <c r="C215" s="193">
        <v>60</v>
      </c>
      <c r="D215" s="179">
        <f t="shared" si="12"/>
        <v>2104.9999999999995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93</v>
      </c>
      <c r="B216" s="181">
        <f>'Données projet'!D199</f>
        <v>30.083333333333332</v>
      </c>
      <c r="C216" s="193">
        <v>80</v>
      </c>
      <c r="D216" s="179">
        <f t="shared" si="12"/>
        <v>2406.6666666666665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103</v>
      </c>
      <c r="B217" s="181">
        <f>'Données projet'!D200</f>
        <v>39.512820512820511</v>
      </c>
      <c r="C217" s="193">
        <v>80</v>
      </c>
      <c r="D217" s="179">
        <f t="shared" si="12"/>
        <v>3161.0256410256407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113</v>
      </c>
      <c r="B218" s="181">
        <f>'Données projet'!D201</f>
        <v>31.602564102564099</v>
      </c>
      <c r="C218" s="193">
        <v>80</v>
      </c>
      <c r="D218" s="179">
        <f t="shared" si="12"/>
        <v>2528.2051282051279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125</v>
      </c>
      <c r="B219" s="181">
        <f>'Données projet'!D202</f>
        <v>48.160256410256409</v>
      </c>
      <c r="C219" s="193">
        <v>80</v>
      </c>
      <c r="D219" s="179">
        <f t="shared" si="12"/>
        <v>3852.8205128205127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137</v>
      </c>
      <c r="B220" s="181">
        <f>'Données projet'!D203</f>
        <v>51.160256410256409</v>
      </c>
      <c r="C220" s="193">
        <v>80</v>
      </c>
      <c r="D220" s="179">
        <f t="shared" si="12"/>
        <v>4092.8205128205127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149</v>
      </c>
      <c r="B221" s="181">
        <f>'Données projet'!D204</f>
        <v>120.50641025641026</v>
      </c>
      <c r="C221" s="193">
        <v>80</v>
      </c>
      <c r="D221" s="179">
        <f t="shared" si="12"/>
        <v>9640.5128205128203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153</v>
      </c>
      <c r="B222" s="181">
        <f>'Données projet'!D205</f>
        <v>70.115384615384613</v>
      </c>
      <c r="C222" s="193">
        <v>80</v>
      </c>
      <c r="D222" s="179">
        <f t="shared" si="12"/>
        <v>5609.2307692307695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157</v>
      </c>
      <c r="B223" s="181">
        <f>'Données projet'!D206</f>
        <v>45.71153846153846</v>
      </c>
      <c r="C223" s="193">
        <v>80</v>
      </c>
      <c r="D223" s="179">
        <f t="shared" si="12"/>
        <v>3656.9230769230767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161</v>
      </c>
      <c r="B224" s="181">
        <f>'Données projet'!D207</f>
        <v>91.365384615384613</v>
      </c>
      <c r="C224" s="193">
        <v>80</v>
      </c>
      <c r="D224" s="179">
        <f t="shared" si="12"/>
        <v>7309.2307692307695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Pin pignon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3173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10</v>
      </c>
      <c r="B240" s="181">
        <f>'Données projet'!D218</f>
        <v>1.875</v>
      </c>
      <c r="C240" s="193">
        <v>15</v>
      </c>
      <c r="D240" s="179">
        <f>B240*C240</f>
        <v>28.125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20</v>
      </c>
      <c r="B241" s="181">
        <f>'Données projet'!D219</f>
        <v>4</v>
      </c>
      <c r="C241" s="193">
        <v>20</v>
      </c>
      <c r="D241" s="179">
        <f t="shared" ref="D241:D259" si="13">B241*C241</f>
        <v>80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30</v>
      </c>
      <c r="B242" s="181">
        <f>'Données projet'!D220</f>
        <v>5.458333333333333</v>
      </c>
      <c r="C242" s="193">
        <v>27</v>
      </c>
      <c r="D242" s="179">
        <f t="shared" si="13"/>
        <v>147.375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40</v>
      </c>
      <c r="B243" s="181">
        <f>'Données projet'!D221</f>
        <v>6.833333333333333</v>
      </c>
      <c r="C243" s="193">
        <v>32</v>
      </c>
      <c r="D243" s="179">
        <f t="shared" si="13"/>
        <v>218.66666666666666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50</v>
      </c>
      <c r="B244" s="181">
        <f>'Données projet'!D222</f>
        <v>7.291666666666667</v>
      </c>
      <c r="C244" s="193">
        <v>35</v>
      </c>
      <c r="D244" s="179">
        <f t="shared" si="13"/>
        <v>255.20833333333334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60</v>
      </c>
      <c r="B245" s="181">
        <f>'Données projet'!D223</f>
        <v>8.0416666666666679</v>
      </c>
      <c r="C245" s="193">
        <v>38</v>
      </c>
      <c r="D245" s="179">
        <f t="shared" si="13"/>
        <v>305.58333333333337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70</v>
      </c>
      <c r="B246" s="181">
        <f>'Données projet'!D224</f>
        <v>8.0416666666666679</v>
      </c>
      <c r="C246" s="193">
        <v>40</v>
      </c>
      <c r="D246" s="179">
        <f t="shared" si="13"/>
        <v>321.66666666666674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80</v>
      </c>
      <c r="B247" s="181">
        <f>'Données projet'!D225</f>
        <v>8.5</v>
      </c>
      <c r="C247" s="193">
        <v>45</v>
      </c>
      <c r="D247" s="179">
        <f t="shared" si="13"/>
        <v>382.5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90</v>
      </c>
      <c r="B248" s="181">
        <f>'Données projet'!D226</f>
        <v>8.2916666666666661</v>
      </c>
      <c r="C248" s="193">
        <v>50</v>
      </c>
      <c r="D248" s="179">
        <f t="shared" si="13"/>
        <v>414.58333333333331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100</v>
      </c>
      <c r="B249" s="181">
        <f>'Données projet'!D227</f>
        <v>8.5833333333333339</v>
      </c>
      <c r="C249" s="193">
        <v>60</v>
      </c>
      <c r="D249" s="179">
        <f t="shared" si="13"/>
        <v>515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110</v>
      </c>
      <c r="B250" s="181">
        <f>'Données projet'!D228</f>
        <v>8.2916666666666661</v>
      </c>
      <c r="C250" s="193">
        <v>60</v>
      </c>
      <c r="D250" s="179">
        <f t="shared" si="13"/>
        <v>497.49999999999994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120</v>
      </c>
      <c r="B251" s="181">
        <f>'Données projet'!D229</f>
        <v>8</v>
      </c>
      <c r="C251" s="193">
        <v>60</v>
      </c>
      <c r="D251" s="179">
        <f t="shared" si="13"/>
        <v>480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130</v>
      </c>
      <c r="B252" s="181">
        <f>'Données projet'!D230</f>
        <v>7.7083333333333339</v>
      </c>
      <c r="C252" s="193">
        <v>60</v>
      </c>
      <c r="D252" s="179">
        <f t="shared" si="13"/>
        <v>462.50000000000006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140</v>
      </c>
      <c r="B253" s="181">
        <f>'Données projet'!D231</f>
        <v>7.416666666666667</v>
      </c>
      <c r="C253" s="193">
        <v>60</v>
      </c>
      <c r="D253" s="179">
        <f t="shared" si="13"/>
        <v>445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150</v>
      </c>
      <c r="B254" s="181">
        <f>'Données projet'!D232</f>
        <v>96.291666666666671</v>
      </c>
      <c r="C254" s="193">
        <v>60</v>
      </c>
      <c r="D254" s="179">
        <f t="shared" si="13"/>
        <v>5777.5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2025-12-03T14:18:08Z</dcterms:modified>
</cp:coreProperties>
</file>