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FONTAINE RONDE\"/>
    </mc:Choice>
  </mc:AlternateContent>
  <xr:revisionPtr revIDLastSave="0" documentId="13_ncr:1_{C5BE0694-48DB-442D-8ACF-796F7135E73E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121" i="1" l="1"/>
  <c r="D121" i="1" s="1"/>
  <c r="D120" i="1"/>
  <c r="D119" i="1"/>
  <c r="D118" i="1"/>
  <c r="D117" i="1"/>
  <c r="D116" i="1"/>
  <c r="D115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B43" i="1"/>
  <c r="D43" i="1" s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<sst xmlns="http://schemas.openxmlformats.org/spreadsheetml/2006/main" count="1173" uniqueCount="324">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</sst>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39.608112078537687</c:v>
                </c:pt>
                <c:pt idx="12">
                  <c:v>59.792252839405712</c:v>
                </c:pt>
                <c:pt idx="13">
                  <c:v>79.796073969285615</c:v>
                </c:pt>
                <c:pt idx="14">
                  <c:v>99.671872945964807</c:v>
                </c:pt>
                <c:pt idx="15">
                  <c:v>119.44897015523419</c:v>
                </c:pt>
                <c:pt idx="16">
                  <c:v>139.14607470447081</c:v>
                </c:pt>
                <c:pt idx="17">
                  <c:v>158.77612951723384</c:v>
                </c:pt>
                <c:pt idx="18">
                  <c:v>178.34860130742405</c:v>
                </c:pt>
                <c:pt idx="19">
                  <c:v>197.87070296515913</c:v>
                </c:pt>
                <c:pt idx="20">
                  <c:v>217.34810492356107</c:v>
                </c:pt>
                <c:pt idx="21">
                  <c:v>133.86852837675002</c:v>
                </c:pt>
                <c:pt idx="22">
                  <c:v>157.02306213368757</c:v>
                </c:pt>
                <c:pt idx="23">
                  <c:v>180.09643806867584</c:v>
                </c:pt>
                <c:pt idx="24">
                  <c:v>203.10052831260927</c:v>
                </c:pt>
                <c:pt idx="25">
                  <c:v>226.04428793703948</c:v>
                </c:pt>
                <c:pt idx="26">
                  <c:v>248.93470217300015</c:v>
                </c:pt>
                <c:pt idx="27">
                  <c:v>271.77736518267238</c:v>
                </c:pt>
                <c:pt idx="28">
                  <c:v>294.57685332640881</c:v>
                </c:pt>
                <c:pt idx="29">
                  <c:v>317.33697649989301</c:v>
                </c:pt>
                <c:pt idx="30">
                  <c:v>340.06095344521384</c:v>
                </c:pt>
                <c:pt idx="31">
                  <c:v>249.0923955297977</c:v>
                </c:pt>
                <c:pt idx="32">
                  <c:v>268.15703506620378</c:v>
                </c:pt>
                <c:pt idx="33">
                  <c:v>287.19115712325663</c:v>
                </c:pt>
                <c:pt idx="34">
                  <c:v>306.19706833197506</c:v>
                </c:pt>
                <c:pt idx="35">
                  <c:v>325.17676557494707</c:v>
                </c:pt>
                <c:pt idx="36">
                  <c:v>344.13199361263992</c:v>
                </c:pt>
                <c:pt idx="37">
                  <c:v>363.06428933973513</c:v>
                </c:pt>
                <c:pt idx="38">
                  <c:v>381.97501632295251</c:v>
                </c:pt>
                <c:pt idx="39">
                  <c:v>400.86539213963152</c:v>
                </c:pt>
                <c:pt idx="40">
                  <c:v>419.73651029301618</c:v>
                </c:pt>
                <c:pt idx="41">
                  <c:v>324.70649713481191</c:v>
                </c:pt>
                <c:pt idx="42">
                  <c:v>339.12133083817071</c:v>
                </c:pt>
                <c:pt idx="43">
                  <c:v>353.52268649784691</c:v>
                </c:pt>
                <c:pt idx="44">
                  <c:v>367.91119048558335</c:v>
                </c:pt>
                <c:pt idx="45">
                  <c:v>382.28741618096211</c:v>
                </c:pt>
                <c:pt idx="46">
                  <c:v>396.65189032068633</c:v>
                </c:pt>
                <c:pt idx="47">
                  <c:v>411.00509838000477</c:v>
                </c:pt>
                <c:pt idx="48">
                  <c:v>425.34748916314453</c:v>
                </c:pt>
                <c:pt idx="49">
                  <c:v>439.67947874230293</c:v>
                </c:pt>
                <c:pt idx="50">
                  <c:v>454.00145385629543</c:v>
                </c:pt>
                <c:pt idx="51">
                  <c:v>397.58830747990646</c:v>
                </c:pt>
                <c:pt idx="52">
                  <c:v>408.19772677982763</c:v>
                </c:pt>
                <c:pt idx="53">
                  <c:v>418.80119064069623</c:v>
                </c:pt>
                <c:pt idx="54">
                  <c:v>429.39887113927813</c:v>
                </c:pt>
                <c:pt idx="55">
                  <c:v>439.9909311636232</c:v>
                </c:pt>
                <c:pt idx="56">
                  <c:v>450.57752511785958</c:v>
                </c:pt>
                <c:pt idx="57">
                  <c:v>461.15879955729133</c:v>
                </c:pt>
                <c:pt idx="58">
                  <c:v>471.73489376216497</c:v>
                </c:pt>
                <c:pt idx="59">
                  <c:v>482.3059402572992</c:v>
                </c:pt>
                <c:pt idx="60">
                  <c:v>492.87206528378402</c:v>
                </c:pt>
                <c:pt idx="61">
                  <c:v>453.84583274186275</c:v>
                </c:pt>
                <c:pt idx="62">
                  <c:v>461.46993442600098</c:v>
                </c:pt>
                <c:pt idx="63">
                  <c:v>469.09134849962794</c:v>
                </c:pt>
                <c:pt idx="64">
                  <c:v>476.71012480781616</c:v>
                </c:pt>
                <c:pt idx="65">
                  <c:v>484.32631147171105</c:v>
                </c:pt>
                <c:pt idx="66">
                  <c:v>491.93995497491869</c:v>
                </c:pt>
                <c:pt idx="67">
                  <c:v>499.55110024426494</c:v>
                </c:pt>
                <c:pt idx="68">
                  <c:v>507.15979072537556</c:v>
                </c:pt>
                <c:pt idx="69">
                  <c:v>514.76606845348317</c:v>
                </c:pt>
                <c:pt idx="70">
                  <c:v>522.36997411983293</c:v>
                </c:pt>
                <c:pt idx="71">
                  <c:v>488.05575792294297</c:v>
                </c:pt>
                <c:pt idx="72">
                  <c:v>494.11482090374903</c:v>
                </c:pt>
                <c:pt idx="73">
                  <c:v>500.17230927372475</c:v>
                </c:pt>
                <c:pt idx="74">
                  <c:v>506.22824480345389</c:v>
                </c:pt>
                <c:pt idx="75">
                  <c:v>512.28264869987095</c:v>
                </c:pt>
                <c:pt idx="76">
                  <c:v>518.33554162748874</c:v>
                </c:pt>
                <c:pt idx="77">
                  <c:v>524.38694372858561</c:v>
                </c:pt>
                <c:pt idx="78">
                  <c:v>530.43687464240918</c:v>
                </c:pt>
                <c:pt idx="79">
                  <c:v>536.48535352346028</c:v>
                </c:pt>
                <c:pt idx="80">
                  <c:v>542.53239905890825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2.6221659006031532</c:v>
                </c:pt>
                <c:pt idx="2">
                  <c:v>3.1322083665241549</c:v>
                </c:pt>
                <c:pt idx="3">
                  <c:v>3.7418290992150331</c:v>
                </c:pt>
                <c:pt idx="4">
                  <c:v>4.4705372894252742</c:v>
                </c:pt>
                <c:pt idx="5">
                  <c:v>5.3416768206533467</c:v>
                </c:pt>
                <c:pt idx="6">
                  <c:v>6.3831822949956036</c:v>
                </c:pt>
                <c:pt idx="7">
                  <c:v>7.6284845295207901</c:v>
                </c:pt>
                <c:pt idx="8">
                  <c:v>9.1175951501293113</c:v>
                </c:pt>
                <c:pt idx="9">
                  <c:v>10.898405796042995</c:v>
                </c:pt>
                <c:pt idx="10">
                  <c:v>13.028244506192046</c:v>
                </c:pt>
                <c:pt idx="11">
                  <c:v>15.575740322601375</c:v>
                </c:pt>
                <c:pt idx="12">
                  <c:v>18.623057295923882</c:v>
                </c:pt>
                <c:pt idx="13">
                  <c:v>22.268571251084154</c:v>
                </c:pt>
                <c:pt idx="14">
                  <c:v>26.630077270432324</c:v>
                </c:pt>
                <c:pt idx="15">
                  <c:v>31.848633362475322</c:v>
                </c:pt>
                <c:pt idx="16">
                  <c:v>38.093166787700099</c:v>
                </c:pt>
                <c:pt idx="17">
                  <c:v>45.565994707132809</c:v>
                </c:pt>
                <c:pt idx="18">
                  <c:v>54.509441041660921</c:v>
                </c:pt>
                <c:pt idx="19">
                  <c:v>65.213767686010328</c:v>
                </c:pt>
                <c:pt idx="20">
                  <c:v>78.026681717112226</c:v>
                </c:pt>
                <c:pt idx="21">
                  <c:v>82.388011748887735</c:v>
                </c:pt>
                <c:pt idx="22">
                  <c:v>94.305360186337609</c:v>
                </c:pt>
                <c:pt idx="23">
                  <c:v>106.18511445791337</c:v>
                </c:pt>
                <c:pt idx="24">
                  <c:v>118.03208120289025</c:v>
                </c:pt>
                <c:pt idx="25">
                  <c:v>129.85002000252635</c:v>
                </c:pt>
                <c:pt idx="26">
                  <c:v>141.64194831023977</c:v>
                </c:pt>
                <c:pt idx="27">
                  <c:v>153.41033898523892</c:v>
                </c:pt>
                <c:pt idx="28">
                  <c:v>165.15725377990333</c:v>
                </c:pt>
                <c:pt idx="29">
                  <c:v>176.88443672655623</c:v>
                </c:pt>
                <c:pt idx="30">
                  <c:v>188.59338138830176</c:v>
                </c:pt>
                <c:pt idx="31">
                  <c:v>165.52984007722179</c:v>
                </c:pt>
                <c:pt idx="32">
                  <c:v>183.3915707178659</c:v>
                </c:pt>
                <c:pt idx="33">
                  <c:v>201.21262563029904</c:v>
                </c:pt>
                <c:pt idx="34">
                  <c:v>218.99711535784954</c:v>
                </c:pt>
                <c:pt idx="35">
                  <c:v>236.74842754536431</c:v>
                </c:pt>
                <c:pt idx="36">
                  <c:v>254.46939993854008</c:v>
                </c:pt>
                <c:pt idx="37">
                  <c:v>272.16244255683904</c:v>
                </c:pt>
                <c:pt idx="38">
                  <c:v>289.82962637569977</c:v>
                </c:pt>
                <c:pt idx="39">
                  <c:v>307.47274922302034</c:v>
                </c:pt>
                <c:pt idx="40">
                  <c:v>325.09338574282259</c:v>
                </c:pt>
                <c:pt idx="41">
                  <c:v>250.77990843042707</c:v>
                </c:pt>
                <c:pt idx="42">
                  <c:v>270.32065694935739</c:v>
                </c:pt>
                <c:pt idx="43">
                  <c:v>289.82962637569977</c:v>
                </c:pt>
                <c:pt idx="44">
                  <c:v>309.3092561029556</c:v>
                </c:pt>
                <c:pt idx="45">
                  <c:v>328.76165316889791</c:v>
                </c:pt>
                <c:pt idx="46">
                  <c:v>348.18865493629534</c:v>
                </c:pt>
                <c:pt idx="47">
                  <c:v>367.59187704260927</c:v>
                </c:pt>
                <c:pt idx="48">
                  <c:v>386.97275069119155</c:v>
                </c:pt>
                <c:pt idx="49">
                  <c:v>406.33255207904011</c:v>
                </c:pt>
                <c:pt idx="50">
                  <c:v>425.67242592235556</c:v>
                </c:pt>
                <c:pt idx="51">
                  <c:v>328.39486727133874</c:v>
                </c:pt>
                <c:pt idx="52">
                  <c:v>348.18865493629534</c:v>
                </c:pt>
                <c:pt idx="53">
                  <c:v>367.95775652370872</c:v>
                </c:pt>
                <c:pt idx="54">
                  <c:v>387.70368425262296</c:v>
                </c:pt>
                <c:pt idx="55">
                  <c:v>407.42778379371663</c:v>
                </c:pt>
                <c:pt idx="56">
                  <c:v>427.13125995293143</c:v>
                </c:pt>
                <c:pt idx="57">
                  <c:v>446.81519736841233</c:v>
                </c:pt>
                <c:pt idx="58">
                  <c:v>466.4805773703319</c:v>
                </c:pt>
                <c:pt idx="59">
                  <c:v>486.12829184993842</c:v>
                </c:pt>
                <c:pt idx="60">
                  <c:v>505.75915477017446</c:v>
                </c:pt>
                <c:pt idx="61">
                  <c:v>399.57720542478529</c:v>
                </c:pt>
                <c:pt idx="62">
                  <c:v>419.10633532774767</c:v>
                </c:pt>
                <c:pt idx="63">
                  <c:v>438.61586616499397</c:v>
                </c:pt>
                <c:pt idx="64">
                  <c:v>458.1067918371786</c:v>
                </c:pt>
                <c:pt idx="65">
                  <c:v>477.58001482002169</c:v>
                </c:pt>
                <c:pt idx="66">
                  <c:v>497.036358035185</c:v>
                </c:pt>
                <c:pt idx="67">
                  <c:v>516.47657476615097</c:v>
                </c:pt>
                <c:pt idx="68">
                  <c:v>535.90135700397661</c:v>
                </c:pt>
                <c:pt idx="69">
                  <c:v>555.31134252056279</c:v>
                </c:pt>
                <c:pt idx="70">
                  <c:v>574.70712090201835</c:v>
                </c:pt>
                <c:pt idx="71">
                  <c:v>462.294089204675</c:v>
                </c:pt>
                <c:pt idx="72">
                  <c:v>480.67231718549561</c:v>
                </c:pt>
                <c:pt idx="73">
                  <c:v>499.03561650475189</c:v>
                </c:pt>
                <c:pt idx="74">
                  <c:v>517.38461348648957</c:v>
                </c:pt>
                <c:pt idx="75">
                  <c:v>535.71988643466068</c:v>
                </c:pt>
                <c:pt idx="76">
                  <c:v>554.04197086588488</c:v>
                </c:pt>
                <c:pt idx="77">
                  <c:v>572.35136401433954</c:v>
                </c:pt>
                <c:pt idx="78">
                  <c:v>590.64852873052894</c:v>
                </c:pt>
                <c:pt idx="79">
                  <c:v>608.93389687209947</c:v>
                </c:pt>
                <c:pt idx="80">
                  <c:v>627.20787226644893</c:v>
                </c:pt>
                <c:pt idx="81">
                  <c:v>518.65581121947082</c:v>
                </c:pt>
                <c:pt idx="82">
                  <c:v>535.17546696939337</c:v>
                </c:pt>
                <c:pt idx="83">
                  <c:v>551.68440454363065</c:v>
                </c:pt>
                <c:pt idx="84">
                  <c:v>568.18298966438704</c:v>
                </c:pt>
                <c:pt idx="85">
                  <c:v>584.67156509530366</c:v>
                </c:pt>
                <c:pt idx="86">
                  <c:v>601.1504527028269</c:v>
                </c:pt>
                <c:pt idx="87">
                  <c:v>617.61995527992087</c:v>
                </c:pt>
                <c:pt idx="88">
                  <c:v>634.08035816525512</c:v>
                </c:pt>
                <c:pt idx="89">
                  <c:v>650.53193068562337</c:v>
                </c:pt>
                <c:pt idx="90">
                  <c:v>666.97492744496378</c:v>
                </c:pt>
                <c:pt idx="91">
                  <c:v>560.93211702074007</c:v>
                </c:pt>
                <c:pt idx="92">
                  <c:v>576.15671718544536</c:v>
                </c:pt>
                <c:pt idx="93">
                  <c:v>591.3729233222266</c:v>
                </c:pt>
                <c:pt idx="94">
                  <c:v>606.58098171901827</c:v>
                </c:pt>
                <c:pt idx="95">
                  <c:v>621.7811253140419</c:v>
                </c:pt>
                <c:pt idx="96">
                  <c:v>636.97357473480702</c:v>
                </c:pt>
                <c:pt idx="97">
                  <c:v>652.15853923289103</c:v>
                </c:pt>
                <c:pt idx="98">
                  <c:v>667.33621752718682</c:v>
                </c:pt>
                <c:pt idx="99">
                  <c:v>682.50679856649674</c:v>
                </c:pt>
                <c:pt idx="100">
                  <c:v>697.67046222084502</c:v>
                </c:pt>
                <c:pt idx="101">
                  <c:v>597.52953409477198</c:v>
                </c:pt>
                <c:pt idx="102">
                  <c:v>611.28662331597275</c:v>
                </c:pt>
                <c:pt idx="103">
                  <c:v>625.03729061656554</c:v>
                </c:pt>
                <c:pt idx="104">
                  <c:v>638.78169711460112</c:v>
                </c:pt>
                <c:pt idx="105">
                  <c:v>652.51999643294278</c:v>
                </c:pt>
                <c:pt idx="106">
                  <c:v>666.25233520168399</c:v>
                </c:pt>
                <c:pt idx="107">
                  <c:v>679.97885351701518</c:v>
                </c:pt>
                <c:pt idx="108">
                  <c:v>693.69968536113538</c:v>
                </c:pt>
                <c:pt idx="109">
                  <c:v>707.41495898723531</c:v>
                </c:pt>
                <c:pt idx="110">
                  <c:v>721.1247972730938</c:v>
                </c:pt>
                <c:pt idx="111">
                  <c:v>628.6548402981233</c:v>
                </c:pt>
                <c:pt idx="112">
                  <c:v>640.95130444493554</c:v>
                </c:pt>
                <c:pt idx="113">
                  <c:v>653.24289845337205</c:v>
                </c:pt>
                <c:pt idx="114">
                  <c:v>665.52972683667122</c:v>
                </c:pt>
                <c:pt idx="115">
                  <c:v>677.8118899361674</c:v>
                </c:pt>
                <c:pt idx="116">
                  <c:v>690.08948416197961</c:v>
                </c:pt>
                <c:pt idx="117">
                  <c:v>702.36260221569603</c:v>
                </c:pt>
                <c:pt idx="118">
                  <c:v>714.63133329669063</c:v>
                </c:pt>
                <c:pt idx="119">
                  <c:v>726.89576329354441</c:v>
                </c:pt>
                <c:pt idx="120">
                  <c:v>739.15597496188423</c:v>
                </c:pt>
                <c:pt idx="121">
                  <c:v>654.14650279389639</c:v>
                </c:pt>
                <c:pt idx="122">
                  <c:v>664.8071023299367</c:v>
                </c:pt>
                <c:pt idx="123">
                  <c:v>675.46418548841041</c:v>
                </c:pt>
                <c:pt idx="124">
                  <c:v>686.11781555021241</c:v>
                </c:pt>
                <c:pt idx="125">
                  <c:v>696.76805367152656</c:v>
                </c:pt>
                <c:pt idx="126">
                  <c:v>707.41495898723531</c:v>
                </c:pt>
                <c:pt idx="127">
                  <c:v>718.05858870778468</c:v>
                </c:pt>
                <c:pt idx="128">
                  <c:v>728.69899821000888</c:v>
                </c:pt>
                <c:pt idx="129">
                  <c:v>739.33624112237851</c:v>
                </c:pt>
                <c:pt idx="130">
                  <c:v>749.97036940508951</c:v>
                </c:pt>
                <c:pt idx="131">
                  <c:v>674.38057308941836</c:v>
                </c:pt>
                <c:pt idx="132">
                  <c:v>683.59014472488514</c:v>
                </c:pt>
                <c:pt idx="133">
                  <c:v>692.7971712341091</c:v>
                </c:pt>
                <c:pt idx="134">
                  <c:v>702.00169120082239</c:v>
                </c:pt>
                <c:pt idx="135">
                  <c:v>711.20374211472051</c:v>
                </c:pt>
                <c:pt idx="136">
                  <c:v>720.40336041654052</c:v>
                </c:pt>
                <c:pt idx="137">
                  <c:v>729.60058154071328</c:v>
                </c:pt>
                <c:pt idx="138">
                  <c:v>738.79543995575875</c:v>
                </c:pt>
                <c:pt idx="139">
                  <c:v>747.98796920256325</c:v>
                </c:pt>
                <c:pt idx="140">
                  <c:v>757.17820193068076</c:v>
                </c:pt>
                <c:pt idx="141">
                  <c:v>691.35309850617239</c:v>
                </c:pt>
                <c:pt idx="142">
                  <c:v>699.47520765710851</c:v>
                </c:pt>
                <c:pt idx="143">
                  <c:v>707.59538662085424</c:v>
                </c:pt>
                <c:pt idx="144">
                  <c:v>715.71366066651626</c:v>
                </c:pt>
                <c:pt idx="145">
                  <c:v>723.83005444332548</c:v>
                </c:pt>
                <c:pt idx="146">
                  <c:v>731.94459200277345</c:v>
                </c:pt>
                <c:pt idx="147">
                  <c:v>740.05729681971332</c:v>
                </c:pt>
                <c:pt idx="148">
                  <c:v>748.16819181249014</c:v>
                </c:pt>
                <c:pt idx="149">
                  <c:v>756.27729936215337</c:v>
                </c:pt>
                <c:pt idx="150">
                  <c:v>764.3846413308014</c:v>
                </c:pt>
                <c:pt idx="151">
                  <c:v>697.67046222084571</c:v>
                </c:pt>
                <c:pt idx="152">
                  <c:v>697.67046222084571</c:v>
                </c:pt>
                <c:pt idx="153">
                  <c:v>697.67046222084571</c:v>
                </c:pt>
                <c:pt idx="154">
                  <c:v>697.67046222084571</c:v>
                </c:pt>
                <c:pt idx="155">
                  <c:v>697.67046222084571</c:v>
                </c:pt>
                <c:pt idx="156">
                  <c:v>697.67046222084571</c:v>
                </c:pt>
                <c:pt idx="157">
                  <c:v>697.67046222084571</c:v>
                </c:pt>
                <c:pt idx="158">
                  <c:v>697.67046222084571</c:v>
                </c:pt>
                <c:pt idx="159">
                  <c:v>697.67046222084571</c:v>
                </c:pt>
                <c:pt idx="160">
                  <c:v>697.67046222084571</c:v>
                </c:pt>
                <c:pt idx="161">
                  <c:v>697.67046222084571</c:v>
                </c:pt>
                <c:pt idx="162">
                  <c:v>697.67046222084571</c:v>
                </c:pt>
                <c:pt idx="163">
                  <c:v>697.67046222084571</c:v>
                </c:pt>
                <c:pt idx="164">
                  <c:v>697.67046222084571</c:v>
                </c:pt>
                <c:pt idx="165">
                  <c:v>697.67046222084571</c:v>
                </c:pt>
                <c:pt idx="166">
                  <c:v>697.67046222084571</c:v>
                </c:pt>
                <c:pt idx="167">
                  <c:v>697.67046222084571</c:v>
                </c:pt>
                <c:pt idx="168">
                  <c:v>697.67046222084571</c:v>
                </c:pt>
                <c:pt idx="169">
                  <c:v>697.67046222084571</c:v>
                </c:pt>
                <c:pt idx="170">
                  <c:v>697.67046222084571</c:v>
                </c:pt>
                <c:pt idx="171">
                  <c:v>697.67046222084571</c:v>
                </c:pt>
                <c:pt idx="172">
                  <c:v>697.67046222084571</c:v>
                </c:pt>
                <c:pt idx="173">
                  <c:v>697.67046222084571</c:v>
                </c:pt>
                <c:pt idx="174">
                  <c:v>697.67046222084571</c:v>
                </c:pt>
                <c:pt idx="175">
                  <c:v>697.67046222084571</c:v>
                </c:pt>
                <c:pt idx="176">
                  <c:v>697.67046222084571</c:v>
                </c:pt>
                <c:pt idx="177">
                  <c:v>697.67046222084571</c:v>
                </c:pt>
                <c:pt idx="178">
                  <c:v>697.67046222084571</c:v>
                </c:pt>
                <c:pt idx="179">
                  <c:v>697.67046222084571</c:v>
                </c:pt>
                <c:pt idx="180">
                  <c:v>697.67046222084571</c:v>
                </c:pt>
                <c:pt idx="181">
                  <c:v>697.67046222084571</c:v>
                </c:pt>
                <c:pt idx="182">
                  <c:v>697.67046222084571</c:v>
                </c:pt>
                <c:pt idx="183">
                  <c:v>697.67046222084571</c:v>
                </c:pt>
                <c:pt idx="184">
                  <c:v>697.67046222084571</c:v>
                </c:pt>
                <c:pt idx="185">
                  <c:v>697.67046222084571</c:v>
                </c:pt>
                <c:pt idx="186">
                  <c:v>697.67046222084571</c:v>
                </c:pt>
                <c:pt idx="187">
                  <c:v>697.67046222084571</c:v>
                </c:pt>
                <c:pt idx="188">
                  <c:v>697.67046222084571</c:v>
                </c:pt>
                <c:pt idx="189">
                  <c:v>697.67046222084571</c:v>
                </c:pt>
                <c:pt idx="190">
                  <c:v>697.67046222084571</c:v>
                </c:pt>
                <c:pt idx="191">
                  <c:v>697.67046222084571</c:v>
                </c:pt>
                <c:pt idx="192">
                  <c:v>697.67046222084571</c:v>
                </c:pt>
                <c:pt idx="193">
                  <c:v>697.67046222084571</c:v>
                </c:pt>
                <c:pt idx="194">
                  <c:v>697.67046222084571</c:v>
                </c:pt>
                <c:pt idx="195">
                  <c:v>697.67046222084571</c:v>
                </c:pt>
                <c:pt idx="196">
                  <c:v>697.67046222084571</c:v>
                </c:pt>
                <c:pt idx="197">
                  <c:v>697.67046222084571</c:v>
                </c:pt>
                <c:pt idx="198">
                  <c:v>697.67046222084571</c:v>
                </c:pt>
                <c:pt idx="199">
                  <c:v>697.67046222084571</c:v>
                </c:pt>
                <c:pt idx="200">
                  <c:v>697.67046222084571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0" zoomScale="80" zoomScaleNormal="80" workbookViewId="0">
      <selection activeCell="C13" sqref="C1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18.82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8</v>
      </c>
      <c r="C9" s="32">
        <v>0.2</v>
      </c>
      <c r="D9" s="33">
        <f t="shared" ref="D9:D18" si="0">C9*$C$5</f>
        <v>3.7640000000000002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18</v>
      </c>
      <c r="C10" s="32">
        <v>0.62</v>
      </c>
      <c r="D10" s="33">
        <f t="shared" si="0"/>
        <v>11.6684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25</v>
      </c>
      <c r="C11" s="32">
        <v>0.13</v>
      </c>
      <c r="D11" s="33">
        <f t="shared" si="0"/>
        <v>2.4466000000000001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0.05</v>
      </c>
      <c r="D12" s="33">
        <f t="shared" si="0"/>
        <v>0.94100000000000006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18.82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Châtaignier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11</v>
      </c>
      <c r="C36" s="60"/>
      <c r="D36" s="60"/>
      <c r="E36" s="51"/>
      <c r="F36" s="51">
        <v>0.25</v>
      </c>
      <c r="G36" s="51">
        <v>0.25</v>
      </c>
      <c r="H36" s="51">
        <v>0.5</v>
      </c>
      <c r="I36" s="49">
        <f>IFERROR(B36/A36,"")</f>
        <v>1.1000000000000001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134</v>
      </c>
      <c r="C37" s="60">
        <v>1</v>
      </c>
      <c r="D37" s="60">
        <f>32+35</f>
        <v>67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12.3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212</v>
      </c>
      <c r="C38" s="60">
        <v>2</v>
      </c>
      <c r="D38" s="60">
        <f>35+35</f>
        <v>70</v>
      </c>
      <c r="E38" s="51">
        <v>0.1</v>
      </c>
      <c r="F38" s="51">
        <v>0.45</v>
      </c>
      <c r="G38" s="51">
        <v>0.45</v>
      </c>
      <c r="H38" s="51"/>
      <c r="I38" s="53">
        <f t="shared" si="1"/>
        <v>14.5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263</v>
      </c>
      <c r="C39" s="60">
        <v>3</v>
      </c>
      <c r="D39" s="60">
        <f>35+35</f>
        <v>70</v>
      </c>
      <c r="E39" s="51"/>
      <c r="F39" s="51"/>
      <c r="G39" s="51"/>
      <c r="H39" s="51"/>
      <c r="I39" s="49">
        <f t="shared" si="1"/>
        <v>12.1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285</v>
      </c>
      <c r="C40" s="60">
        <v>4</v>
      </c>
      <c r="D40" s="60">
        <f>24+19</f>
        <v>43</v>
      </c>
      <c r="E40" s="51"/>
      <c r="F40" s="51"/>
      <c r="G40" s="51"/>
      <c r="H40" s="51"/>
      <c r="I40" s="49">
        <f t="shared" si="1"/>
        <v>9.1999999999999993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310</v>
      </c>
      <c r="C41" s="60">
        <v>5</v>
      </c>
      <c r="D41" s="60">
        <f>16+14</f>
        <v>30</v>
      </c>
      <c r="E41" s="51"/>
      <c r="F41" s="51"/>
      <c r="G41" s="51"/>
      <c r="H41" s="51"/>
      <c r="I41" s="53">
        <f t="shared" si="1"/>
        <v>6.8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329</v>
      </c>
      <c r="C42" s="60">
        <v>6</v>
      </c>
      <c r="D42" s="60">
        <f>13+13</f>
        <v>26</v>
      </c>
      <c r="E42" s="51"/>
      <c r="F42" s="51"/>
      <c r="G42" s="51"/>
      <c r="H42" s="51"/>
      <c r="I42" s="53">
        <f t="shared" si="1"/>
        <v>4.9000000000000004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319+12+11</f>
        <v>342</v>
      </c>
      <c r="C43" s="60">
        <v>7</v>
      </c>
      <c r="D43" s="60">
        <f>B43</f>
        <v>342</v>
      </c>
      <c r="E43" s="51"/>
      <c r="F43" s="51"/>
      <c r="G43" s="51"/>
      <c r="H43" s="51"/>
      <c r="I43" s="49">
        <f t="shared" si="1"/>
        <v>3.9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17</v>
      </c>
      <c r="B62" s="60">
        <f>207.67/1.3</f>
        <v>159.74615384615385</v>
      </c>
      <c r="C62" s="60"/>
      <c r="D62" s="60"/>
      <c r="E62" s="51"/>
      <c r="F62" s="51"/>
      <c r="G62" s="51"/>
      <c r="H62" s="51"/>
      <c r="I62" s="53">
        <f>IFERROR(B62/A62,"")</f>
        <v>9.3968325791855207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18</v>
      </c>
      <c r="B63" s="60">
        <f>237.76/1.3</f>
        <v>182.89230769230767</v>
      </c>
      <c r="C63" s="60">
        <v>1</v>
      </c>
      <c r="D63" s="60">
        <f>90.07/1.3</f>
        <v>69.284615384615378</v>
      </c>
      <c r="E63" s="51"/>
      <c r="F63" s="51">
        <v>0.5</v>
      </c>
      <c r="G63" s="51">
        <v>0.5</v>
      </c>
      <c r="H63" s="51"/>
      <c r="I63" s="49">
        <f>IF(A63&lt;&gt;0,(B63-(B62-D62))/(A63-A62),"")</f>
        <v>23.146153846153823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24</v>
      </c>
      <c r="B64" s="60">
        <f>308.83/1.3</f>
        <v>237.56153846153845</v>
      </c>
      <c r="C64" s="60">
        <v>2</v>
      </c>
      <c r="D64" s="60">
        <f>55.46/1.3</f>
        <v>42.661538461538463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20.658974358974358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f>431.43/1.3</f>
        <v>331.86923076923074</v>
      </c>
      <c r="C65" s="60">
        <v>3</v>
      </c>
      <c r="D65" s="60">
        <f>85.37/1.3</f>
        <v>65.669230769230765</v>
      </c>
      <c r="E65" s="51"/>
      <c r="F65" s="51"/>
      <c r="G65" s="51"/>
      <c r="H65" s="51"/>
      <c r="I65" s="49">
        <f>IF(A65&lt;&gt;0,(B65-(B64-D64))/(A65-A64),"")</f>
        <v>22.828205128205127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36</v>
      </c>
      <c r="B66" s="60">
        <f>524.56/1.3</f>
        <v>403.50769230769225</v>
      </c>
      <c r="C66" s="60">
        <v>4</v>
      </c>
      <c r="D66" s="60">
        <f>90.09/1.3</f>
        <v>69.3</v>
      </c>
      <c r="E66" s="51"/>
      <c r="F66" s="51"/>
      <c r="G66" s="51"/>
      <c r="H66" s="51"/>
      <c r="I66" s="49">
        <f t="shared" ref="I66:I81" si="2">IF(A66&lt;&gt;0,(B66-(B65-D65))/(A66-A65),"")</f>
        <v>22.884615384615376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42</v>
      </c>
      <c r="B67" s="60">
        <f>609.34/1.3</f>
        <v>468.72307692307692</v>
      </c>
      <c r="C67" s="60">
        <v>5</v>
      </c>
      <c r="D67" s="60">
        <f>95.41/1.3</f>
        <v>73.392307692307682</v>
      </c>
      <c r="E67" s="51"/>
      <c r="F67" s="51"/>
      <c r="G67" s="51"/>
      <c r="H67" s="51"/>
      <c r="I67" s="49">
        <f t="shared" si="2"/>
        <v>22.419230769230779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48</v>
      </c>
      <c r="B68" s="60">
        <f>682.61/1.3</f>
        <v>525.0846153846154</v>
      </c>
      <c r="C68" s="60">
        <v>6</v>
      </c>
      <c r="D68" s="60">
        <f>105.73/1.3</f>
        <v>81.330769230769235</v>
      </c>
      <c r="E68" s="51"/>
      <c r="F68" s="51"/>
      <c r="G68" s="51"/>
      <c r="H68" s="51"/>
      <c r="I68" s="49">
        <f t="shared" si="2"/>
        <v>21.625641025641027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54</v>
      </c>
      <c r="B69" s="50">
        <f>736.84/1.3</f>
        <v>566.79999999999995</v>
      </c>
      <c r="C69" s="50">
        <v>7</v>
      </c>
      <c r="D69" s="50">
        <f>736.84/1.3</f>
        <v>566.79999999999995</v>
      </c>
      <c r="E69" s="51"/>
      <c r="F69" s="51"/>
      <c r="G69" s="51"/>
      <c r="H69" s="51"/>
      <c r="I69" s="49">
        <f t="shared" si="2"/>
        <v>20.507692307692299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Hêtre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f>36+4</f>
        <v>40</v>
      </c>
      <c r="C88" s="60">
        <v>1</v>
      </c>
      <c r="D88" s="60">
        <v>4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77+22</f>
        <v>99</v>
      </c>
      <c r="C89" s="60">
        <v>2</v>
      </c>
      <c r="D89" s="60">
        <v>22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122+51</f>
        <v>173</v>
      </c>
      <c r="C90" s="60">
        <v>3</v>
      </c>
      <c r="D90" s="60">
        <v>51</v>
      </c>
      <c r="E90" s="87"/>
      <c r="F90" s="87"/>
      <c r="G90" s="87"/>
      <c r="H90" s="87"/>
      <c r="I90" s="53">
        <f t="shared" si="3"/>
        <v>9.6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164+64</f>
        <v>228</v>
      </c>
      <c r="C91" s="60">
        <v>4</v>
      </c>
      <c r="D91" s="60">
        <v>64</v>
      </c>
      <c r="E91" s="87"/>
      <c r="F91" s="87"/>
      <c r="G91" s="87"/>
      <c r="H91" s="87"/>
      <c r="I91" s="53">
        <f t="shared" si="3"/>
        <v>10.6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203+69</f>
        <v>272</v>
      </c>
      <c r="C92" s="60">
        <v>5</v>
      </c>
      <c r="D92" s="60">
        <v>69</v>
      </c>
      <c r="E92" s="87"/>
      <c r="F92" s="87"/>
      <c r="G92" s="87"/>
      <c r="H92" s="87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238+72</f>
        <v>310</v>
      </c>
      <c r="C93" s="60">
        <v>6</v>
      </c>
      <c r="D93" s="60">
        <v>72</v>
      </c>
      <c r="E93" s="87"/>
      <c r="F93" s="87"/>
      <c r="G93" s="87"/>
      <c r="H93" s="87"/>
      <c r="I93" s="53">
        <f t="shared" si="3"/>
        <v>10.7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268+71</f>
        <v>339</v>
      </c>
      <c r="C94" s="60">
        <v>7</v>
      </c>
      <c r="D94" s="60">
        <v>69</v>
      </c>
      <c r="E94" s="87"/>
      <c r="F94" s="87"/>
      <c r="G94" s="87"/>
      <c r="H94" s="87"/>
      <c r="I94" s="53">
        <f t="shared" si="3"/>
        <v>10.1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294+67</f>
        <v>361</v>
      </c>
      <c r="C95" s="60">
        <v>8</v>
      </c>
      <c r="D95" s="60">
        <v>67</v>
      </c>
      <c r="E95" s="87"/>
      <c r="F95" s="87"/>
      <c r="G95" s="87"/>
      <c r="H95" s="87"/>
      <c r="I95" s="53">
        <f t="shared" si="3"/>
        <v>9.1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315+63</f>
        <v>378</v>
      </c>
      <c r="C96" s="60">
        <v>9</v>
      </c>
      <c r="D96" s="60">
        <v>63</v>
      </c>
      <c r="E96" s="87"/>
      <c r="F96" s="87"/>
      <c r="G96" s="87"/>
      <c r="H96" s="87"/>
      <c r="I96" s="53">
        <f t="shared" si="3"/>
        <v>8.4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f>333+58</f>
        <v>391</v>
      </c>
      <c r="C97" s="60">
        <v>10</v>
      </c>
      <c r="D97" s="60">
        <v>58</v>
      </c>
      <c r="E97" s="87"/>
      <c r="F97" s="87"/>
      <c r="G97" s="87"/>
      <c r="H97" s="87"/>
      <c r="I97" s="53">
        <f t="shared" si="3"/>
        <v>7.6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348+53</f>
        <v>401</v>
      </c>
      <c r="C98" s="60">
        <v>11</v>
      </c>
      <c r="D98" s="60">
        <v>53</v>
      </c>
      <c r="E98" s="87"/>
      <c r="F98" s="87"/>
      <c r="G98" s="87"/>
      <c r="H98" s="87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130</v>
      </c>
      <c r="B99" s="60">
        <f>360+47</f>
        <v>407</v>
      </c>
      <c r="C99" s="60">
        <v>12</v>
      </c>
      <c r="D99" s="60">
        <v>47</v>
      </c>
      <c r="E99" s="87"/>
      <c r="F99" s="87"/>
      <c r="G99" s="87"/>
      <c r="H99" s="87"/>
      <c r="I99" s="53">
        <f t="shared" si="3"/>
        <v>5.9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140</v>
      </c>
      <c r="B100" s="60">
        <f>370+41</f>
        <v>411</v>
      </c>
      <c r="C100" s="60">
        <v>13</v>
      </c>
      <c r="D100" s="60">
        <v>41</v>
      </c>
      <c r="E100" s="65"/>
      <c r="F100" s="65"/>
      <c r="G100" s="65"/>
      <c r="H100" s="65"/>
      <c r="I100" s="53">
        <f t="shared" si="3"/>
        <v>5.0999999999999996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150</v>
      </c>
      <c r="B101" s="60">
        <f>378+37</f>
        <v>415</v>
      </c>
      <c r="C101" s="60">
        <v>14</v>
      </c>
      <c r="D101" s="60">
        <v>37</v>
      </c>
      <c r="E101" s="65"/>
      <c r="F101" s="65"/>
      <c r="G101" s="65"/>
      <c r="H101" s="65"/>
      <c r="I101" s="53">
        <f t="shared" si="3"/>
        <v>4.5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36</v>
      </c>
      <c r="C114" s="50"/>
      <c r="D114" s="60"/>
      <c r="E114" s="51"/>
      <c r="F114" s="51"/>
      <c r="G114" s="51"/>
      <c r="H114" s="51"/>
      <c r="I114" s="53">
        <f>IFERROR(B114/A114,"")</f>
        <v>3.6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177</v>
      </c>
      <c r="C115" s="50">
        <v>1</v>
      </c>
      <c r="D115" s="60">
        <f>39+42</f>
        <v>81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14.1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260</v>
      </c>
      <c r="C116" s="50">
        <v>2</v>
      </c>
      <c r="D116" s="60">
        <f>42+42</f>
        <v>84</v>
      </c>
      <c r="E116" s="51">
        <v>0.2</v>
      </c>
      <c r="F116" s="51">
        <v>0.4</v>
      </c>
      <c r="G116" s="51">
        <v>0.4</v>
      </c>
      <c r="H116" s="51"/>
      <c r="I116" s="53">
        <f t="shared" si="4"/>
        <v>16.399999999999999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314</v>
      </c>
      <c r="C117" s="50">
        <v>3</v>
      </c>
      <c r="D117" s="60">
        <f>42+38</f>
        <v>80</v>
      </c>
      <c r="E117" s="51"/>
      <c r="F117" s="51"/>
      <c r="G117" s="51"/>
      <c r="H117" s="51"/>
      <c r="I117" s="53">
        <f t="shared" si="4"/>
        <v>13.8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349</v>
      </c>
      <c r="C118" s="50">
        <v>4</v>
      </c>
      <c r="D118" s="60">
        <f>34+31</f>
        <v>65</v>
      </c>
      <c r="E118" s="51"/>
      <c r="F118" s="51"/>
      <c r="G118" s="51"/>
      <c r="H118" s="51"/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382</v>
      </c>
      <c r="C119" s="50">
        <v>5</v>
      </c>
      <c r="D119" s="60">
        <f>29+27</f>
        <v>56</v>
      </c>
      <c r="E119" s="51"/>
      <c r="F119" s="51"/>
      <c r="G119" s="51"/>
      <c r="H119" s="51"/>
      <c r="I119" s="53">
        <f t="shared" si="4"/>
        <v>9.8000000000000007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411</v>
      </c>
      <c r="C120" s="60">
        <v>6</v>
      </c>
      <c r="D120" s="60">
        <f>26+26</f>
        <v>52</v>
      </c>
      <c r="E120" s="87"/>
      <c r="F120" s="87"/>
      <c r="G120" s="87"/>
      <c r="H120" s="87"/>
      <c r="I120" s="53">
        <f t="shared" si="4"/>
        <v>8.5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381+26+26</f>
        <v>433</v>
      </c>
      <c r="C121" s="60">
        <v>7</v>
      </c>
      <c r="D121" s="60">
        <f>B121</f>
        <v>433</v>
      </c>
      <c r="E121" s="87"/>
      <c r="F121" s="87"/>
      <c r="G121" s="87"/>
      <c r="H121" s="87"/>
      <c r="I121" s="53">
        <f t="shared" si="4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Châtaignier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Hêtre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234.09142087023463</v>
      </c>
      <c r="T3" s="59">
        <f>IF('Données projet'!E9&gt;30,$R$33-$H$33,LOOKUP('Données projet'!$E$9,$A$3:$A$203,R3:R203)-LOOKUP('Données projet'!$E$9,$A$3:$A$203,$H$3:$H$203))</f>
        <v>278.990685815294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255.5374979188561</v>
      </c>
      <c r="AO3" s="59">
        <f>IF('Données projet'!E10&gt;30,$AM$33-$H$33,LOOKUP('Données projet'!$E$10,$A$3:$A$203,AM3:AM203)-LOOKUP('Données projet'!$E$10,$A$3:$A$203,$H$3:$H$203))</f>
        <v>343.10418468620901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310.4018929413723</v>
      </c>
      <c r="BJ3" s="59">
        <f>IF('Données projet'!E11&gt;30,$BH$33-$H$33,LOOKUP('Données projet'!$E$11,$A$3:$A$203,BH3:BH203)-LOOKUP('Données projet'!$E$11,$A$3:$A$203,$H$3:$H$203))</f>
        <v>127.5231137583819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210.04871822652808</v>
      </c>
      <c r="CE3" s="59">
        <f>IF('Données projet'!E12&gt;30,$CC$33-$H$33,LOOKUP('Données projet'!$E$12,$A$3:$A$203,CC3:CC203)-LOOKUP('Données projet'!$E$12,$A$3:$A$203,$H$3:$H$203))</f>
        <v>250.17540614049324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1.1000000000000001</v>
      </c>
      <c r="N4" s="13">
        <f>IF('Données projet'!$A$36&gt;35,N3+M4-V3,IF(A4&lt;'Données projet'!$A$36,$K$205^A4,IF(A4='Données projet'!$A$36,'Données projet'!$B$36,N3+M4-V3)))</f>
        <v>1.2709816152101407</v>
      </c>
      <c r="O4" s="13">
        <f>N4*VLOOKUP('Données projet'!$B$9,Paramètres!$A$1:$I$89,3,0)*VLOOKUP('Données projet'!$B$9,Paramètres!$A$1:$I$89,5,0)</f>
        <v>0.93188372027207511</v>
      </c>
      <c r="P4" s="13">
        <f>EXP(-1.0587+0.8836*LN(O4)+0.284)</f>
        <v>0.43299221190803017</v>
      </c>
      <c r="Q4" s="20">
        <f t="shared" ref="Q4:Q34" si="2">(O4+P4)*0.475*44/12</f>
        <v>2.3771589152136832</v>
      </c>
      <c r="R4" s="59">
        <f t="shared" si="0"/>
        <v>295.71049224854698</v>
      </c>
      <c r="S4" s="59">
        <f ca="1">AVERAGE(OFFSET($R$3,0,0,'Données projet'!$E$9+1,1))-AVERAGE(OFFSET($H$3,0,0,'Données projet'!$E$9+1,1))</f>
        <v>234.09142087023463</v>
      </c>
      <c r="T4" s="59">
        <f>$T$3</f>
        <v>278.990685815294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9.3968325791855207</v>
      </c>
      <c r="AI4" s="13">
        <f>IF('Données projet'!$A$62&gt;35,AI3+AH4-AQ3,IF(A4&lt;'Données projet'!$A$62,$AF$205^A4,IF(A4='Données projet'!$A$62,'Données projet'!$B$62,AI3+AH4-AQ3)))</f>
        <v>1.3477630745024085</v>
      </c>
      <c r="AJ4" s="13">
        <f>AI4*VLOOKUP('Données projet'!$B$10,Paramètres!$A$1:$I$89,3,0)*VLOOKUP('Données projet'!$B$10,Paramètres!$A$1:$I$89,5,0)</f>
        <v>0.75339955864684627</v>
      </c>
      <c r="AK4" s="13">
        <f>EXP(-1.0587+0.8836*LN(AJ4)+0.284)</f>
        <v>0.3588324201756754</v>
      </c>
      <c r="AL4" s="20">
        <f t="shared" ref="AL4:AL67" si="4">(AJ4+AK4)*0.475*44/12</f>
        <v>1.9371373631158919</v>
      </c>
      <c r="AM4" s="59">
        <f t="shared" ref="AM4:AM67" si="5">AL4+(AD4+AE4)*44/12</f>
        <v>295.27047069644919</v>
      </c>
      <c r="AN4" s="59">
        <f ca="1">AVERAGE(OFFSET($AM$3,0,0,'Données projet'!$E$10+1,1))-AVERAGE(OFFSET($H$3,0,0,'Données projet'!$E$10+1,1))</f>
        <v>255.5374979188561</v>
      </c>
      <c r="AO4" s="59">
        <f>$AO$3</f>
        <v>343.10418468620901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</v>
      </c>
      <c r="BD4" s="12">
        <f>IF('Données projet'!$A$88&gt;35,BD3+BC4-BL3,IF(A4&lt;'Données projet'!$A$88,$BA$205^A4,IF(A4='Données projet'!$A$88,'Données projet'!$B$88,BD3+BC4-BL3)))</f>
        <v>1.2025496037968351</v>
      </c>
      <c r="BE4" s="13">
        <f>BD4*VLOOKUP('Données projet'!$B$11,Paramètres!$A$1:$I$89,3,0)*VLOOKUP('Données projet'!$B$11,Paramètres!$A$1:$I$89,5,0)</f>
        <v>1.0317875600576847</v>
      </c>
      <c r="BF4" s="13">
        <f>EXP(-1.0587+0.8836*LN(BE4)+0.284)</f>
        <v>0.47376223933168582</v>
      </c>
      <c r="BG4" s="20">
        <f t="shared" ref="BG4:BG67" si="7">(BE4+BF4)*0.475*44/12</f>
        <v>2.6221659006031532</v>
      </c>
      <c r="BH4" s="59">
        <f t="shared" ref="BH4:BH67" si="8">BG4+(AY4+AZ4)*44/12</f>
        <v>295.95549923393645</v>
      </c>
      <c r="BI4" s="59">
        <f ca="1">AVERAGE(OFFSET($BH$3,0,0,'Données projet'!$E$11+1,1))-AVERAGE(OFFSET($H$3,0,0,'Données projet'!$E$11+1,1))</f>
        <v>310.4018929413723</v>
      </c>
      <c r="BJ4" s="59">
        <f>$BJ$3</f>
        <v>127.5231137583819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</v>
      </c>
      <c r="BY4" s="12">
        <f>IF('Données projet'!$A$114&gt;35,BY3+BX4-CG3,IF(A4&lt;'Données projet'!$A$114,$BV$205^A4,IF(A4='Données projet'!$A$114,'Données projet'!$B$114,BY3+BX4-CG3)))</f>
        <v>1.4309690811052556</v>
      </c>
      <c r="BZ4" s="13">
        <f>BY4*VLOOKUP('Données projet'!$B$12,Paramètres!$A$1:$I$89,3,0)*VLOOKUP('Données projet'!$B$12,Paramètres!$A$1:$I$89,5,0)</f>
        <v>0.78130911828346949</v>
      </c>
      <c r="CA4" s="13">
        <f>EXP(-1.0587+0.8836*LN(BZ4)+0.284)</f>
        <v>0.37055303350010543</v>
      </c>
      <c r="CB4" s="20">
        <f t="shared" ref="CB4:CB67" si="10">(BZ4+CA4)*0.475*44/12</f>
        <v>2.0061599143563931</v>
      </c>
      <c r="CC4" s="59">
        <f t="shared" ref="CC4:CC67" si="11">CB4+(BT4+BU4)*44/12</f>
        <v>295.33949324768969</v>
      </c>
      <c r="CD4" s="59">
        <f ca="1">AVERAGE(OFFSET($CC$3,0,0,'Données projet'!$E$12+1,1))-AVERAGE(OFFSET($H$3,0,0,'Données projet'!$E$12+1,1))</f>
        <v>210.04871822652808</v>
      </c>
      <c r="CE4" s="59">
        <f>$CE$3</f>
        <v>250.17540614049324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1.1000000000000001</v>
      </c>
      <c r="N5" s="13">
        <f>IF('Données projet'!$A$36&gt;35,N4+M5-V4,IF(A5&lt;'Données projet'!$A$36,$K$205^A5,IF(A5='Données projet'!$A$36,'Données projet'!$B$36,N4+M5-V4)))</f>
        <v>1.6153942662021783</v>
      </c>
      <c r="O5" s="13">
        <f>N5*VLOOKUP('Données projet'!$B$9,Paramètres!$A$1:$I$89,3,0)*VLOOKUP('Données projet'!$B$9,Paramètres!$A$1:$I$89,5,0)</f>
        <v>1.1844070759794372</v>
      </c>
      <c r="P5" s="13">
        <f t="shared" ref="P5:P68" si="33">EXP(-1.0587+0.8836*LN(O5)+0.284)</f>
        <v>0.53517712549257934</v>
      </c>
      <c r="Q5" s="20">
        <f t="shared" si="2"/>
        <v>2.9949424842304286</v>
      </c>
      <c r="R5" s="59">
        <f t="shared" si="0"/>
        <v>296.32827581756374</v>
      </c>
      <c r="S5" s="59">
        <f ca="1">AVERAGE(OFFSET($R$3,0,0,'Données projet'!$E$9+1,1))-AVERAGE(OFFSET($H$3,0,0,'Données projet'!$E$9+1,1))</f>
        <v>234.09142087023463</v>
      </c>
      <c r="T5" s="59">
        <f t="shared" ref="T5:T68" si="34">$T$3</f>
        <v>278.990685815294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9.3968325791855207</v>
      </c>
      <c r="AI5" s="13">
        <f>IF('Données projet'!$A$62&gt;35,AI4+AH5-AQ4,IF(A5&lt;'Données projet'!$A$62,$AF$205^A5,IF(A5='Données projet'!$A$62,'Données projet'!$B$62,AI4+AH5-AQ4)))</f>
        <v>1.8164653049921848</v>
      </c>
      <c r="AJ5" s="13">
        <f>AI5*VLOOKUP('Données projet'!$B$10,Paramètres!$A$1:$I$89,3,0)*VLOOKUP('Données projet'!$B$10,Paramètres!$A$1:$I$89,5,0)</f>
        <v>1.0154041054906313</v>
      </c>
      <c r="AK5" s="13">
        <f t="shared" ref="AK5:AK68" si="35">EXP(-1.0587+0.8836*LN(AJ5)+0.284)</f>
        <v>0.46710897317647637</v>
      </c>
      <c r="AL5" s="20">
        <f t="shared" si="4"/>
        <v>2.582043612011879</v>
      </c>
      <c r="AM5" s="59">
        <f t="shared" si="5"/>
        <v>295.9153769453452</v>
      </c>
      <c r="AN5" s="59">
        <f ca="1">AVERAGE(OFFSET($AM$3,0,0,'Données projet'!$E$10+1,1))-AVERAGE(OFFSET($H$3,0,0,'Données projet'!$E$10+1,1))</f>
        <v>255.5374979188561</v>
      </c>
      <c r="AO5" s="59">
        <f t="shared" ref="AO5:AO68" si="36">$AO$3</f>
        <v>343.10418468620901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</v>
      </c>
      <c r="BD5" s="12">
        <f>IF('Données projet'!$A$88&gt;35,BD4+BC5-BL4,IF(A5&lt;'Données projet'!$A$88,$BA$205^A5,IF(A5='Données projet'!$A$88,'Données projet'!$B$88,BD4+BC5-BL4)))</f>
        <v>1.446125549591925</v>
      </c>
      <c r="BE5" s="13">
        <f>BD5*VLOOKUP('Données projet'!$B$11,Paramètres!$A$1:$I$89,3,0)*VLOOKUP('Données projet'!$B$11,Paramètres!$A$1:$I$89,5,0)</f>
        <v>1.2407757215498718</v>
      </c>
      <c r="BF5" s="13">
        <f t="shared" ref="BF5:BF68" si="37">EXP(-1.0587+0.8836*LN(BE5)+0.284)</f>
        <v>0.55762142669366221</v>
      </c>
      <c r="BG5" s="20">
        <f t="shared" si="7"/>
        <v>3.1322083665241549</v>
      </c>
      <c r="BH5" s="59">
        <f t="shared" si="8"/>
        <v>296.46554169985745</v>
      </c>
      <c r="BI5" s="59">
        <f ca="1">AVERAGE(OFFSET($BH$3,0,0,'Données projet'!$E$11+1,1))-AVERAGE(OFFSET($H$3,0,0,'Données projet'!$E$11+1,1))</f>
        <v>310.4018929413723</v>
      </c>
      <c r="BJ5" s="59">
        <f t="shared" ref="BJ5:BJ68" si="38">$BJ$3</f>
        <v>127.5231137583819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</v>
      </c>
      <c r="BY5" s="12">
        <f>IF('Données projet'!$A$114&gt;35,BY4+BX5-CG4,IF(A5&lt;'Données projet'!$A$114,$BV$205^A5,IF(A5='Données projet'!$A$114,'Données projet'!$B$114,BY4+BX5-CG4)))</f>
        <v>2.0476725110792193</v>
      </c>
      <c r="BZ5" s="13">
        <f>BY5*VLOOKUP('Données projet'!$B$12,Paramètres!$A$1:$I$89,3,0)*VLOOKUP('Données projet'!$B$12,Paramètres!$A$1:$I$89,5,0)</f>
        <v>1.1180291910492537</v>
      </c>
      <c r="CA5" s="13">
        <f t="shared" ref="CA5:CA68" si="39">EXP(-1.0587+0.8836*LN(BZ5)+0.284)</f>
        <v>0.50858700810998547</v>
      </c>
      <c r="CB5" s="20">
        <f t="shared" si="10"/>
        <v>2.8330232135356752</v>
      </c>
      <c r="CC5" s="59">
        <f t="shared" si="11"/>
        <v>296.166356546869</v>
      </c>
      <c r="CD5" s="59">
        <f ca="1">AVERAGE(OFFSET($CC$3,0,0,'Données projet'!$E$12+1,1))-AVERAGE(OFFSET($H$3,0,0,'Données projet'!$E$12+1,1))</f>
        <v>210.04871822652808</v>
      </c>
      <c r="CE5" s="59">
        <f t="shared" ref="CE5:CE68" si="40">$CE$3</f>
        <v>250.17540614049324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1.1000000000000001</v>
      </c>
      <c r="N6" s="13">
        <f>IF('Données projet'!$A$36&gt;35,N5+M6-V5,IF(A6&lt;'Données projet'!$A$36,$K$205^A6,IF(A6='Données projet'!$A$36,'Données projet'!$B$36,N5+M6-V5)))</f>
        <v>2.0531364136588448</v>
      </c>
      <c r="O6" s="13">
        <f>N6*VLOOKUP('Données projet'!$B$9,Paramètres!$A$1:$I$89,3,0)*VLOOKUP('Données projet'!$B$9,Paramètres!$A$1:$I$89,5,0)</f>
        <v>1.5053596184946649</v>
      </c>
      <c r="P6" s="13">
        <f t="shared" si="33"/>
        <v>0.66147738405820555</v>
      </c>
      <c r="Q6" s="20">
        <f t="shared" si="2"/>
        <v>3.7739077794462492</v>
      </c>
      <c r="R6" s="59">
        <f t="shared" si="0"/>
        <v>297.10724111277955</v>
      </c>
      <c r="S6" s="59">
        <f ca="1">AVERAGE(OFFSET($R$3,0,0,'Données projet'!$E$9+1,1))-AVERAGE(OFFSET($H$3,0,0,'Données projet'!$E$9+1,1))</f>
        <v>234.09142087023463</v>
      </c>
      <c r="T6" s="59">
        <f t="shared" si="34"/>
        <v>278.990685815294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9.3968325791855207</v>
      </c>
      <c r="AI6" s="13">
        <f>IF('Données projet'!$A$62&gt;35,AI5+AH6-AQ5,IF(A6&lt;'Données projet'!$A$62,$AF$205^A6,IF(A6='Données projet'!$A$62,'Données projet'!$B$62,AI5+AH6-AQ5)))</f>
        <v>2.4481648641832221</v>
      </c>
      <c r="AJ6" s="13">
        <f>AI6*VLOOKUP('Données projet'!$B$10,Paramètres!$A$1:$I$89,3,0)*VLOOKUP('Données projet'!$B$10,Paramètres!$A$1:$I$89,5,0)</f>
        <v>1.3685241590784212</v>
      </c>
      <c r="AK6" s="13">
        <f t="shared" si="35"/>
        <v>0.60805763513553568</v>
      </c>
      <c r="AL6" s="20">
        <f t="shared" si="4"/>
        <v>3.4425466249226413</v>
      </c>
      <c r="AM6" s="59">
        <f t="shared" si="5"/>
        <v>296.77587995825593</v>
      </c>
      <c r="AN6" s="59">
        <f ca="1">AVERAGE(OFFSET($AM$3,0,0,'Données projet'!$E$10+1,1))-AVERAGE(OFFSET($H$3,0,0,'Données projet'!$E$10+1,1))</f>
        <v>255.5374979188561</v>
      </c>
      <c r="AO6" s="59">
        <f t="shared" si="36"/>
        <v>343.10418468620901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</v>
      </c>
      <c r="BD6" s="12">
        <f>IF('Données projet'!$A$88&gt;35,BD5+BC6-BL5,IF(A6&lt;'Données projet'!$A$88,$BA$205^A6,IF(A6='Données projet'!$A$88,'Données projet'!$B$88,BD5+BC6-BL5)))</f>
        <v>1.7390377067022498</v>
      </c>
      <c r="BE6" s="13">
        <f>BD6*VLOOKUP('Données projet'!$B$11,Paramètres!$A$1:$I$89,3,0)*VLOOKUP('Données projet'!$B$11,Paramètres!$A$1:$I$89,5,0)</f>
        <v>1.4920943523505306</v>
      </c>
      <c r="BF6" s="13">
        <f t="shared" si="37"/>
        <v>0.65632426920833997</v>
      </c>
      <c r="BG6" s="20">
        <f t="shared" si="7"/>
        <v>3.7418290992150331</v>
      </c>
      <c r="BH6" s="59">
        <f t="shared" si="8"/>
        <v>297.07516243254832</v>
      </c>
      <c r="BI6" s="59">
        <f ca="1">AVERAGE(OFFSET($BH$3,0,0,'Données projet'!$E$11+1,1))-AVERAGE(OFFSET($H$3,0,0,'Données projet'!$E$11+1,1))</f>
        <v>310.4018929413723</v>
      </c>
      <c r="BJ6" s="59">
        <f t="shared" si="38"/>
        <v>127.5231137583819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</v>
      </c>
      <c r="BY6" s="12">
        <f>IF('Données projet'!$A$114&gt;35,BY5+BX6-CG5,IF(A6&lt;'Données projet'!$A$114,$BV$205^A6,IF(A6='Données projet'!$A$114,'Données projet'!$B$114,BY5+BX6-CG5)))</f>
        <v>2.9301560515835217</v>
      </c>
      <c r="BZ6" s="13">
        <f>BY6*VLOOKUP('Données projet'!$B$12,Paramètres!$A$1:$I$89,3,0)*VLOOKUP('Données projet'!$B$12,Paramètres!$A$1:$I$89,5,0)</f>
        <v>1.5998652041646029</v>
      </c>
      <c r="CA6" s="13">
        <f t="shared" si="39"/>
        <v>0.6980397444734262</v>
      </c>
      <c r="CB6" s="20">
        <f t="shared" si="10"/>
        <v>4.0021844522112344</v>
      </c>
      <c r="CC6" s="59">
        <f t="shared" si="11"/>
        <v>297.33551778554454</v>
      </c>
      <c r="CD6" s="59">
        <f ca="1">AVERAGE(OFFSET($CC$3,0,0,'Données projet'!$E$12+1,1))-AVERAGE(OFFSET($H$3,0,0,'Données projet'!$E$12+1,1))</f>
        <v>210.04871822652808</v>
      </c>
      <c r="CE6" s="59">
        <f t="shared" si="40"/>
        <v>250.17540614049324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1.1000000000000001</v>
      </c>
      <c r="N7" s="13">
        <f>IF('Données projet'!$A$36&gt;35,N6+M7-V6,IF(A7&lt;'Données projet'!$A$36,$K$205^A7,IF(A7='Données projet'!$A$36,'Données projet'!$B$36,N6+M7-V6)))</f>
        <v>2.6094986352788743</v>
      </c>
      <c r="O7" s="13">
        <f>N7*VLOOKUP('Données projet'!$B$9,Paramètres!$A$1:$I$89,3,0)*VLOOKUP('Données projet'!$B$9,Paramètres!$A$1:$I$89,5,0)</f>
        <v>1.9132843993864705</v>
      </c>
      <c r="P7" s="13">
        <f t="shared" si="33"/>
        <v>0.81758413948982178</v>
      </c>
      <c r="Q7" s="20">
        <f t="shared" si="2"/>
        <v>4.7562627052095419</v>
      </c>
      <c r="R7" s="59">
        <f t="shared" si="0"/>
        <v>298.08959603854288</v>
      </c>
      <c r="S7" s="59">
        <f ca="1">AVERAGE(OFFSET($R$3,0,0,'Données projet'!$E$9+1,1))-AVERAGE(OFFSET($H$3,0,0,'Données projet'!$E$9+1,1))</f>
        <v>234.09142087023463</v>
      </c>
      <c r="T7" s="59">
        <f t="shared" si="34"/>
        <v>278.990685815294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9.3968325791855207</v>
      </c>
      <c r="AI7" s="13">
        <f>IF('Données projet'!$A$62&gt;35,AI6+AH7-AQ6,IF(A7&lt;'Données projet'!$A$62,$AF$205^A7,IF(A7='Données projet'!$A$62,'Données projet'!$B$62,AI6+AH7-AQ6)))</f>
        <v>3.2995462042403512</v>
      </c>
      <c r="AJ7" s="13">
        <f>AI7*VLOOKUP('Données projet'!$B$10,Paramètres!$A$1:$I$89,3,0)*VLOOKUP('Données projet'!$B$10,Paramètres!$A$1:$I$89,5,0)</f>
        <v>1.8444463281703563</v>
      </c>
      <c r="AK7" s="13">
        <f t="shared" si="35"/>
        <v>0.79153711206256949</v>
      </c>
      <c r="AL7" s="20">
        <f t="shared" si="4"/>
        <v>4.591004491739012</v>
      </c>
      <c r="AM7" s="59">
        <f t="shared" si="5"/>
        <v>297.92433782507231</v>
      </c>
      <c r="AN7" s="59">
        <f ca="1">AVERAGE(OFFSET($AM$3,0,0,'Données projet'!$E$10+1,1))-AVERAGE(OFFSET($H$3,0,0,'Données projet'!$E$10+1,1))</f>
        <v>255.5374979188561</v>
      </c>
      <c r="AO7" s="59">
        <f t="shared" si="36"/>
        <v>343.10418468620901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</v>
      </c>
      <c r="BD7" s="12">
        <f>IF('Données projet'!$A$88&gt;35,BD6+BC7-BL6,IF(A7&lt;'Données projet'!$A$88,$BA$205^A7,IF(A7='Données projet'!$A$88,'Données projet'!$B$88,BD6+BC7-BL6)))</f>
        <v>2.0912791051825472</v>
      </c>
      <c r="BE7" s="13">
        <f>BD7*VLOOKUP('Données projet'!$B$11,Paramètres!$A$1:$I$89,3,0)*VLOOKUP('Données projet'!$B$11,Paramètres!$A$1:$I$89,5,0)</f>
        <v>1.794317472246626</v>
      </c>
      <c r="BF7" s="13">
        <f t="shared" si="37"/>
        <v>0.7724981963229095</v>
      </c>
      <c r="BG7" s="20">
        <f t="shared" si="7"/>
        <v>4.4705372894252742</v>
      </c>
      <c r="BH7" s="59">
        <f t="shared" si="8"/>
        <v>297.80387062275861</v>
      </c>
      <c r="BI7" s="59">
        <f ca="1">AVERAGE(OFFSET($BH$3,0,0,'Données projet'!$E$11+1,1))-AVERAGE(OFFSET($H$3,0,0,'Données projet'!$E$11+1,1))</f>
        <v>310.4018929413723</v>
      </c>
      <c r="BJ7" s="59">
        <f t="shared" si="38"/>
        <v>127.5231137583819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</v>
      </c>
      <c r="BY7" s="12">
        <f>IF('Données projet'!$A$114&gt;35,BY6+BX7-CG6,IF(A7&lt;'Données projet'!$A$114,$BV$205^A7,IF(A7='Données projet'!$A$114,'Données projet'!$B$114,BY6+BX7-CG6)))</f>
        <v>4.192962712629476</v>
      </c>
      <c r="BZ7" s="13">
        <f>BY7*VLOOKUP('Données projet'!$B$12,Paramètres!$A$1:$I$89,3,0)*VLOOKUP('Données projet'!$B$12,Paramètres!$A$1:$I$89,5,0)</f>
        <v>2.2893576410956937</v>
      </c>
      <c r="CA7" s="13">
        <f t="shared" si="39"/>
        <v>0.95806514341623272</v>
      </c>
      <c r="CB7" s="20">
        <f t="shared" si="10"/>
        <v>5.6559280163582706</v>
      </c>
      <c r="CC7" s="59">
        <f t="shared" si="11"/>
        <v>298.98926134969156</v>
      </c>
      <c r="CD7" s="59">
        <f ca="1">AVERAGE(OFFSET($CC$3,0,0,'Données projet'!$E$12+1,1))-AVERAGE(OFFSET($H$3,0,0,'Données projet'!$E$12+1,1))</f>
        <v>210.04871822652808</v>
      </c>
      <c r="CE7" s="59">
        <f t="shared" si="40"/>
        <v>250.17540614049324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1.1000000000000001</v>
      </c>
      <c r="N8" s="13">
        <f>IF('Données projet'!$A$36&gt;35,N7+M8-V7,IF(A8&lt;'Données projet'!$A$36,$K$205^A8,IF(A8='Données projet'!$A$36,'Données projet'!$B$36,N7+M8-V7)))</f>
        <v>3.3166247903554016</v>
      </c>
      <c r="O8" s="13">
        <f>N8*VLOOKUP('Données projet'!$B$9,Paramètres!$A$1:$I$89,3,0)*VLOOKUP('Données projet'!$B$9,Paramètres!$A$1:$I$89,5,0)</f>
        <v>2.4317492962885807</v>
      </c>
      <c r="P8" s="13">
        <f t="shared" si="33"/>
        <v>1.010531639108154</v>
      </c>
      <c r="Q8" s="20">
        <f t="shared" si="2"/>
        <v>5.9953059624826457</v>
      </c>
      <c r="R8" s="59">
        <f t="shared" si="0"/>
        <v>299.32863929581595</v>
      </c>
      <c r="S8" s="59">
        <f ca="1">AVERAGE(OFFSET($R$3,0,0,'Données projet'!$E$9+1,1))-AVERAGE(OFFSET($H$3,0,0,'Données projet'!$E$9+1,1))</f>
        <v>234.09142087023463</v>
      </c>
      <c r="T8" s="59">
        <f t="shared" si="34"/>
        <v>278.990685815294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9.3968325791855207</v>
      </c>
      <c r="AI8" s="13">
        <f>IF('Données projet'!$A$62&gt;35,AI7+AH8-AQ7,IF(A8&lt;'Données projet'!$A$62,$AF$205^A8,IF(A8='Données projet'!$A$62,'Données projet'!$B$62,AI7+AH8-AQ7)))</f>
        <v>4.4470065366897273</v>
      </c>
      <c r="AJ8" s="13">
        <f>AI8*VLOOKUP('Données projet'!$B$10,Paramètres!$A$1:$I$89,3,0)*VLOOKUP('Données projet'!$B$10,Paramètres!$A$1:$I$89,5,0)</f>
        <v>2.4858766540095578</v>
      </c>
      <c r="AK8" s="13">
        <f t="shared" si="35"/>
        <v>1.0303809434654976</v>
      </c>
      <c r="AL8" s="20">
        <f t="shared" si="4"/>
        <v>6.124148648935722</v>
      </c>
      <c r="AM8" s="59">
        <f t="shared" si="5"/>
        <v>299.45748198226903</v>
      </c>
      <c r="AN8" s="59">
        <f ca="1">AVERAGE(OFFSET($AM$3,0,0,'Données projet'!$E$10+1,1))-AVERAGE(OFFSET($H$3,0,0,'Données projet'!$E$10+1,1))</f>
        <v>255.5374979188561</v>
      </c>
      <c r="AO8" s="59">
        <f t="shared" si="36"/>
        <v>343.10418468620901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</v>
      </c>
      <c r="BD8" s="12">
        <f>IF('Données projet'!$A$88&gt;35,BD7+BC8-BL7,IF(A8&lt;'Données projet'!$A$88,$BA$205^A8,IF(A8='Données projet'!$A$88,'Données projet'!$B$88,BD7+BC8-BL7)))</f>
        <v>2.5148668593658718</v>
      </c>
      <c r="BE8" s="13">
        <f>BD8*VLOOKUP('Données projet'!$B$11,Paramètres!$A$1:$I$89,3,0)*VLOOKUP('Données projet'!$B$11,Paramètres!$A$1:$I$89,5,0)</f>
        <v>2.1577557653359185</v>
      </c>
      <c r="BF8" s="13">
        <f t="shared" si="37"/>
        <v>0.90923571063729491</v>
      </c>
      <c r="BG8" s="20">
        <f t="shared" si="7"/>
        <v>5.3416768206533467</v>
      </c>
      <c r="BH8" s="59">
        <f t="shared" si="8"/>
        <v>298.67501015398665</v>
      </c>
      <c r="BI8" s="59">
        <f ca="1">AVERAGE(OFFSET($BH$3,0,0,'Données projet'!$E$11+1,1))-AVERAGE(OFFSET($H$3,0,0,'Données projet'!$E$11+1,1))</f>
        <v>310.4018929413723</v>
      </c>
      <c r="BJ8" s="59">
        <f t="shared" si="38"/>
        <v>127.5231137583819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</v>
      </c>
      <c r="BY8" s="12">
        <f>IF('Données projet'!$A$114&gt;35,BY7+BX8-CG7,IF(A8&lt;'Données projet'!$A$114,$BV$205^A8,IF(A8='Données projet'!$A$114,'Données projet'!$B$114,BY7+BX8-CG7)))</f>
        <v>6.0000000000000009</v>
      </c>
      <c r="BZ8" s="13">
        <f>BY8*VLOOKUP('Données projet'!$B$12,Paramètres!$A$1:$I$89,3,0)*VLOOKUP('Données projet'!$B$12,Paramètres!$A$1:$I$89,5,0)</f>
        <v>3.2760000000000007</v>
      </c>
      <c r="CA8" s="13">
        <f t="shared" si="39"/>
        <v>1.3149520873221716</v>
      </c>
      <c r="CB8" s="20">
        <f t="shared" si="10"/>
        <v>7.9959082187527839</v>
      </c>
      <c r="CC8" s="59">
        <f t="shared" si="11"/>
        <v>301.3292415520861</v>
      </c>
      <c r="CD8" s="59">
        <f ca="1">AVERAGE(OFFSET($CC$3,0,0,'Données projet'!$E$12+1,1))-AVERAGE(OFFSET($H$3,0,0,'Données projet'!$E$12+1,1))</f>
        <v>210.04871822652808</v>
      </c>
      <c r="CE8" s="59">
        <f t="shared" si="40"/>
        <v>250.17540614049324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1.1000000000000001</v>
      </c>
      <c r="N9" s="13">
        <f>IF('Données projet'!$A$36&gt;35,N8+M9-V8,IF(A9&lt;'Données projet'!$A$36,$K$205^A9,IF(A9='Données projet'!$A$36,'Données projet'!$B$36,N8+M9-V8)))</f>
        <v>4.2153691330919028</v>
      </c>
      <c r="O9" s="13">
        <f>N9*VLOOKUP('Données projet'!$B$9,Paramètres!$A$1:$I$89,3,0)*VLOOKUP('Données projet'!$B$9,Paramètres!$A$1:$I$89,5,0)</f>
        <v>3.0907086483829831</v>
      </c>
      <c r="P9" s="13">
        <f t="shared" si="33"/>
        <v>1.2490141923201104</v>
      </c>
      <c r="Q9" s="20">
        <f t="shared" si="2"/>
        <v>7.5583506142245538</v>
      </c>
      <c r="R9" s="59">
        <f t="shared" si="0"/>
        <v>300.89168394755785</v>
      </c>
      <c r="S9" s="59">
        <f ca="1">AVERAGE(OFFSET($R$3,0,0,'Données projet'!$E$9+1,1))-AVERAGE(OFFSET($H$3,0,0,'Données projet'!$E$9+1,1))</f>
        <v>234.09142087023463</v>
      </c>
      <c r="T9" s="59">
        <f t="shared" si="34"/>
        <v>278.990685815294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9.3968325791855207</v>
      </c>
      <c r="AI9" s="13">
        <f>IF('Données projet'!$A$62&gt;35,AI8+AH9-AQ8,IF(A9&lt;'Données projet'!$A$62,$AF$205^A9,IF(A9='Données projet'!$A$62,'Données projet'!$B$62,AI8+AH9-AQ8)))</f>
        <v>5.9935112022212556</v>
      </c>
      <c r="AJ9" s="13">
        <f>AI9*VLOOKUP('Données projet'!$B$10,Paramètres!$A$1:$I$89,3,0)*VLOOKUP('Données projet'!$B$10,Paramètres!$A$1:$I$89,5,0)</f>
        <v>3.3503727620416819</v>
      </c>
      <c r="AK9" s="13">
        <f t="shared" si="35"/>
        <v>1.3412951489922369</v>
      </c>
      <c r="AL9" s="20">
        <f t="shared" si="4"/>
        <v>8.1713216117174081</v>
      </c>
      <c r="AM9" s="59">
        <f t="shared" si="5"/>
        <v>301.50465494505073</v>
      </c>
      <c r="AN9" s="59">
        <f ca="1">AVERAGE(OFFSET($AM$3,0,0,'Données projet'!$E$10+1,1))-AVERAGE(OFFSET($H$3,0,0,'Données projet'!$E$10+1,1))</f>
        <v>255.5374979188561</v>
      </c>
      <c r="AO9" s="59">
        <f t="shared" si="36"/>
        <v>343.10418468620901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</v>
      </c>
      <c r="BD9" s="12">
        <f>IF('Données projet'!$A$88&gt;35,BD8+BC9-BL8,IF(A9&lt;'Données projet'!$A$88,$BA$205^A9,IF(A9='Données projet'!$A$88,'Données projet'!$B$88,BD8+BC9-BL8)))</f>
        <v>3.0242521453322202</v>
      </c>
      <c r="BE9" s="13">
        <f>BD9*VLOOKUP('Données projet'!$B$11,Paramètres!$A$1:$I$89,3,0)*VLOOKUP('Données projet'!$B$11,Paramètres!$A$1:$I$89,5,0)</f>
        <v>2.5948083406950451</v>
      </c>
      <c r="BF9" s="13">
        <f t="shared" si="37"/>
        <v>1.0701767090631968</v>
      </c>
      <c r="BG9" s="20">
        <f t="shared" si="7"/>
        <v>6.3831822949956036</v>
      </c>
      <c r="BH9" s="59">
        <f t="shared" si="8"/>
        <v>299.71651562832892</v>
      </c>
      <c r="BI9" s="59">
        <f ca="1">AVERAGE(OFFSET($BH$3,0,0,'Données projet'!$E$11+1,1))-AVERAGE(OFFSET($H$3,0,0,'Données projet'!$E$11+1,1))</f>
        <v>310.4018929413723</v>
      </c>
      <c r="BJ9" s="59">
        <f t="shared" si="38"/>
        <v>127.5231137583819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</v>
      </c>
      <c r="BY9" s="12">
        <f>IF('Données projet'!$A$114&gt;35,BY8+BX9-CG8,IF(A9&lt;'Données projet'!$A$114,$BV$205^A9,IF(A9='Données projet'!$A$114,'Données projet'!$B$114,BY8+BX9-CG8)))</f>
        <v>8.5858144866315342</v>
      </c>
      <c r="BZ9" s="13">
        <f>BY9*VLOOKUP('Données projet'!$B$12,Paramètres!$A$1:$I$89,3,0)*VLOOKUP('Données projet'!$B$12,Paramètres!$A$1:$I$89,5,0)</f>
        <v>4.6878547097008179</v>
      </c>
      <c r="CA9" s="13">
        <f t="shared" si="39"/>
        <v>1.8047822779434171</v>
      </c>
      <c r="CB9" s="20">
        <f t="shared" si="10"/>
        <v>11.308009420147043</v>
      </c>
      <c r="CC9" s="59">
        <f t="shared" si="11"/>
        <v>304.64134275348033</v>
      </c>
      <c r="CD9" s="59">
        <f ca="1">AVERAGE(OFFSET($CC$3,0,0,'Données projet'!$E$12+1,1))-AVERAGE(OFFSET($H$3,0,0,'Données projet'!$E$12+1,1))</f>
        <v>210.04871822652808</v>
      </c>
      <c r="CE9" s="59">
        <f t="shared" si="40"/>
        <v>250.17540614049324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1.1000000000000001</v>
      </c>
      <c r="N10" s="13">
        <f>IF('Données projet'!$A$36&gt;35,N9+M10-V9,IF(A10&lt;'Données projet'!$A$36,$K$205^A10,IF(A10='Données projet'!$A$36,'Données projet'!$B$36,N9+M10-V9)))</f>
        <v>5.3576566694841175</v>
      </c>
      <c r="O10" s="13">
        <f>N10*VLOOKUP('Données projet'!$B$9,Paramètres!$A$1:$I$89,3,0)*VLOOKUP('Données projet'!$B$9,Paramètres!$A$1:$I$89,5,0)</f>
        <v>3.9282338700657551</v>
      </c>
      <c r="P10" s="13">
        <f t="shared" si="33"/>
        <v>1.5437779404847436</v>
      </c>
      <c r="Q10" s="20">
        <f t="shared" si="2"/>
        <v>9.5304205700421178</v>
      </c>
      <c r="R10" s="59">
        <f t="shared" si="0"/>
        <v>302.86375390337543</v>
      </c>
      <c r="S10" s="59">
        <f ca="1">AVERAGE(OFFSET($R$3,0,0,'Données projet'!$E$9+1,1))-AVERAGE(OFFSET($H$3,0,0,'Données projet'!$E$9+1,1))</f>
        <v>234.09142087023463</v>
      </c>
      <c r="T10" s="59">
        <f t="shared" si="34"/>
        <v>278.990685815294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9.3968325791855207</v>
      </c>
      <c r="AI10" s="13">
        <f>IF('Données projet'!$A$62&gt;35,AI9+AH10-AQ9,IF(A10&lt;'Données projet'!$A$62,$AF$205^A10,IF(A10='Données projet'!$A$62,'Données projet'!$B$62,AI9+AH10-AQ9)))</f>
        <v>8.0778330849703455</v>
      </c>
      <c r="AJ10" s="13">
        <f>AI10*VLOOKUP('Données projet'!$B$10,Paramètres!$A$1:$I$89,3,0)*VLOOKUP('Données projet'!$B$10,Paramètres!$A$1:$I$89,5,0)</f>
        <v>4.5155086944984228</v>
      </c>
      <c r="AK10" s="13">
        <f t="shared" si="35"/>
        <v>1.7460267371204046</v>
      </c>
      <c r="AL10" s="20">
        <f t="shared" si="4"/>
        <v>10.905507543402789</v>
      </c>
      <c r="AM10" s="59">
        <f t="shared" si="5"/>
        <v>304.23884087673611</v>
      </c>
      <c r="AN10" s="59">
        <f ca="1">AVERAGE(OFFSET($AM$3,0,0,'Données projet'!$E$10+1,1))-AVERAGE(OFFSET($H$3,0,0,'Données projet'!$E$10+1,1))</f>
        <v>255.5374979188561</v>
      </c>
      <c r="AO10" s="59">
        <f t="shared" si="36"/>
        <v>343.10418468620901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</v>
      </c>
      <c r="BD10" s="12">
        <f>IF('Données projet'!$A$88&gt;35,BD9+BC10-BL9,IF(A10&lt;'Données projet'!$A$88,$BA$205^A10,IF(A10='Données projet'!$A$88,'Données projet'!$B$88,BD9+BC10-BL9)))</f>
        <v>3.6368132191509899</v>
      </c>
      <c r="BE10" s="13">
        <f>BD10*VLOOKUP('Données projet'!$B$11,Paramètres!$A$1:$I$89,3,0)*VLOOKUP('Données projet'!$B$11,Paramètres!$A$1:$I$89,5,0)</f>
        <v>3.1203857420315497</v>
      </c>
      <c r="BF10" s="13">
        <f t="shared" si="37"/>
        <v>1.2596053753966556</v>
      </c>
      <c r="BG10" s="20">
        <f t="shared" si="7"/>
        <v>7.6284845295207901</v>
      </c>
      <c r="BH10" s="59">
        <f t="shared" si="8"/>
        <v>300.9618178628541</v>
      </c>
      <c r="BI10" s="59">
        <f ca="1">AVERAGE(OFFSET($BH$3,0,0,'Données projet'!$E$11+1,1))-AVERAGE(OFFSET($H$3,0,0,'Données projet'!$E$11+1,1))</f>
        <v>310.4018929413723</v>
      </c>
      <c r="BJ10" s="59">
        <f t="shared" si="38"/>
        <v>127.5231137583819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</v>
      </c>
      <c r="BY10" s="12">
        <f>IF('Données projet'!$A$114&gt;35,BY9+BX10-CG9,IF(A10&lt;'Données projet'!$A$114,$BV$205^A10,IF(A10='Données projet'!$A$114,'Données projet'!$B$114,BY9+BX10-CG9)))</f>
        <v>12.286035066475318</v>
      </c>
      <c r="BZ10" s="13">
        <f>BY10*VLOOKUP('Données projet'!$B$12,Paramètres!$A$1:$I$89,3,0)*VLOOKUP('Données projet'!$B$12,Paramètres!$A$1:$I$89,5,0)</f>
        <v>6.708175146295523</v>
      </c>
      <c r="CA10" s="13">
        <f t="shared" si="39"/>
        <v>2.4770781400954469</v>
      </c>
      <c r="CB10" s="20">
        <f t="shared" si="10"/>
        <v>15.997649473797606</v>
      </c>
      <c r="CC10" s="59">
        <f t="shared" si="11"/>
        <v>309.33098280713091</v>
      </c>
      <c r="CD10" s="59">
        <f ca="1">AVERAGE(OFFSET($CC$3,0,0,'Données projet'!$E$12+1,1))-AVERAGE(OFFSET($H$3,0,0,'Données projet'!$E$12+1,1))</f>
        <v>210.04871822652808</v>
      </c>
      <c r="CE10" s="59">
        <f t="shared" si="40"/>
        <v>250.17540614049324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1.1000000000000001</v>
      </c>
      <c r="N11" s="13">
        <f>IF('Données projet'!$A$36&gt;35,N10+M11-V10,IF(A11&lt;'Données projet'!$A$36,$K$205^A11,IF(A11='Données projet'!$A$36,'Données projet'!$B$36,N10+M11-V10)))</f>
        <v>6.8094831275223076</v>
      </c>
      <c r="O11" s="13">
        <f>N11*VLOOKUP('Données projet'!$B$9,Paramètres!$A$1:$I$89,3,0)*VLOOKUP('Données projet'!$B$9,Paramètres!$A$1:$I$89,5,0)</f>
        <v>4.9927130290993551</v>
      </c>
      <c r="P11" s="13">
        <f t="shared" si="33"/>
        <v>1.9081050833380053</v>
      </c>
      <c r="Q11" s="20">
        <f t="shared" si="2"/>
        <v>12.018924879161736</v>
      </c>
      <c r="R11" s="59">
        <f t="shared" si="0"/>
        <v>305.35225821249503</v>
      </c>
      <c r="S11" s="59">
        <f ca="1">AVERAGE(OFFSET($R$3,0,0,'Données projet'!$E$9+1,1))-AVERAGE(OFFSET($H$3,0,0,'Données projet'!$E$9+1,1))</f>
        <v>234.09142087023463</v>
      </c>
      <c r="T11" s="59">
        <f t="shared" si="34"/>
        <v>278.990685815294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9.3968325791855207</v>
      </c>
      <c r="AI11" s="13">
        <f>IF('Données projet'!$A$62&gt;35,AI10+AH11-AQ10,IF(A11&lt;'Données projet'!$A$62,$AF$205^A11,IF(A11='Données projet'!$A$62,'Données projet'!$B$62,AI10+AH11-AQ10)))</f>
        <v>10.88700515391691</v>
      </c>
      <c r="AJ11" s="13">
        <f>AI11*VLOOKUP('Données projet'!$B$10,Paramètres!$A$1:$I$89,3,0)*VLOOKUP('Données projet'!$B$10,Paramètres!$A$1:$I$89,5,0)</f>
        <v>6.0858358810395528</v>
      </c>
      <c r="AK11" s="13">
        <f t="shared" si="35"/>
        <v>2.2728848076650809</v>
      </c>
      <c r="AL11" s="20">
        <f t="shared" si="4"/>
        <v>14.558105199493902</v>
      </c>
      <c r="AM11" s="59">
        <f t="shared" si="5"/>
        <v>307.89143853282724</v>
      </c>
      <c r="AN11" s="59">
        <f ca="1">AVERAGE(OFFSET($AM$3,0,0,'Données projet'!$E$10+1,1))-AVERAGE(OFFSET($H$3,0,0,'Données projet'!$E$10+1,1))</f>
        <v>255.5374979188561</v>
      </c>
      <c r="AO11" s="59">
        <f t="shared" si="36"/>
        <v>343.10418468620901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</v>
      </c>
      <c r="BD11" s="12">
        <f>IF('Données projet'!$A$88&gt;35,BD10+BC11-BL10,IF(A11&lt;'Données projet'!$A$88,$BA$205^A11,IF(A11='Données projet'!$A$88,'Données projet'!$B$88,BD10+BC11-BL10)))</f>
        <v>4.3734482957731151</v>
      </c>
      <c r="BE11" s="13">
        <f>BD11*VLOOKUP('Données projet'!$B$11,Paramètres!$A$1:$I$89,3,0)*VLOOKUP('Données projet'!$B$11,Paramètres!$A$1:$I$89,5,0)</f>
        <v>3.7524186377733333</v>
      </c>
      <c r="BF11" s="13">
        <f t="shared" si="37"/>
        <v>1.4825642235449319</v>
      </c>
      <c r="BG11" s="20">
        <f t="shared" si="7"/>
        <v>9.1175951501293113</v>
      </c>
      <c r="BH11" s="59">
        <f t="shared" si="8"/>
        <v>302.45092848346263</v>
      </c>
      <c r="BI11" s="59">
        <f ca="1">AVERAGE(OFFSET($BH$3,0,0,'Données projet'!$E$11+1,1))-AVERAGE(OFFSET($H$3,0,0,'Données projet'!$E$11+1,1))</f>
        <v>310.4018929413723</v>
      </c>
      <c r="BJ11" s="59">
        <f t="shared" si="38"/>
        <v>127.5231137583819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</v>
      </c>
      <c r="BY11" s="12">
        <f>IF('Données projet'!$A$114&gt;35,BY10+BX11-CG10,IF(A11&lt;'Données projet'!$A$114,$BV$205^A11,IF(A11='Données projet'!$A$114,'Données projet'!$B$114,BY10+BX11-CG10)))</f>
        <v>17.580936309501134</v>
      </c>
      <c r="BZ11" s="13">
        <f>BY11*VLOOKUP('Données projet'!$B$12,Paramètres!$A$1:$I$89,3,0)*VLOOKUP('Données projet'!$B$12,Paramètres!$A$1:$I$89,5,0)</f>
        <v>9.599191224987619</v>
      </c>
      <c r="CA11" s="13">
        <f t="shared" si="39"/>
        <v>3.3998095987127641</v>
      </c>
      <c r="CB11" s="20">
        <f t="shared" si="10"/>
        <v>22.6399264346115</v>
      </c>
      <c r="CC11" s="59">
        <f t="shared" si="11"/>
        <v>315.9732597679448</v>
      </c>
      <c r="CD11" s="59">
        <f ca="1">AVERAGE(OFFSET($CC$3,0,0,'Données projet'!$E$12+1,1))-AVERAGE(OFFSET($H$3,0,0,'Données projet'!$E$12+1,1))</f>
        <v>210.04871822652808</v>
      </c>
      <c r="CE11" s="59">
        <f t="shared" si="40"/>
        <v>250.17540614049324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1.1000000000000001</v>
      </c>
      <c r="N12" s="13">
        <f>IF('Données projet'!$A$36&gt;35,N11+M12-V11,IF(A12&lt;'Données projet'!$A$36,$K$205^A12,IF(A12='Données projet'!$A$36,'Données projet'!$B$36,N11+M12-V11)))</f>
        <v>8.6547278641645029</v>
      </c>
      <c r="O12" s="13">
        <f>N12*VLOOKUP('Données projet'!$B$9,Paramètres!$A$1:$I$89,3,0)*VLOOKUP('Données projet'!$B$9,Paramètres!$A$1:$I$89,5,0)</f>
        <v>6.3456464700054127</v>
      </c>
      <c r="P12" s="13">
        <f t="shared" si="33"/>
        <v>2.3584123814576028</v>
      </c>
      <c r="Q12" s="20">
        <f t="shared" si="2"/>
        <v>15.159569166298086</v>
      </c>
      <c r="R12" s="59">
        <f t="shared" si="0"/>
        <v>308.49290249963138</v>
      </c>
      <c r="S12" s="59">
        <f ca="1">AVERAGE(OFFSET($R$3,0,0,'Données projet'!$E$9+1,1))-AVERAGE(OFFSET($H$3,0,0,'Données projet'!$E$9+1,1))</f>
        <v>234.09142087023463</v>
      </c>
      <c r="T12" s="59">
        <f t="shared" si="34"/>
        <v>278.990685815294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9.3968325791855207</v>
      </c>
      <c r="AI12" s="13">
        <f>IF('Données projet'!$A$62&gt;35,AI11+AH12-AQ11,IF(A12&lt;'Données projet'!$A$62,$AF$205^A12,IF(A12='Données projet'!$A$62,'Données projet'!$B$62,AI11+AH12-AQ11)))</f>
        <v>14.673103538366622</v>
      </c>
      <c r="AJ12" s="13">
        <f>AI12*VLOOKUP('Données projet'!$B$10,Paramètres!$A$1:$I$89,3,0)*VLOOKUP('Données projet'!$B$10,Paramètres!$A$1:$I$89,5,0)</f>
        <v>8.2022648779469414</v>
      </c>
      <c r="AK12" s="13">
        <f t="shared" si="35"/>
        <v>2.9587206421790828</v>
      </c>
      <c r="AL12" s="20">
        <f t="shared" si="4"/>
        <v>19.438716447552824</v>
      </c>
      <c r="AM12" s="59">
        <f t="shared" si="5"/>
        <v>312.77204978088616</v>
      </c>
      <c r="AN12" s="59">
        <f ca="1">AVERAGE(OFFSET($AM$3,0,0,'Données projet'!$E$10+1,1))-AVERAGE(OFFSET($H$3,0,0,'Données projet'!$E$10+1,1))</f>
        <v>255.5374979188561</v>
      </c>
      <c r="AO12" s="59">
        <f t="shared" si="36"/>
        <v>343.10418468620901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</v>
      </c>
      <c r="BD12" s="12">
        <f>IF('Données projet'!$A$88&gt;35,BD11+BC12-BL11,IF(A12&lt;'Données projet'!$A$88,$BA$205^A12,IF(A12='Données projet'!$A$88,'Données projet'!$B$88,BD11+BC12-BL11)))</f>
        <v>5.2592885153079028</v>
      </c>
      <c r="BE12" s="13">
        <f>BD12*VLOOKUP('Données projet'!$B$11,Paramètres!$A$1:$I$89,3,0)*VLOOKUP('Données projet'!$B$11,Paramètres!$A$1:$I$89,5,0)</f>
        <v>4.5124695461341817</v>
      </c>
      <c r="BF12" s="13">
        <f t="shared" si="37"/>
        <v>1.7449883271919417</v>
      </c>
      <c r="BG12" s="20">
        <f t="shared" si="7"/>
        <v>10.898405796042995</v>
      </c>
      <c r="BH12" s="59">
        <f t="shared" si="8"/>
        <v>304.23173912937631</v>
      </c>
      <c r="BI12" s="59">
        <f ca="1">AVERAGE(OFFSET($BH$3,0,0,'Données projet'!$E$11+1,1))-AVERAGE(OFFSET($H$3,0,0,'Données projet'!$E$11+1,1))</f>
        <v>310.4018929413723</v>
      </c>
      <c r="BJ12" s="59">
        <f t="shared" si="38"/>
        <v>127.5231137583819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</v>
      </c>
      <c r="BY12" s="12">
        <f>IF('Données projet'!$A$114&gt;35,BY11+BX12-CG11,IF(A12&lt;'Données projet'!$A$114,$BV$205^A12,IF(A12='Données projet'!$A$114,'Données projet'!$B$114,BY11+BX12-CG11)))</f>
        <v>25.157776275776861</v>
      </c>
      <c r="BZ12" s="13">
        <f>BY12*VLOOKUP('Données projet'!$B$12,Paramètres!$A$1:$I$89,3,0)*VLOOKUP('Données projet'!$B$12,Paramètres!$A$1:$I$89,5,0)</f>
        <v>13.736145846574166</v>
      </c>
      <c r="CA12" s="13">
        <f t="shared" si="39"/>
        <v>4.6662659204824557</v>
      </c>
      <c r="CB12" s="20">
        <f t="shared" si="10"/>
        <v>32.050867160956948</v>
      </c>
      <c r="CC12" s="59">
        <f t="shared" si="11"/>
        <v>325.38420049429027</v>
      </c>
      <c r="CD12" s="59">
        <f ca="1">AVERAGE(OFFSET($CC$3,0,0,'Données projet'!$E$12+1,1))-AVERAGE(OFFSET($H$3,0,0,'Données projet'!$E$12+1,1))</f>
        <v>210.04871822652808</v>
      </c>
      <c r="CE12" s="59">
        <f t="shared" si="40"/>
        <v>250.17540614049324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11</v>
      </c>
      <c r="L13" s="12">
        <f>VLOOKUP(A13,'Données projet'!$A$35:$I$55,9,0)</f>
        <v>1.1000000000000001</v>
      </c>
      <c r="M13" s="12">
        <f t="array" ref="M13">INDEX(L:L,MIN(IF(ISNUMBER(L13:L209),ROW(L13:L209),"")))</f>
        <v>1.1000000000000001</v>
      </c>
      <c r="N13" s="13">
        <f>IF('Données projet'!$A$36&gt;35,N12+M13-V12,IF(A13&lt;'Données projet'!$A$36,$K$205^A13,IF(A13='Données projet'!$A$36,'Données projet'!$B$36,N12+M13-V12)))</f>
        <v>11</v>
      </c>
      <c r="O13" s="13">
        <f>N13*VLOOKUP('Données projet'!$B$9,Paramètres!$A$1:$I$89,3,0)*VLOOKUP('Données projet'!$B$9,Paramètres!$A$1:$I$89,5,0)</f>
        <v>8.0652000000000008</v>
      </c>
      <c r="P13" s="13">
        <f t="shared" si="33"/>
        <v>2.9149909035839161</v>
      </c>
      <c r="Q13" s="20">
        <f t="shared" si="2"/>
        <v>19.123832490408656</v>
      </c>
      <c r="R13" s="59">
        <f t="shared" si="0"/>
        <v>312.45716582374195</v>
      </c>
      <c r="S13" s="59">
        <f ca="1">AVERAGE(OFFSET($R$3,0,0,'Données projet'!$E$9+1,1))-AVERAGE(OFFSET($H$3,0,0,'Données projet'!$E$9+1,1))</f>
        <v>234.09142087023463</v>
      </c>
      <c r="T13" s="59">
        <f t="shared" si="34"/>
        <v>278.990685815294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0.1075</v>
      </c>
      <c r="Y13" s="16">
        <f>IF(ISNA(VLOOKUP(A13,'Données projet'!$A$35:$I$55,7,0)),0%,VLOOKUP(A13,'Données projet'!$A$35:$I$55,7,0))</f>
        <v>0.25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9.3968325791855207</v>
      </c>
      <c r="AI13" s="13">
        <f>IF('Données projet'!$A$62&gt;35,AI12+AH13-AQ12,IF(A13&lt;'Données projet'!$A$62,$AF$205^A13,IF(A13='Données projet'!$A$62,'Données projet'!$B$62,AI12+AH13-AQ12)))</f>
        <v>19.775867137361168</v>
      </c>
      <c r="AJ13" s="13">
        <f>AI13*VLOOKUP('Données projet'!$B$10,Paramètres!$A$1:$I$89,3,0)*VLOOKUP('Données projet'!$B$10,Paramètres!$A$1:$I$89,5,0)</f>
        <v>11.054709729784893</v>
      </c>
      <c r="AK13" s="13">
        <f t="shared" si="35"/>
        <v>3.851505280397189</v>
      </c>
      <c r="AL13" s="20">
        <f t="shared" si="4"/>
        <v>25.96165780940046</v>
      </c>
      <c r="AM13" s="59">
        <f t="shared" si="5"/>
        <v>319.29499114273375</v>
      </c>
      <c r="AN13" s="59">
        <f ca="1">AVERAGE(OFFSET($AM$3,0,0,'Données projet'!$E$10+1,1))-AVERAGE(OFFSET($H$3,0,0,'Données projet'!$E$10+1,1))</f>
        <v>255.5374979188561</v>
      </c>
      <c r="AO13" s="59">
        <f t="shared" si="36"/>
        <v>343.10418468620901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</v>
      </c>
      <c r="BD13" s="12">
        <f>IF('Données projet'!$A$88&gt;35,BD12+BC13-BL12,IF(A13&lt;'Données projet'!$A$88,$BA$205^A13,IF(A13='Données projet'!$A$88,'Données projet'!$B$88,BD12+BC13-BL12)))</f>
        <v>6.3245553203367635</v>
      </c>
      <c r="BE13" s="13">
        <f>BD13*VLOOKUP('Données projet'!$B$11,Paramètres!$A$1:$I$89,3,0)*VLOOKUP('Données projet'!$B$11,Paramètres!$A$1:$I$89,5,0)</f>
        <v>5.4264684648489441</v>
      </c>
      <c r="BF13" s="13">
        <f t="shared" si="37"/>
        <v>2.0538633090412262</v>
      </c>
      <c r="BG13" s="20">
        <f t="shared" si="7"/>
        <v>13.028244506192046</v>
      </c>
      <c r="BH13" s="59">
        <f t="shared" si="8"/>
        <v>306.36157783952535</v>
      </c>
      <c r="BI13" s="59">
        <f ca="1">AVERAGE(OFFSET($BH$3,0,0,'Données projet'!$E$11+1,1))-AVERAGE(OFFSET($H$3,0,0,'Données projet'!$E$11+1,1))</f>
        <v>310.4018929413723</v>
      </c>
      <c r="BJ13" s="59">
        <f t="shared" si="38"/>
        <v>127.5231137583819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36</v>
      </c>
      <c r="BW13" s="12">
        <f>VLOOKUP(A13,'Données projet'!$A$113:$I$133,9,0)</f>
        <v>3.6</v>
      </c>
      <c r="BX13" s="12">
        <f t="array" ref="BX13">INDEX(BW:BW,MIN(IF(ISNUMBER(BW13:BW209),ROW(BW13:BW209),"")))</f>
        <v>3.6</v>
      </c>
      <c r="BY13" s="12">
        <f>IF('Données projet'!$A$114&gt;35,BY12+BX13-CG12,IF(A13&lt;'Données projet'!$A$114,$BV$205^A13,IF(A13='Données projet'!$A$114,'Données projet'!$B$114,BY12+BX13-CG12)))</f>
        <v>36</v>
      </c>
      <c r="BZ13" s="13">
        <f>BY13*VLOOKUP('Données projet'!$B$12,Paramètres!$A$1:$I$89,3,0)*VLOOKUP('Données projet'!$B$12,Paramètres!$A$1:$I$89,5,0)</f>
        <v>19.655999999999999</v>
      </c>
      <c r="CA13" s="13">
        <f t="shared" si="39"/>
        <v>6.4044873715575275</v>
      </c>
      <c r="CB13" s="20">
        <f t="shared" si="10"/>
        <v>45.388682172129364</v>
      </c>
      <c r="CC13" s="59">
        <f t="shared" si="11"/>
        <v>338.72201550546265</v>
      </c>
      <c r="CD13" s="59">
        <f ca="1">AVERAGE(OFFSET($CC$3,0,0,'Données projet'!$E$12+1,1))-AVERAGE(OFFSET($H$3,0,0,'Données projet'!$E$12+1,1))</f>
        <v>210.04871822652808</v>
      </c>
      <c r="CE13" s="59">
        <f t="shared" si="40"/>
        <v>250.17540614049324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12.3</v>
      </c>
      <c r="N14" s="13">
        <f>IF('Données projet'!$A$36&gt;35,N13+M14-V13,IF(A14&lt;'Données projet'!$A$36,$K$205^A14,IF(A14='Données projet'!$A$36,'Données projet'!$B$36,N13+M14-V13)))</f>
        <v>23.3</v>
      </c>
      <c r="O14" s="13">
        <f>N14*VLOOKUP('Données projet'!$B$9,Paramètres!$A$1:$I$89,3,0)*VLOOKUP('Données projet'!$B$9,Paramètres!$A$1:$I$89,5,0)</f>
        <v>17.083560000000002</v>
      </c>
      <c r="P14" s="13">
        <f t="shared" si="33"/>
        <v>5.6579397580120663</v>
      </c>
      <c r="Q14" s="20">
        <f t="shared" si="2"/>
        <v>39.608112078537687</v>
      </c>
      <c r="R14" s="59">
        <f t="shared" si="0"/>
        <v>332.94144541187097</v>
      </c>
      <c r="S14" s="59">
        <f ca="1">AVERAGE(OFFSET($R$3,0,0,'Données projet'!$E$9+1,1))-AVERAGE(OFFSET($H$3,0,0,'Données projet'!$E$9+1,1))</f>
        <v>234.09142087023463</v>
      </c>
      <c r="T14" s="59">
        <f t="shared" si="34"/>
        <v>278.990685815294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9.3968325791855207</v>
      </c>
      <c r="AI14" s="13">
        <f>IF('Données projet'!$A$62&gt;35,AI13+AH14-AQ13,IF(A14&lt;'Données projet'!$A$62,$AF$205^A14,IF(A14='Données projet'!$A$62,'Données projet'!$B$62,AI13+AH14-AQ13)))</f>
        <v>26.653183494001031</v>
      </c>
      <c r="AJ14" s="13">
        <f>AI14*VLOOKUP('Données projet'!$B$10,Paramètres!$A$1:$I$89,3,0)*VLOOKUP('Données projet'!$B$10,Paramètres!$A$1:$I$89,5,0)</f>
        <v>14.899129573146578</v>
      </c>
      <c r="AK14" s="13">
        <f t="shared" si="35"/>
        <v>5.013684872256877</v>
      </c>
      <c r="AL14" s="20">
        <f t="shared" si="4"/>
        <v>34.681485159077681</v>
      </c>
      <c r="AM14" s="59">
        <f t="shared" si="5"/>
        <v>328.014818492411</v>
      </c>
      <c r="AN14" s="59">
        <f ca="1">AVERAGE(OFFSET($AM$3,0,0,'Données projet'!$E$10+1,1))-AVERAGE(OFFSET($H$3,0,0,'Données projet'!$E$10+1,1))</f>
        <v>255.5374979188561</v>
      </c>
      <c r="AO14" s="59">
        <f t="shared" si="36"/>
        <v>343.10418468620901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</v>
      </c>
      <c r="BD14" s="12">
        <f>IF('Données projet'!$A$88&gt;35,BD13+BC14-BL13,IF(A14&lt;'Données projet'!$A$88,$BA$205^A14,IF(A14='Données projet'!$A$88,'Données projet'!$B$88,BD13+BC14-BL13)))</f>
        <v>7.605591494662141</v>
      </c>
      <c r="BE14" s="13">
        <f>BD14*VLOOKUP('Données projet'!$B$11,Paramètres!$A$1:$I$89,3,0)*VLOOKUP('Données projet'!$B$11,Paramètres!$A$1:$I$89,5,0)</f>
        <v>6.5255975024201174</v>
      </c>
      <c r="BF14" s="13">
        <f t="shared" si="37"/>
        <v>2.4174112952457434</v>
      </c>
      <c r="BG14" s="20">
        <f t="shared" si="7"/>
        <v>15.575740322601375</v>
      </c>
      <c r="BH14" s="59">
        <f t="shared" si="8"/>
        <v>308.90907365593466</v>
      </c>
      <c r="BI14" s="59">
        <f ca="1">AVERAGE(OFFSET($BH$3,0,0,'Données projet'!$E$11+1,1))-AVERAGE(OFFSET($H$3,0,0,'Données projet'!$E$11+1,1))</f>
        <v>310.4018929413723</v>
      </c>
      <c r="BJ14" s="59">
        <f t="shared" si="38"/>
        <v>127.5231137583819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14.1</v>
      </c>
      <c r="BY14" s="12">
        <f>IF('Données projet'!$A$114&gt;35,BY13+BX14-CG13,IF(A14&lt;'Données projet'!$A$114,$BV$205^A14,IF(A14='Données projet'!$A$114,'Données projet'!$B$114,BY13+BX14-CG13)))</f>
        <v>50.1</v>
      </c>
      <c r="BZ14" s="13">
        <f>BY14*VLOOKUP('Données projet'!$B$12,Paramètres!$A$1:$I$89,3,0)*VLOOKUP('Données projet'!$B$12,Paramètres!$A$1:$I$89,5,0)</f>
        <v>27.354600000000001</v>
      </c>
      <c r="CA14" s="13">
        <f t="shared" si="39"/>
        <v>8.5765396264451574</v>
      </c>
      <c r="CB14" s="20">
        <f t="shared" si="10"/>
        <v>62.580068182725313</v>
      </c>
      <c r="CC14" s="59">
        <f t="shared" si="11"/>
        <v>355.91340151605863</v>
      </c>
      <c r="CD14" s="59">
        <f ca="1">AVERAGE(OFFSET($CC$3,0,0,'Données projet'!$E$12+1,1))-AVERAGE(OFFSET($H$3,0,0,'Données projet'!$E$12+1,1))</f>
        <v>210.04871822652808</v>
      </c>
      <c r="CE14" s="59">
        <f t="shared" si="40"/>
        <v>250.17540614049324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12.3</v>
      </c>
      <c r="N15" s="13">
        <f>IF('Données projet'!$A$36&gt;35,N14+M15-V14,IF(A15&lt;'Données projet'!$A$36,$K$205^A15,IF(A15='Données projet'!$A$36,'Données projet'!$B$36,N14+M15-V14)))</f>
        <v>35.6</v>
      </c>
      <c r="O15" s="13">
        <f>N15*VLOOKUP('Données projet'!$B$9,Paramètres!$A$1:$I$89,3,0)*VLOOKUP('Données projet'!$B$9,Paramètres!$A$1:$I$89,5,0)</f>
        <v>26.10192</v>
      </c>
      <c r="P15" s="13">
        <f t="shared" si="33"/>
        <v>8.2285600991803172</v>
      </c>
      <c r="Q15" s="20">
        <f t="shared" si="2"/>
        <v>59.792252839405712</v>
      </c>
      <c r="R15" s="59">
        <f t="shared" si="0"/>
        <v>353.12558617273902</v>
      </c>
      <c r="S15" s="59">
        <f ca="1">AVERAGE(OFFSET($R$3,0,0,'Données projet'!$E$9+1,1))-AVERAGE(OFFSET($H$3,0,0,'Données projet'!$E$9+1,1))</f>
        <v>234.09142087023463</v>
      </c>
      <c r="T15" s="59">
        <f t="shared" si="34"/>
        <v>278.990685815294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9.3968325791855207</v>
      </c>
      <c r="AI15" s="13">
        <f>IF('Données projet'!$A$62&gt;35,AI14+AH15-AQ14,IF(A15&lt;'Données projet'!$A$62,$AF$205^A15,IF(A15='Données projet'!$A$62,'Données projet'!$B$62,AI14+AH15-AQ14)))</f>
        <v>35.922176531151678</v>
      </c>
      <c r="AJ15" s="13">
        <f>AI15*VLOOKUP('Données projet'!$B$10,Paramètres!$A$1:$I$89,3,0)*VLOOKUP('Données projet'!$B$10,Paramètres!$A$1:$I$89,5,0)</f>
        <v>20.080496680913789</v>
      </c>
      <c r="AK15" s="13">
        <f t="shared" si="35"/>
        <v>6.5265484968269822</v>
      </c>
      <c r="AL15" s="20">
        <f t="shared" si="4"/>
        <v>46.340603684565174</v>
      </c>
      <c r="AM15" s="59">
        <f t="shared" si="5"/>
        <v>339.67393701789848</v>
      </c>
      <c r="AN15" s="59">
        <f ca="1">AVERAGE(OFFSET($AM$3,0,0,'Données projet'!$E$10+1,1))-AVERAGE(OFFSET($H$3,0,0,'Données projet'!$E$10+1,1))</f>
        <v>255.5374979188561</v>
      </c>
      <c r="AO15" s="59">
        <f t="shared" si="36"/>
        <v>343.10418468620901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</v>
      </c>
      <c r="BD15" s="12">
        <f>IF('Données projet'!$A$88&gt;35,BD14+BC15-BL14,IF(A15&lt;'Données projet'!$A$88,$BA$205^A15,IF(A15='Données projet'!$A$88,'Données projet'!$B$88,BD14+BC15-BL14)))</f>
        <v>9.1461010385465364</v>
      </c>
      <c r="BE15" s="13">
        <f>BD15*VLOOKUP('Données projet'!$B$11,Paramètres!$A$1:$I$89,3,0)*VLOOKUP('Données projet'!$B$11,Paramètres!$A$1:$I$89,5,0)</f>
        <v>7.8473546910729288</v>
      </c>
      <c r="BF15" s="13">
        <f t="shared" si="37"/>
        <v>2.8453097850556142</v>
      </c>
      <c r="BG15" s="20">
        <f t="shared" si="7"/>
        <v>18.623057295923882</v>
      </c>
      <c r="BH15" s="59">
        <f t="shared" si="8"/>
        <v>311.95639062925721</v>
      </c>
      <c r="BI15" s="59">
        <f ca="1">AVERAGE(OFFSET($BH$3,0,0,'Données projet'!$E$11+1,1))-AVERAGE(OFFSET($H$3,0,0,'Données projet'!$E$11+1,1))</f>
        <v>310.4018929413723</v>
      </c>
      <c r="BJ15" s="59">
        <f t="shared" si="38"/>
        <v>127.5231137583819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14.1</v>
      </c>
      <c r="BY15" s="12">
        <f>IF('Données projet'!$A$114&gt;35,BY14+BX15-CG14,IF(A15&lt;'Données projet'!$A$114,$BV$205^A15,IF(A15='Données projet'!$A$114,'Données projet'!$B$114,BY14+BX15-CG14)))</f>
        <v>64.2</v>
      </c>
      <c r="BZ15" s="13">
        <f>BY15*VLOOKUP('Données projet'!$B$12,Paramètres!$A$1:$I$89,3,0)*VLOOKUP('Données projet'!$B$12,Paramètres!$A$1:$I$89,5,0)</f>
        <v>35.053199999999997</v>
      </c>
      <c r="CA15" s="13">
        <f t="shared" si="39"/>
        <v>10.677594770675379</v>
      </c>
      <c r="CB15" s="20">
        <f t="shared" si="10"/>
        <v>79.64780089225961</v>
      </c>
      <c r="CC15" s="59">
        <f t="shared" si="11"/>
        <v>372.98113422559294</v>
      </c>
      <c r="CD15" s="59">
        <f ca="1">AVERAGE(OFFSET($CC$3,0,0,'Données projet'!$E$12+1,1))-AVERAGE(OFFSET($H$3,0,0,'Données projet'!$E$12+1,1))</f>
        <v>210.04871822652808</v>
      </c>
      <c r="CE15" s="59">
        <f t="shared" si="40"/>
        <v>250.17540614049324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12.3</v>
      </c>
      <c r="N16" s="13">
        <f>IF('Données projet'!$A$36&gt;35,N15+M16-V15,IF(A16&lt;'Données projet'!$A$36,$K$205^A16,IF(A16='Données projet'!$A$36,'Données projet'!$B$36,N15+M16-V15)))</f>
        <v>47.900000000000006</v>
      </c>
      <c r="O16" s="13">
        <f>N16*VLOOKUP('Données projet'!$B$9,Paramètres!$A$1:$I$89,3,0)*VLOOKUP('Données projet'!$B$9,Paramètres!$A$1:$I$89,5,0)</f>
        <v>35.120280000000001</v>
      </c>
      <c r="P16" s="13">
        <f t="shared" si="33"/>
        <v>10.695647637867344</v>
      </c>
      <c r="Q16" s="20">
        <f t="shared" si="2"/>
        <v>79.796073969285615</v>
      </c>
      <c r="R16" s="59">
        <f t="shared" si="0"/>
        <v>373.12940730261892</v>
      </c>
      <c r="S16" s="59">
        <f ca="1">AVERAGE(OFFSET($R$3,0,0,'Données projet'!$E$9+1,1))-AVERAGE(OFFSET($H$3,0,0,'Données projet'!$E$9+1,1))</f>
        <v>234.09142087023463</v>
      </c>
      <c r="T16" s="59">
        <f t="shared" si="34"/>
        <v>278.990685815294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9.3968325791855207</v>
      </c>
      <c r="AI16" s="13">
        <f>IF('Données projet'!$A$62&gt;35,AI15+AH16-AQ15,IF(A16&lt;'Données projet'!$A$62,$AF$205^A16,IF(A16='Données projet'!$A$62,'Données projet'!$B$62,AI15+AH16-AQ15)))</f>
        <v>48.414583084443251</v>
      </c>
      <c r="AJ16" s="13">
        <f>AI16*VLOOKUP('Données projet'!$B$10,Paramètres!$A$1:$I$89,3,0)*VLOOKUP('Données projet'!$B$10,Paramètres!$A$1:$I$89,5,0)</f>
        <v>27.063751944203776</v>
      </c>
      <c r="AK16" s="13">
        <f t="shared" si="35"/>
        <v>8.4959139568459339</v>
      </c>
      <c r="AL16" s="20">
        <f t="shared" si="4"/>
        <v>61.933084777661577</v>
      </c>
      <c r="AM16" s="59">
        <f t="shared" si="5"/>
        <v>355.26641811099489</v>
      </c>
      <c r="AN16" s="59">
        <f ca="1">AVERAGE(OFFSET($AM$3,0,0,'Données projet'!$E$10+1,1))-AVERAGE(OFFSET($H$3,0,0,'Données projet'!$E$10+1,1))</f>
        <v>255.5374979188561</v>
      </c>
      <c r="AO16" s="59">
        <f t="shared" si="36"/>
        <v>343.10418468620901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</v>
      </c>
      <c r="BD16" s="12">
        <f>IF('Données projet'!$A$88&gt;35,BD15+BC16-BL15,IF(A16&lt;'Données projet'!$A$88,$BA$205^A16,IF(A16='Données projet'!$A$88,'Données projet'!$B$88,BD15+BC16-BL15)))</f>
        <v>10.998640180189959</v>
      </c>
      <c r="BE16" s="13">
        <f>BD16*VLOOKUP('Données projet'!$B$11,Paramètres!$A$1:$I$89,3,0)*VLOOKUP('Données projet'!$B$11,Paramètres!$A$1:$I$89,5,0)</f>
        <v>9.4368332746029857</v>
      </c>
      <c r="BF16" s="13">
        <f t="shared" si="37"/>
        <v>3.348949261904663</v>
      </c>
      <c r="BG16" s="20">
        <f t="shared" si="7"/>
        <v>22.268571251084154</v>
      </c>
      <c r="BH16" s="59">
        <f t="shared" si="8"/>
        <v>315.60190458441747</v>
      </c>
      <c r="BI16" s="59">
        <f ca="1">AVERAGE(OFFSET($BH$3,0,0,'Données projet'!$E$11+1,1))-AVERAGE(OFFSET($H$3,0,0,'Données projet'!$E$11+1,1))</f>
        <v>310.4018929413723</v>
      </c>
      <c r="BJ16" s="59">
        <f t="shared" si="38"/>
        <v>127.5231137583819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14.1</v>
      </c>
      <c r="BY16" s="12">
        <f>IF('Données projet'!$A$114&gt;35,BY15+BX16-CG15,IF(A16&lt;'Données projet'!$A$114,$BV$205^A16,IF(A16='Données projet'!$A$114,'Données projet'!$B$114,BY15+BX16-CG15)))</f>
        <v>78.3</v>
      </c>
      <c r="BZ16" s="13">
        <f>BY16*VLOOKUP('Données projet'!$B$12,Paramètres!$A$1:$I$89,3,0)*VLOOKUP('Données projet'!$B$12,Paramètres!$A$1:$I$89,5,0)</f>
        <v>42.751799999999996</v>
      </c>
      <c r="CA16" s="13">
        <f t="shared" si="39"/>
        <v>12.725163670396148</v>
      </c>
      <c r="CB16" s="20">
        <f t="shared" si="10"/>
        <v>96.622378392606606</v>
      </c>
      <c r="CC16" s="59">
        <f t="shared" si="11"/>
        <v>389.95571172593992</v>
      </c>
      <c r="CD16" s="59">
        <f ca="1">AVERAGE(OFFSET($CC$3,0,0,'Données projet'!$E$12+1,1))-AVERAGE(OFFSET($H$3,0,0,'Données projet'!$E$12+1,1))</f>
        <v>210.04871822652808</v>
      </c>
      <c r="CE16" s="59">
        <f t="shared" si="40"/>
        <v>250.17540614049324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12.3</v>
      </c>
      <c r="N17" s="13">
        <f>IF('Données projet'!$A$36&gt;35,N16+M17-V16,IF(A17&lt;'Données projet'!$A$36,$K$205^A17,IF(A17='Données projet'!$A$36,'Données projet'!$B$36,N16+M17-V16)))</f>
        <v>60.2</v>
      </c>
      <c r="O17" s="13">
        <f>N17*VLOOKUP('Données projet'!$B$9,Paramètres!$A$1:$I$89,3,0)*VLOOKUP('Données projet'!$B$9,Paramètres!$A$1:$I$89,5,0)</f>
        <v>44.138640000000002</v>
      </c>
      <c r="P17" s="13">
        <f t="shared" si="33"/>
        <v>13.089229634046784</v>
      </c>
      <c r="Q17" s="20">
        <f t="shared" si="2"/>
        <v>99.671872945964807</v>
      </c>
      <c r="R17" s="59">
        <f t="shared" si="0"/>
        <v>393.00520627929814</v>
      </c>
      <c r="S17" s="59">
        <f ca="1">AVERAGE(OFFSET($R$3,0,0,'Données projet'!$E$9+1,1))-AVERAGE(OFFSET($H$3,0,0,'Données projet'!$E$9+1,1))</f>
        <v>234.09142087023463</v>
      </c>
      <c r="T17" s="59">
        <f t="shared" si="34"/>
        <v>278.990685815294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9.3968325791855207</v>
      </c>
      <c r="AI17" s="13">
        <f>IF('Données projet'!$A$62&gt;35,AI16+AH17-AQ16,IF(A17&lt;'Données projet'!$A$62,$AF$205^A17,IF(A17='Données projet'!$A$62,'Données projet'!$B$62,AI16+AH17-AQ16)))</f>
        <v>65.251387348641543</v>
      </c>
      <c r="AJ17" s="13">
        <f>AI17*VLOOKUP('Données projet'!$B$10,Paramètres!$A$1:$I$89,3,0)*VLOOKUP('Données projet'!$B$10,Paramètres!$A$1:$I$89,5,0)</f>
        <v>36.475525527890625</v>
      </c>
      <c r="AK17" s="13">
        <f t="shared" si="35"/>
        <v>11.059529243860162</v>
      </c>
      <c r="AL17" s="20">
        <f t="shared" si="4"/>
        <v>82.790220394132618</v>
      </c>
      <c r="AM17" s="59">
        <f t="shared" si="5"/>
        <v>376.12355372746595</v>
      </c>
      <c r="AN17" s="59">
        <f ca="1">AVERAGE(OFFSET($AM$3,0,0,'Données projet'!$E$10+1,1))-AVERAGE(OFFSET($H$3,0,0,'Données projet'!$E$10+1,1))</f>
        <v>255.5374979188561</v>
      </c>
      <c r="AO17" s="59">
        <f t="shared" si="36"/>
        <v>343.10418468620901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</v>
      </c>
      <c r="BD17" s="12">
        <f>IF('Données projet'!$A$88&gt;35,BD16+BC17-BL16,IF(A17&lt;'Données projet'!$A$88,$BA$205^A17,IF(A17='Données projet'!$A$88,'Données projet'!$B$88,BD16+BC17-BL16)))</f>
        <v>13.226410390991386</v>
      </c>
      <c r="BE17" s="13">
        <f>BD17*VLOOKUP('Données projet'!$B$11,Paramètres!$A$1:$I$89,3,0)*VLOOKUP('Données projet'!$B$11,Paramètres!$A$1:$I$89,5,0)</f>
        <v>11.348260115470611</v>
      </c>
      <c r="BF17" s="13">
        <f t="shared" si="37"/>
        <v>3.9417364034379001</v>
      </c>
      <c r="BG17" s="20">
        <f t="shared" si="7"/>
        <v>26.630077270432324</v>
      </c>
      <c r="BH17" s="59">
        <f t="shared" si="8"/>
        <v>319.96341060376562</v>
      </c>
      <c r="BI17" s="59">
        <f ca="1">AVERAGE(OFFSET($BH$3,0,0,'Données projet'!$E$11+1,1))-AVERAGE(OFFSET($H$3,0,0,'Données projet'!$E$11+1,1))</f>
        <v>310.4018929413723</v>
      </c>
      <c r="BJ17" s="59">
        <f t="shared" si="38"/>
        <v>127.5231137583819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14.1</v>
      </c>
      <c r="BY17" s="12">
        <f>IF('Données projet'!$A$114&gt;35,BY16+BX17-CG16,IF(A17&lt;'Données projet'!$A$114,$BV$205^A17,IF(A17='Données projet'!$A$114,'Données projet'!$B$114,BY16+BX17-CG16)))</f>
        <v>92.399999999999991</v>
      </c>
      <c r="BZ17" s="13">
        <f>BY17*VLOOKUP('Données projet'!$B$12,Paramètres!$A$1:$I$89,3,0)*VLOOKUP('Données projet'!$B$12,Paramètres!$A$1:$I$89,5,0)</f>
        <v>50.450399999999995</v>
      </c>
      <c r="CA17" s="13">
        <f t="shared" si="39"/>
        <v>14.730016649594965</v>
      </c>
      <c r="CB17" s="20">
        <f t="shared" si="10"/>
        <v>113.52255899804454</v>
      </c>
      <c r="CC17" s="59">
        <f t="shared" si="11"/>
        <v>406.85589233137785</v>
      </c>
      <c r="CD17" s="59">
        <f ca="1">AVERAGE(OFFSET($CC$3,0,0,'Données projet'!$E$12+1,1))-AVERAGE(OFFSET($H$3,0,0,'Données projet'!$E$12+1,1))</f>
        <v>210.04871822652808</v>
      </c>
      <c r="CE17" s="59">
        <f t="shared" si="40"/>
        <v>250.17540614049324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12.3</v>
      </c>
      <c r="N18" s="13">
        <f>IF('Données projet'!$A$36&gt;35,N17+M18-V17,IF(A18&lt;'Données projet'!$A$36,$K$205^A18,IF(A18='Données projet'!$A$36,'Données projet'!$B$36,N17+M18-V17)))</f>
        <v>72.5</v>
      </c>
      <c r="O18" s="13">
        <f>N18*VLOOKUP('Données projet'!$B$9,Paramètres!$A$1:$I$89,3,0)*VLOOKUP('Données projet'!$B$9,Paramètres!$A$1:$I$89,5,0)</f>
        <v>53.156999999999996</v>
      </c>
      <c r="P18" s="13">
        <f t="shared" si="33"/>
        <v>15.426140758986149</v>
      </c>
      <c r="Q18" s="20">
        <f t="shared" si="2"/>
        <v>119.44897015523419</v>
      </c>
      <c r="R18" s="59">
        <f t="shared" si="0"/>
        <v>412.78230348856749</v>
      </c>
      <c r="S18" s="59">
        <f ca="1">AVERAGE(OFFSET($R$3,0,0,'Données projet'!$E$9+1,1))-AVERAGE(OFFSET($H$3,0,0,'Données projet'!$E$9+1,1))</f>
        <v>234.09142087023463</v>
      </c>
      <c r="T18" s="59">
        <f t="shared" si="34"/>
        <v>278.990685815294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9.3968325791855207</v>
      </c>
      <c r="AI18" s="13">
        <f>IF('Données projet'!$A$62&gt;35,AI17+AH18-AQ17,IF(A18&lt;'Données projet'!$A$62,$AF$205^A18,IF(A18='Données projet'!$A$62,'Données projet'!$B$62,AI17+AH18-AQ17)))</f>
        <v>87.943410428552681</v>
      </c>
      <c r="AJ18" s="13">
        <f>AI18*VLOOKUP('Données projet'!$B$10,Paramètres!$A$1:$I$89,3,0)*VLOOKUP('Données projet'!$B$10,Paramètres!$A$1:$I$89,5,0)</f>
        <v>49.160366429560945</v>
      </c>
      <c r="AK18" s="13">
        <f t="shared" si="35"/>
        <v>14.396707372164377</v>
      </c>
      <c r="AL18" s="20">
        <f t="shared" si="4"/>
        <v>110.69523687133828</v>
      </c>
      <c r="AM18" s="59">
        <f t="shared" si="5"/>
        <v>404.02857020467161</v>
      </c>
      <c r="AN18" s="59">
        <f ca="1">AVERAGE(OFFSET($AM$3,0,0,'Données projet'!$E$10+1,1))-AVERAGE(OFFSET($H$3,0,0,'Données projet'!$E$10+1,1))</f>
        <v>255.5374979188561</v>
      </c>
      <c r="AO18" s="59">
        <f t="shared" si="36"/>
        <v>343.10418468620901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</v>
      </c>
      <c r="BD18" s="12">
        <f>IF('Données projet'!$A$88&gt;35,BD17+BC18-BL17,IF(A18&lt;'Données projet'!$A$88,$BA$205^A18,IF(A18='Données projet'!$A$88,'Données projet'!$B$88,BD17+BC18-BL17)))</f>
        <v>15.905414575341034</v>
      </c>
      <c r="BE18" s="13">
        <f>BD18*VLOOKUP('Données projet'!$B$11,Paramètres!$A$1:$I$89,3,0)*VLOOKUP('Données projet'!$B$11,Paramètres!$A$1:$I$89,5,0)</f>
        <v>13.646845705642608</v>
      </c>
      <c r="BF18" s="13">
        <f t="shared" si="37"/>
        <v>4.639450961807337</v>
      </c>
      <c r="BG18" s="20">
        <f t="shared" si="7"/>
        <v>31.848633362475322</v>
      </c>
      <c r="BH18" s="59">
        <f t="shared" si="8"/>
        <v>325.18196669580863</v>
      </c>
      <c r="BI18" s="59">
        <f ca="1">AVERAGE(OFFSET($BH$3,0,0,'Données projet'!$E$11+1,1))-AVERAGE(OFFSET($H$3,0,0,'Données projet'!$E$11+1,1))</f>
        <v>310.4018929413723</v>
      </c>
      <c r="BJ18" s="59">
        <f t="shared" si="38"/>
        <v>127.5231137583819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14.1</v>
      </c>
      <c r="BY18" s="12">
        <f>IF('Données projet'!$A$114&gt;35,BY17+BX18-CG17,IF(A18&lt;'Données projet'!$A$114,$BV$205^A18,IF(A18='Données projet'!$A$114,'Données projet'!$B$114,BY17+BX18-CG17)))</f>
        <v>106.49999999999999</v>
      </c>
      <c r="BZ18" s="13">
        <f>BY18*VLOOKUP('Données projet'!$B$12,Paramètres!$A$1:$I$89,3,0)*VLOOKUP('Données projet'!$B$12,Paramètres!$A$1:$I$89,5,0)</f>
        <v>58.148999999999987</v>
      </c>
      <c r="CA18" s="13">
        <f t="shared" si="39"/>
        <v>16.699428066773574</v>
      </c>
      <c r="CB18" s="20">
        <f t="shared" si="10"/>
        <v>130.36101221629727</v>
      </c>
      <c r="CC18" s="59">
        <f t="shared" si="11"/>
        <v>423.69434554963061</v>
      </c>
      <c r="CD18" s="59">
        <f ca="1">AVERAGE(OFFSET($CC$3,0,0,'Données projet'!$E$12+1,1))-AVERAGE(OFFSET($H$3,0,0,'Données projet'!$E$12+1,1))</f>
        <v>210.04871822652808</v>
      </c>
      <c r="CE18" s="59">
        <f t="shared" si="40"/>
        <v>250.17540614049324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12.3</v>
      </c>
      <c r="N19" s="13">
        <f>IF('Données projet'!$A$36&gt;35,N18+M19-V18,IF(A19&lt;'Données projet'!$A$36,$K$205^A19,IF(A19='Données projet'!$A$36,'Données projet'!$B$36,N18+M19-V18)))</f>
        <v>84.8</v>
      </c>
      <c r="O19" s="13">
        <f>N19*VLOOKUP('Données projet'!$B$9,Paramètres!$A$1:$I$89,3,0)*VLOOKUP('Données projet'!$B$9,Paramètres!$A$1:$I$89,5,0)</f>
        <v>62.175359999999991</v>
      </c>
      <c r="P19" s="13">
        <f t="shared" si="33"/>
        <v>17.717123083906696</v>
      </c>
      <c r="Q19" s="20">
        <f t="shared" si="2"/>
        <v>139.14607470447081</v>
      </c>
      <c r="R19" s="59">
        <f t="shared" si="0"/>
        <v>432.47940803780409</v>
      </c>
      <c r="S19" s="59">
        <f ca="1">AVERAGE(OFFSET($R$3,0,0,'Données projet'!$E$9+1,1))-AVERAGE(OFFSET($H$3,0,0,'Données projet'!$E$9+1,1))</f>
        <v>234.09142087023463</v>
      </c>
      <c r="T19" s="59">
        <f t="shared" si="34"/>
        <v>278.990685815294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9.3968325791855207</v>
      </c>
      <c r="AI19" s="13">
        <f>IF('Données projet'!$A$62&gt;35,AI18+AH19-AQ18,IF(A19&lt;'Données projet'!$A$62,$AF$205^A19,IF(A19='Données projet'!$A$62,'Données projet'!$B$62,AI18+AH19-AQ18)))</f>
        <v>118.52688122141336</v>
      </c>
      <c r="AJ19" s="13">
        <f>AI19*VLOOKUP('Données projet'!$B$10,Paramètres!$A$1:$I$89,3,0)*VLOOKUP('Données projet'!$B$10,Paramètres!$A$1:$I$89,5,0)</f>
        <v>66.256526602770066</v>
      </c>
      <c r="AK19" s="13">
        <f t="shared" si="35"/>
        <v>18.740868493548042</v>
      </c>
      <c r="AL19" s="20">
        <f t="shared" si="4"/>
        <v>148.03712979275406</v>
      </c>
      <c r="AM19" s="59">
        <f t="shared" si="5"/>
        <v>441.37046312608737</v>
      </c>
      <c r="AN19" s="59">
        <f ca="1">AVERAGE(OFFSET($AM$3,0,0,'Données projet'!$E$10+1,1))-AVERAGE(OFFSET($H$3,0,0,'Données projet'!$E$10+1,1))</f>
        <v>255.5374979188561</v>
      </c>
      <c r="AO19" s="59">
        <f t="shared" si="36"/>
        <v>343.10418468620901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</v>
      </c>
      <c r="BD19" s="12">
        <f>IF('Données projet'!$A$88&gt;35,BD18+BC19-BL18,IF(A19&lt;'Données projet'!$A$88,$BA$205^A19,IF(A19='Données projet'!$A$88,'Données projet'!$B$88,BD18+BC19-BL18)))</f>
        <v>19.127049995800764</v>
      </c>
      <c r="BE19" s="13">
        <f>BD19*VLOOKUP('Données projet'!$B$11,Paramètres!$A$1:$I$89,3,0)*VLOOKUP('Données projet'!$B$11,Paramètres!$A$1:$I$89,5,0)</f>
        <v>16.411008896397057</v>
      </c>
      <c r="BF19" s="13">
        <f t="shared" si="37"/>
        <v>5.4606658142441473</v>
      </c>
      <c r="BG19" s="20">
        <f t="shared" si="7"/>
        <v>38.093166787700099</v>
      </c>
      <c r="BH19" s="59">
        <f t="shared" si="8"/>
        <v>331.42650012103343</v>
      </c>
      <c r="BI19" s="59">
        <f ca="1">AVERAGE(OFFSET($BH$3,0,0,'Données projet'!$E$11+1,1))-AVERAGE(OFFSET($H$3,0,0,'Données projet'!$E$11+1,1))</f>
        <v>310.4018929413723</v>
      </c>
      <c r="BJ19" s="59">
        <f t="shared" si="38"/>
        <v>127.5231137583819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14.1</v>
      </c>
      <c r="BY19" s="12">
        <f>IF('Données projet'!$A$114&gt;35,BY18+BX19-CG18,IF(A19&lt;'Données projet'!$A$114,$BV$205^A19,IF(A19='Données projet'!$A$114,'Données projet'!$B$114,BY18+BX19-CG18)))</f>
        <v>120.59999999999998</v>
      </c>
      <c r="BZ19" s="13">
        <f>BY19*VLOOKUP('Données projet'!$B$12,Paramètres!$A$1:$I$89,3,0)*VLOOKUP('Données projet'!$B$12,Paramètres!$A$1:$I$89,5,0)</f>
        <v>65.847599999999986</v>
      </c>
      <c r="CA19" s="13">
        <f t="shared" si="39"/>
        <v>18.63862905611526</v>
      </c>
      <c r="CB19" s="20">
        <f t="shared" si="10"/>
        <v>147.14684893940071</v>
      </c>
      <c r="CC19" s="59">
        <f t="shared" si="11"/>
        <v>440.48018227273406</v>
      </c>
      <c r="CD19" s="59">
        <f ca="1">AVERAGE(OFFSET($CC$3,0,0,'Données projet'!$E$12+1,1))-AVERAGE(OFFSET($H$3,0,0,'Données projet'!$E$12+1,1))</f>
        <v>210.04871822652808</v>
      </c>
      <c r="CE19" s="59">
        <f t="shared" si="40"/>
        <v>250.17540614049324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12.3</v>
      </c>
      <c r="N20" s="13">
        <f>IF('Données projet'!$A$36&gt;35,N19+M20-V19,IF(A20&lt;'Données projet'!$A$36,$K$205^A20,IF(A20='Données projet'!$A$36,'Données projet'!$B$36,N19+M20-V19)))</f>
        <v>97.1</v>
      </c>
      <c r="O20" s="13">
        <f>N20*VLOOKUP('Données projet'!$B$9,Paramètres!$A$1:$I$89,3,0)*VLOOKUP('Données projet'!$B$9,Paramètres!$A$1:$I$89,5,0)</f>
        <v>71.193719999999999</v>
      </c>
      <c r="P20" s="13">
        <f t="shared" si="33"/>
        <v>19.969607952478761</v>
      </c>
      <c r="Q20" s="20">
        <f t="shared" si="2"/>
        <v>158.77612951723384</v>
      </c>
      <c r="R20" s="59">
        <f t="shared" si="0"/>
        <v>452.10946285056718</v>
      </c>
      <c r="S20" s="59">
        <f ca="1">AVERAGE(OFFSET($R$3,0,0,'Données projet'!$E$9+1,1))-AVERAGE(OFFSET($H$3,0,0,'Données projet'!$E$9+1,1))</f>
        <v>234.09142087023463</v>
      </c>
      <c r="T20" s="59">
        <f t="shared" si="34"/>
        <v>278.990685815294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159.74615384615385</v>
      </c>
      <c r="AG20" s="12">
        <f>VLOOKUP(A20,'Données projet'!$A$61:$I$81,9,0)</f>
        <v>9.3968325791855207</v>
      </c>
      <c r="AH20" s="12">
        <f t="array" ref="AH20">INDEX(AG:AG,MIN(IF(ISNUMBER(AG20:AG216),ROW(AG20:AG216),"")))</f>
        <v>9.3968325791855207</v>
      </c>
      <c r="AI20" s="13">
        <f>IF('Données projet'!$A$62&gt;35,AI19+AH20-AQ19,IF(A20&lt;'Données projet'!$A$62,$AF$205^A20,IF(A20='Données projet'!$A$62,'Données projet'!$B$62,AI19+AH20-AQ19)))</f>
        <v>159.74615384615385</v>
      </c>
      <c r="AJ20" s="13">
        <f>AI20*VLOOKUP('Données projet'!$B$10,Paramètres!$A$1:$I$89,3,0)*VLOOKUP('Données projet'!$B$10,Paramètres!$A$1:$I$89,5,0)</f>
        <v>89.298100000000005</v>
      </c>
      <c r="AK20" s="13">
        <f t="shared" si="35"/>
        <v>24.395866555677571</v>
      </c>
      <c r="AL20" s="20">
        <f t="shared" si="4"/>
        <v>198.01699175113845</v>
      </c>
      <c r="AM20" s="59">
        <f t="shared" si="5"/>
        <v>491.35032508447176</v>
      </c>
      <c r="AN20" s="59">
        <f ca="1">AVERAGE(OFFSET($AM$3,0,0,'Données projet'!$E$10+1,1))-AVERAGE(OFFSET($H$3,0,0,'Données projet'!$E$10+1,1))</f>
        <v>255.5374979188561</v>
      </c>
      <c r="AO20" s="59">
        <f t="shared" si="36"/>
        <v>343.10418468620901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</v>
      </c>
      <c r="BD20" s="12">
        <f>IF('Données projet'!$A$88&gt;35,BD19+BC20-BL19,IF(A20&lt;'Données projet'!$A$88,$BA$205^A20,IF(A20='Données projet'!$A$88,'Données projet'!$B$88,BD19+BC20-BL19)))</f>
        <v>23.001226394252466</v>
      </c>
      <c r="BE20" s="13">
        <f>BD20*VLOOKUP('Données projet'!$B$11,Paramètres!$A$1:$I$89,3,0)*VLOOKUP('Données projet'!$B$11,Paramètres!$A$1:$I$89,5,0)</f>
        <v>19.735052246268616</v>
      </c>
      <c r="BF20" s="13">
        <f t="shared" si="37"/>
        <v>6.4272413654822858</v>
      </c>
      <c r="BG20" s="20">
        <f t="shared" si="7"/>
        <v>45.565994707132809</v>
      </c>
      <c r="BH20" s="59">
        <f t="shared" si="8"/>
        <v>338.89932804046612</v>
      </c>
      <c r="BI20" s="59">
        <f ca="1">AVERAGE(OFFSET($BH$3,0,0,'Données projet'!$E$11+1,1))-AVERAGE(OFFSET($H$3,0,0,'Données projet'!$E$11+1,1))</f>
        <v>310.4018929413723</v>
      </c>
      <c r="BJ20" s="59">
        <f t="shared" si="38"/>
        <v>127.5231137583819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14.1</v>
      </c>
      <c r="BY20" s="12">
        <f>IF('Données projet'!$A$114&gt;35,BY19+BX20-CG19,IF(A20&lt;'Données projet'!$A$114,$BV$205^A20,IF(A20='Données projet'!$A$114,'Données projet'!$B$114,BY19+BX20-CG19)))</f>
        <v>134.69999999999999</v>
      </c>
      <c r="BZ20" s="13">
        <f>BY20*VLOOKUP('Données projet'!$B$12,Paramètres!$A$1:$I$89,3,0)*VLOOKUP('Données projet'!$B$12,Paramètres!$A$1:$I$89,5,0)</f>
        <v>73.546199999999985</v>
      </c>
      <c r="CA20" s="13">
        <f t="shared" si="39"/>
        <v>20.551555184696866</v>
      </c>
      <c r="CB20" s="20">
        <f t="shared" si="10"/>
        <v>163.88692361334699</v>
      </c>
      <c r="CC20" s="59">
        <f t="shared" si="11"/>
        <v>457.22025694668031</v>
      </c>
      <c r="CD20" s="59">
        <f ca="1">AVERAGE(OFFSET($CC$3,0,0,'Données projet'!$E$12+1,1))-AVERAGE(OFFSET($H$3,0,0,'Données projet'!$E$12+1,1))</f>
        <v>210.04871822652808</v>
      </c>
      <c r="CE20" s="59">
        <f t="shared" si="40"/>
        <v>250.17540614049324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12.3</v>
      </c>
      <c r="N21" s="13">
        <f>IF('Données projet'!$A$36&gt;35,N20+M21-V20,IF(A21&lt;'Données projet'!$A$36,$K$205^A21,IF(A21='Données projet'!$A$36,'Données projet'!$B$36,N20+M21-V20)))</f>
        <v>109.39999999999999</v>
      </c>
      <c r="O21" s="13">
        <f>N21*VLOOKUP('Données projet'!$B$9,Paramètres!$A$1:$I$89,3,0)*VLOOKUP('Données projet'!$B$9,Paramètres!$A$1:$I$89,5,0)</f>
        <v>80.212079999999986</v>
      </c>
      <c r="P21" s="13">
        <f t="shared" si="33"/>
        <v>22.189030798521017</v>
      </c>
      <c r="Q21" s="20">
        <f t="shared" si="2"/>
        <v>178.34860130742405</v>
      </c>
      <c r="R21" s="59">
        <f t="shared" si="0"/>
        <v>471.68193464075739</v>
      </c>
      <c r="S21" s="59">
        <f ca="1">AVERAGE(OFFSET($R$3,0,0,'Données projet'!$E$9+1,1))-AVERAGE(OFFSET($H$3,0,0,'Données projet'!$E$9+1,1))</f>
        <v>234.09142087023463</v>
      </c>
      <c r="T21" s="59">
        <f t="shared" si="34"/>
        <v>278.990685815294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182.89230769230767</v>
      </c>
      <c r="AG21" s="12">
        <f>VLOOKUP(A21,'Données projet'!$A$61:$I$81,9,0)</f>
        <v>23.146153846153823</v>
      </c>
      <c r="AH21" s="12">
        <f t="array" ref="AH21">INDEX(AG:AG,MIN(IF(ISNUMBER(AG21:AG217),ROW(AG21:AG217),"")))</f>
        <v>23.146153846153823</v>
      </c>
      <c r="AI21" s="13">
        <f>IF('Données projet'!$A$62&gt;35,AI20+AH21-AQ20,IF(A21&lt;'Données projet'!$A$62,$AF$205^A21,IF(A21='Données projet'!$A$62,'Données projet'!$B$62,AI20+AH21-AQ20)))</f>
        <v>182.89230769230767</v>
      </c>
      <c r="AJ21" s="13">
        <f>AI21*VLOOKUP('Données projet'!$B$10,Paramètres!$A$1:$I$89,3,0)*VLOOKUP('Données projet'!$B$10,Paramètres!$A$1:$I$89,5,0)</f>
        <v>102.23679999999999</v>
      </c>
      <c r="AK21" s="13">
        <f t="shared" si="35"/>
        <v>27.494196289326943</v>
      </c>
      <c r="AL21" s="20">
        <f t="shared" si="4"/>
        <v>225.9481518705777</v>
      </c>
      <c r="AM21" s="59">
        <f t="shared" si="5"/>
        <v>519.28148520391096</v>
      </c>
      <c r="AN21" s="59">
        <f ca="1">AVERAGE(OFFSET($AM$3,0,0,'Données projet'!$E$10+1,1))-AVERAGE(OFFSET($H$3,0,0,'Données projet'!$E$10+1,1))</f>
        <v>255.5374979188561</v>
      </c>
      <c r="AO21" s="59">
        <f t="shared" si="36"/>
        <v>343.10418468620901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69.284615384615378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0.27500000000000002</v>
      </c>
      <c r="AT21" s="16">
        <f>IF(ISNA(VLOOKUP(A21,'Données projet'!$A$61:$I$81,7,0)),0%,VLOOKUP(A21,'Données projet'!$A$61:$I$81,7,0))</f>
        <v>0.5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14.073311822728558</v>
      </c>
      <c r="AW21" s="21">
        <f>EXP(-LN(2)/2)*AW20+(1-EXP(-LN(2)/2))/(LN(2)/2)*AQ21*AT21*VLOOKUP('Données projet'!$B$10,Paramètres!$A$1:$I$89,3,0)*0.475*44/12</f>
        <v>21.925735053214883</v>
      </c>
      <c r="AX21" s="21">
        <f t="shared" si="6"/>
        <v>35.999046875943442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</v>
      </c>
      <c r="BD21" s="12">
        <f>IF('Données projet'!$A$88&gt;35,BD20+BC21-BL20,IF(A21&lt;'Données projet'!$A$88,$BA$205^A21,IF(A21='Données projet'!$A$88,'Données projet'!$B$88,BD20+BC21-BL20)))</f>
        <v>27.660115687249608</v>
      </c>
      <c r="BE21" s="13">
        <f>BD21*VLOOKUP('Données projet'!$B$11,Paramètres!$A$1:$I$89,3,0)*VLOOKUP('Données projet'!$B$11,Paramètres!$A$1:$I$89,5,0)</f>
        <v>23.732379259660167</v>
      </c>
      <c r="BF21" s="13">
        <f t="shared" si="37"/>
        <v>7.5649074628245767</v>
      </c>
      <c r="BG21" s="20">
        <f t="shared" si="7"/>
        <v>54.509441041660921</v>
      </c>
      <c r="BH21" s="59">
        <f t="shared" si="8"/>
        <v>347.84277437499424</v>
      </c>
      <c r="BI21" s="59">
        <f ca="1">AVERAGE(OFFSET($BH$3,0,0,'Données projet'!$E$11+1,1))-AVERAGE(OFFSET($H$3,0,0,'Données projet'!$E$11+1,1))</f>
        <v>310.4018929413723</v>
      </c>
      <c r="BJ21" s="59">
        <f t="shared" si="38"/>
        <v>127.5231137583819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14.1</v>
      </c>
      <c r="BY21" s="12">
        <f>IF('Données projet'!$A$114&gt;35,BY20+BX21-CG20,IF(A21&lt;'Données projet'!$A$114,$BV$205^A21,IF(A21='Données projet'!$A$114,'Données projet'!$B$114,BY20+BX21-CG20)))</f>
        <v>148.79999999999998</v>
      </c>
      <c r="BZ21" s="13">
        <f>BY21*VLOOKUP('Données projet'!$B$12,Paramètres!$A$1:$I$89,3,0)*VLOOKUP('Données projet'!$B$12,Paramètres!$A$1:$I$89,5,0)</f>
        <v>81.244799999999984</v>
      </c>
      <c r="CA21" s="13">
        <f t="shared" si="39"/>
        <v>22.441270156928962</v>
      </c>
      <c r="CB21" s="20">
        <f t="shared" si="10"/>
        <v>180.58657218998459</v>
      </c>
      <c r="CC21" s="59">
        <f t="shared" si="11"/>
        <v>473.91990552331788</v>
      </c>
      <c r="CD21" s="59">
        <f ca="1">AVERAGE(OFFSET($CC$3,0,0,'Données projet'!$E$12+1,1))-AVERAGE(OFFSET($H$3,0,0,'Données projet'!$E$12+1,1))</f>
        <v>210.04871822652808</v>
      </c>
      <c r="CE21" s="59">
        <f t="shared" si="40"/>
        <v>250.17540614049324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12.3</v>
      </c>
      <c r="N22" s="13">
        <f>IF('Données projet'!$A$36&gt;35,N21+M22-V21,IF(A22&lt;'Données projet'!$A$36,$K$205^A22,IF(A22='Données projet'!$A$36,'Données projet'!$B$36,N21+M22-V21)))</f>
        <v>121.69999999999999</v>
      </c>
      <c r="O22" s="13">
        <f>N22*VLOOKUP('Données projet'!$B$9,Paramètres!$A$1:$I$89,3,0)*VLOOKUP('Données projet'!$B$9,Paramètres!$A$1:$I$89,5,0)</f>
        <v>89.230439999999987</v>
      </c>
      <c r="P22" s="13">
        <f t="shared" si="33"/>
        <v>24.379532994349749</v>
      </c>
      <c r="Q22" s="20">
        <f t="shared" si="2"/>
        <v>197.87070296515913</v>
      </c>
      <c r="R22" s="59">
        <f t="shared" si="0"/>
        <v>491.20403629849244</v>
      </c>
      <c r="S22" s="59">
        <f ca="1">AVERAGE(OFFSET($R$3,0,0,'Données projet'!$E$9+1,1))-AVERAGE(OFFSET($H$3,0,0,'Données projet'!$E$9+1,1))</f>
        <v>234.09142087023463</v>
      </c>
      <c r="T22" s="59">
        <f t="shared" si="34"/>
        <v>278.990685815294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20.658974358974358</v>
      </c>
      <c r="AI22" s="13">
        <f>IF('Données projet'!$A$62&gt;35,AI21+AH22-AQ21,IF(A22&lt;'Données projet'!$A$62,$AF$205^A22,IF(A22='Données projet'!$A$62,'Données projet'!$B$62,AI21+AH22-AQ21)))</f>
        <v>134.26666666666665</v>
      </c>
      <c r="AJ22" s="13">
        <f>AI22*VLOOKUP('Données projet'!$B$10,Paramètres!$A$1:$I$89,3,0)*VLOOKUP('Données projet'!$B$10,Paramètres!$A$1:$I$89,5,0)</f>
        <v>75.055066666666661</v>
      </c>
      <c r="AK22" s="13">
        <f t="shared" si="35"/>
        <v>20.923669242672773</v>
      </c>
      <c r="AL22" s="20">
        <f t="shared" si="4"/>
        <v>167.1629650420995</v>
      </c>
      <c r="AM22" s="59">
        <f t="shared" si="5"/>
        <v>460.49629837543284</v>
      </c>
      <c r="AN22" s="59">
        <f ca="1">AVERAGE(OFFSET($AM$3,0,0,'Données projet'!$E$10+1,1))-AVERAGE(OFFSET($H$3,0,0,'Données projet'!$E$10+1,1))</f>
        <v>255.5374979188561</v>
      </c>
      <c r="AO22" s="59">
        <f t="shared" si="36"/>
        <v>343.10418468620901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13.688476370852742</v>
      </c>
      <c r="AW22" s="21">
        <f>EXP(-LN(2)/2)*AW21+(1-EXP(-LN(2)/2))/(LN(2)/2)*AQ22*AT22*VLOOKUP('Données projet'!$B$10,Paramètres!$A$1:$I$89,3,0)*0.475*44/12</f>
        <v>15.503835938627832</v>
      </c>
      <c r="AX22" s="21">
        <f t="shared" si="6"/>
        <v>29.192312309480574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</v>
      </c>
      <c r="BD22" s="12">
        <f>IF('Données projet'!$A$88&gt;35,BD21+BC22-BL21,IF(A22&lt;'Données projet'!$A$88,$BA$205^A22,IF(A22='Données projet'!$A$88,'Données projet'!$B$88,BD21+BC22-BL21)))</f>
        <v>33.262661160676636</v>
      </c>
      <c r="BE22" s="13">
        <f>BD22*VLOOKUP('Données projet'!$B$11,Paramètres!$A$1:$I$89,3,0)*VLOOKUP('Données projet'!$B$11,Paramètres!$A$1:$I$89,5,0)</f>
        <v>28.539363275860556</v>
      </c>
      <c r="BF22" s="13">
        <f t="shared" si="37"/>
        <v>8.9039483141932294</v>
      </c>
      <c r="BG22" s="20">
        <f t="shared" si="7"/>
        <v>65.213767686010328</v>
      </c>
      <c r="BH22" s="59">
        <f t="shared" si="8"/>
        <v>358.54710101934364</v>
      </c>
      <c r="BI22" s="59">
        <f ca="1">AVERAGE(OFFSET($BH$3,0,0,'Données projet'!$E$11+1,1))-AVERAGE(OFFSET($H$3,0,0,'Données projet'!$E$11+1,1))</f>
        <v>310.4018929413723</v>
      </c>
      <c r="BJ22" s="59">
        <f t="shared" si="38"/>
        <v>127.5231137583819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14.1</v>
      </c>
      <c r="BY22" s="12">
        <f>IF('Données projet'!$A$114&gt;35,BY21+BX22-CG21,IF(A22&lt;'Données projet'!$A$114,$BV$205^A22,IF(A22='Données projet'!$A$114,'Données projet'!$B$114,BY21+BX22-CG21)))</f>
        <v>162.89999999999998</v>
      </c>
      <c r="BZ22" s="13">
        <f>BY22*VLOOKUP('Données projet'!$B$12,Paramètres!$A$1:$I$89,3,0)*VLOOKUP('Données projet'!$B$12,Paramètres!$A$1:$I$89,5,0)</f>
        <v>88.943399999999997</v>
      </c>
      <c r="CA22" s="13">
        <f t="shared" si="39"/>
        <v>24.310223636565393</v>
      </c>
      <c r="CB22" s="20">
        <f t="shared" si="10"/>
        <v>197.25006116701806</v>
      </c>
      <c r="CC22" s="59">
        <f t="shared" si="11"/>
        <v>490.58339450035135</v>
      </c>
      <c r="CD22" s="59">
        <f ca="1">AVERAGE(OFFSET($CC$3,0,0,'Données projet'!$E$12+1,1))-AVERAGE(OFFSET($H$3,0,0,'Données projet'!$E$12+1,1))</f>
        <v>210.04871822652808</v>
      </c>
      <c r="CE22" s="59">
        <f t="shared" si="40"/>
        <v>250.17540614049324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134</v>
      </c>
      <c r="L23" s="12">
        <f>VLOOKUP(A23,'Données projet'!$A$35:$I$55,9,0)</f>
        <v>12.3</v>
      </c>
      <c r="M23" s="12">
        <f t="array" ref="M23">INDEX(L:L,MIN(IF(ISNUMBER(L23:L219),ROW(L23:L219),"")))</f>
        <v>12.3</v>
      </c>
      <c r="N23" s="13">
        <f>IF('Données projet'!$A$36&gt;35,N22+M23-V22,IF(A23&lt;'Données projet'!$A$36,$K$205^A23,IF(A23='Données projet'!$A$36,'Données projet'!$B$36,N22+M23-V22)))</f>
        <v>134</v>
      </c>
      <c r="O23" s="13">
        <f>N23*VLOOKUP('Données projet'!$B$9,Paramètres!$A$1:$I$89,3,0)*VLOOKUP('Données projet'!$B$9,Paramètres!$A$1:$I$89,5,0)</f>
        <v>98.248800000000003</v>
      </c>
      <c r="P23" s="13">
        <f t="shared" si="33"/>
        <v>26.544370291039833</v>
      </c>
      <c r="Q23" s="20">
        <f t="shared" si="2"/>
        <v>217.34810492356107</v>
      </c>
      <c r="R23" s="59">
        <f t="shared" si="0"/>
        <v>510.68143825689435</v>
      </c>
      <c r="S23" s="59">
        <f ca="1">AVERAGE(OFFSET($R$3,0,0,'Données projet'!$E$9+1,1))-AVERAGE(OFFSET($H$3,0,0,'Données projet'!$E$9+1,1))</f>
        <v>234.09142087023463</v>
      </c>
      <c r="T23" s="59">
        <f t="shared" si="34"/>
        <v>278.990685815294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67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5.8148628449290847</v>
      </c>
      <c r="AB23" s="21">
        <f>EXP(-LN(2)/2)*AB22+(1-EXP(-LN(2)/2))/(LN(2)/2)*V23*Y23*VLOOKUP('Données projet'!$B$9,Paramètres!$A$1:$I$89,3,0)*0.475*44/12</f>
        <v>11.587548390960231</v>
      </c>
      <c r="AC23" s="22">
        <f t="shared" si="3"/>
        <v>17.402411235889318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20.658974358974358</v>
      </c>
      <c r="AI23" s="13">
        <f>IF('Données projet'!$A$62&gt;35,AI22+AH23-AQ22,IF(A23&lt;'Données projet'!$A$62,$AF$205^A23,IF(A23='Données projet'!$A$62,'Données projet'!$B$62,AI22+AH23-AQ22)))</f>
        <v>154.925641025641</v>
      </c>
      <c r="AJ23" s="13">
        <f>AI23*VLOOKUP('Données projet'!$B$10,Paramètres!$A$1:$I$89,3,0)*VLOOKUP('Données projet'!$B$10,Paramètres!$A$1:$I$89,5,0)</f>
        <v>86.603433333333314</v>
      </c>
      <c r="AK23" s="13">
        <f t="shared" si="35"/>
        <v>23.744229853900279</v>
      </c>
      <c r="AL23" s="20">
        <f t="shared" si="4"/>
        <v>192.18884671776516</v>
      </c>
      <c r="AM23" s="59">
        <f t="shared" si="5"/>
        <v>485.52218005109847</v>
      </c>
      <c r="AN23" s="59">
        <f ca="1">AVERAGE(OFFSET($AM$3,0,0,'Données projet'!$E$10+1,1))-AVERAGE(OFFSET($H$3,0,0,'Données projet'!$E$10+1,1))</f>
        <v>255.5374979188561</v>
      </c>
      <c r="AO23" s="59">
        <f t="shared" si="36"/>
        <v>343.10418468620901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13.314164264646086</v>
      </c>
      <c r="AW23" s="21">
        <f>EXP(-LN(2)/2)*AW22+(1-EXP(-LN(2)/2))/(LN(2)/2)*AQ23*AT23*VLOOKUP('Données projet'!$B$10,Paramètres!$A$1:$I$89,3,0)*0.475*44/12</f>
        <v>10.962867526607443</v>
      </c>
      <c r="AX23" s="21">
        <f t="shared" si="6"/>
        <v>24.277031791253528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40</v>
      </c>
      <c r="BB23" s="12">
        <f>VLOOKUP(A23,'Données projet'!$A$87:$I$107,9,0)</f>
        <v>2</v>
      </c>
      <c r="BC23" s="12">
        <f t="array" ref="BC23">INDEX(BB:BB,MIN(IF(ISNUMBER(BB23:BB219),ROW(BB23:BB219),"")))</f>
        <v>2</v>
      </c>
      <c r="BD23" s="12">
        <f>IF('Données projet'!$A$88&gt;35,BD22+BC23-BL22,IF(A23&lt;'Données projet'!$A$88,$BA$205^A23,IF(A23='Données projet'!$A$88,'Données projet'!$B$88,BD22+BC23-BL22)))</f>
        <v>40</v>
      </c>
      <c r="BE23" s="13">
        <f>BD23*VLOOKUP('Données projet'!$B$11,Paramètres!$A$1:$I$89,3,0)*VLOOKUP('Données projet'!$B$11,Paramètres!$A$1:$I$89,5,0)</f>
        <v>34.32</v>
      </c>
      <c r="BF23" s="13">
        <f t="shared" si="37"/>
        <v>10.480008641404153</v>
      </c>
      <c r="BG23" s="20">
        <f t="shared" si="7"/>
        <v>78.026681717112226</v>
      </c>
      <c r="BH23" s="59">
        <f t="shared" si="8"/>
        <v>371.36001505044555</v>
      </c>
      <c r="BI23" s="59">
        <f ca="1">AVERAGE(OFFSET($BH$3,0,0,'Données projet'!$E$11+1,1))-AVERAGE(OFFSET($H$3,0,0,'Données projet'!$E$11+1,1))</f>
        <v>310.4018929413723</v>
      </c>
      <c r="BJ23" s="59">
        <f t="shared" si="38"/>
        <v>127.5231137583819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0.50072227264375646</v>
      </c>
      <c r="BR23" s="21">
        <f>EXP(-LN(2)/2)*BR22+(1-EXP(-LN(2)/2))/(LN(2)/2)*BL23*BO23*VLOOKUP('Données projet'!$B$11,Paramètres!$A$1:$I$89,3,0)*0.475*44/12</f>
        <v>0.80954609273142319</v>
      </c>
      <c r="BS23" s="22">
        <f t="shared" si="9"/>
        <v>1.3102683653751797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177</v>
      </c>
      <c r="BW23" s="12">
        <f>VLOOKUP(A23,'Données projet'!$A$113:$I$133,9,0)</f>
        <v>14.1</v>
      </c>
      <c r="BX23" s="12">
        <f t="array" ref="BX23">INDEX(BW:BW,MIN(IF(ISNUMBER(BW23:BW219),ROW(BW23:BW219),"")))</f>
        <v>14.1</v>
      </c>
      <c r="BY23" s="12">
        <f>IF('Données projet'!$A$114&gt;35,BY22+BX23-CG22,IF(A23&lt;'Données projet'!$A$114,$BV$205^A23,IF(A23='Données projet'!$A$114,'Données projet'!$B$114,BY22+BX23-CG22)))</f>
        <v>176.99999999999997</v>
      </c>
      <c r="BZ23" s="13">
        <f>BY23*VLOOKUP('Données projet'!$B$12,Paramètres!$A$1:$I$89,3,0)*VLOOKUP('Données projet'!$B$12,Paramètres!$A$1:$I$89,5,0)</f>
        <v>96.641999999999996</v>
      </c>
      <c r="CA23" s="13">
        <f t="shared" si="39"/>
        <v>26.160416982548217</v>
      </c>
      <c r="CB23" s="20">
        <f t="shared" si="10"/>
        <v>213.88087624460479</v>
      </c>
      <c r="CC23" s="59">
        <f t="shared" si="11"/>
        <v>507.21420957793811</v>
      </c>
      <c r="CD23" s="59">
        <f ca="1">AVERAGE(OFFSET($CC$3,0,0,'Données projet'!$E$12+1,1))-AVERAGE(OFFSET($H$3,0,0,'Données projet'!$E$12+1,1))</f>
        <v>210.04871822652808</v>
      </c>
      <c r="CE23" s="59">
        <f t="shared" si="40"/>
        <v>250.17540614049324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17.531291645290491</v>
      </c>
      <c r="CM23" s="21">
        <f>EXP(-LN(2)/2)*CM22+(1-EXP(-LN(2)/2))/(LN(2)/2)*CG23*CJ23*VLOOKUP('Données projet'!$B$12,Paramètres!$A$1:$I$89,3,0)*0.475*44/12</f>
        <v>25.037052795202737</v>
      </c>
      <c r="CN23" s="22">
        <f t="shared" si="12"/>
        <v>42.568344440493227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14.5</v>
      </c>
      <c r="N24" s="13">
        <f>IF('Données projet'!$A$36&gt;35,N23+M24-V23,IF(A24&lt;'Données projet'!$A$36,$K$205^A24,IF(A24='Données projet'!$A$36,'Données projet'!$B$36,N23+M24-V23)))</f>
        <v>81.5</v>
      </c>
      <c r="O24" s="13">
        <f>N24*VLOOKUP('Données projet'!$B$9,Paramètres!$A$1:$I$89,3,0)*VLOOKUP('Données projet'!$B$9,Paramètres!$A$1:$I$89,5,0)</f>
        <v>59.755800000000001</v>
      </c>
      <c r="P24" s="13">
        <f t="shared" si="33"/>
        <v>17.106512943588541</v>
      </c>
      <c r="Q24" s="20">
        <f t="shared" si="2"/>
        <v>133.86852837675002</v>
      </c>
      <c r="R24" s="59">
        <f t="shared" si="0"/>
        <v>427.20186171008334</v>
      </c>
      <c r="S24" s="59">
        <f ca="1">AVERAGE(OFFSET($R$3,0,0,'Données projet'!$E$9+1,1))-AVERAGE(OFFSET($H$3,0,0,'Données projet'!$E$9+1,1))</f>
        <v>234.09142087023463</v>
      </c>
      <c r="T24" s="59">
        <f t="shared" si="34"/>
        <v>278.990685815294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5.6558551146441518</v>
      </c>
      <c r="AB24" s="21">
        <f>EXP(-LN(2)/2)*AB23+(1-EXP(-LN(2)/2))/(LN(2)/2)*V24*Y24*VLOOKUP('Données projet'!$B$9,Paramètres!$A$1:$I$89,3,0)*0.475*44/12</f>
        <v>8.1936340445752478</v>
      </c>
      <c r="AC24" s="22">
        <f t="shared" si="3"/>
        <v>13.849489159219399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20.658974358974358</v>
      </c>
      <c r="AI24" s="13">
        <f>IF('Données projet'!$A$62&gt;35,AI23+AH24-AQ23,IF(A24&lt;'Données projet'!$A$62,$AF$205^A24,IF(A24='Données projet'!$A$62,'Données projet'!$B$62,AI23+AH24-AQ23)))</f>
        <v>175.58461538461535</v>
      </c>
      <c r="AJ24" s="13">
        <f>AI24*VLOOKUP('Données projet'!$B$10,Paramètres!$A$1:$I$89,3,0)*VLOOKUP('Données projet'!$B$10,Paramètres!$A$1:$I$89,5,0)</f>
        <v>98.15179999999998</v>
      </c>
      <c r="AK24" s="13">
        <f t="shared" si="35"/>
        <v>26.52121247620833</v>
      </c>
      <c r="AL24" s="20">
        <f t="shared" si="4"/>
        <v>217.13883006272945</v>
      </c>
      <c r="AM24" s="59">
        <f t="shared" si="5"/>
        <v>510.4721633960628</v>
      </c>
      <c r="AN24" s="59">
        <f ca="1">AVERAGE(OFFSET($AM$3,0,0,'Données projet'!$E$10+1,1))-AVERAGE(OFFSET($H$3,0,0,'Données projet'!$E$10+1,1))</f>
        <v>255.5374979188561</v>
      </c>
      <c r="AO24" s="59">
        <f t="shared" si="36"/>
        <v>343.10418468620901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12.95008774266787</v>
      </c>
      <c r="AW24" s="21">
        <f>EXP(-LN(2)/2)*AW23+(1-EXP(-LN(2)/2))/(LN(2)/2)*AQ24*AT24*VLOOKUP('Données projet'!$B$10,Paramètres!$A$1:$I$89,3,0)*0.475*44/12</f>
        <v>7.7519179693139169</v>
      </c>
      <c r="AX24" s="21">
        <f t="shared" si="6"/>
        <v>20.702005711981787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42.3</v>
      </c>
      <c r="BE24" s="13">
        <f>BD24*VLOOKUP('Données projet'!$B$11,Paramètres!$A$1:$I$89,3,0)*VLOOKUP('Données projet'!$B$11,Paramètres!$A$1:$I$89,5,0)</f>
        <v>36.293400000000005</v>
      </c>
      <c r="BF24" s="13">
        <f t="shared" si="37"/>
        <v>11.01072157830875</v>
      </c>
      <c r="BG24" s="20">
        <f t="shared" si="7"/>
        <v>82.388011748887735</v>
      </c>
      <c r="BH24" s="59">
        <f t="shared" si="8"/>
        <v>375.72134508222103</v>
      </c>
      <c r="BI24" s="59">
        <f ca="1">AVERAGE(OFFSET($BH$3,0,0,'Données projet'!$E$11+1,1))-AVERAGE(OFFSET($H$3,0,0,'Données projet'!$E$11+1,1))</f>
        <v>310.4018929413723</v>
      </c>
      <c r="BJ24" s="59">
        <f t="shared" si="38"/>
        <v>127.5231137583819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0.48702999576647305</v>
      </c>
      <c r="BR24" s="21">
        <f>EXP(-LN(2)/2)*BR23+(1-EXP(-LN(2)/2))/(LN(2)/2)*BL24*BO24*VLOOKUP('Données projet'!$B$11,Paramètres!$A$1:$I$89,3,0)*0.475*44/12</f>
        <v>0.57243553185346296</v>
      </c>
      <c r="BS24" s="22">
        <f t="shared" si="9"/>
        <v>1.0594655276199361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16.399999999999999</v>
      </c>
      <c r="BY24" s="12">
        <f>IF('Données projet'!$A$114&gt;35,BY23+BX24-CG23,IF(A24&lt;'Données projet'!$A$114,$BV$205^A24,IF(A24='Données projet'!$A$114,'Données projet'!$B$114,BY23+BX24-CG23)))</f>
        <v>112.39999999999998</v>
      </c>
      <c r="BZ24" s="13">
        <f>BY24*VLOOKUP('Données projet'!$B$12,Paramètres!$A$1:$I$89,3,0)*VLOOKUP('Données projet'!$B$12,Paramètres!$A$1:$I$89,5,0)</f>
        <v>61.370399999999989</v>
      </c>
      <c r="CA24" s="13">
        <f t="shared" si="39"/>
        <v>17.514292424921972</v>
      </c>
      <c r="CB24" s="20">
        <f t="shared" si="10"/>
        <v>137.39083930673908</v>
      </c>
      <c r="CC24" s="59">
        <f t="shared" si="11"/>
        <v>430.72417264007242</v>
      </c>
      <c r="CD24" s="59">
        <f ca="1">AVERAGE(OFFSET($CC$3,0,0,'Données projet'!$E$12+1,1))-AVERAGE(OFFSET($H$3,0,0,'Données projet'!$E$12+1,1))</f>
        <v>210.04871822652808</v>
      </c>
      <c r="CE24" s="59">
        <f t="shared" si="40"/>
        <v>250.17540614049324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17.051897553319463</v>
      </c>
      <c r="CM24" s="21">
        <f>EXP(-LN(2)/2)*CM23+(1-EXP(-LN(2)/2))/(LN(2)/2)*CG24*CJ24*VLOOKUP('Données projet'!$B$12,Paramètres!$A$1:$I$89,3,0)*0.475*44/12</f>
        <v>17.703869812413462</v>
      </c>
      <c r="CN24" s="22">
        <f t="shared" si="12"/>
        <v>34.755767365732922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14.5</v>
      </c>
      <c r="N25" s="13">
        <f>IF('Données projet'!$A$36&gt;35,N24+M25-V24,IF(A25&lt;'Données projet'!$A$36,$K$205^A25,IF(A25='Données projet'!$A$36,'Données projet'!$B$36,N24+M25-V24)))</f>
        <v>96</v>
      </c>
      <c r="O25" s="13">
        <f>N25*VLOOKUP('Données projet'!$B$9,Paramètres!$A$1:$I$89,3,0)*VLOOKUP('Données projet'!$B$9,Paramètres!$A$1:$I$89,5,0)</f>
        <v>70.387199999999993</v>
      </c>
      <c r="P25" s="13">
        <f t="shared" si="33"/>
        <v>19.769582086327805</v>
      </c>
      <c r="Q25" s="20">
        <f t="shared" si="2"/>
        <v>157.02306213368757</v>
      </c>
      <c r="R25" s="59">
        <f t="shared" si="0"/>
        <v>450.35639546702089</v>
      </c>
      <c r="S25" s="59">
        <f ca="1">AVERAGE(OFFSET($R$3,0,0,'Données projet'!$E$9+1,1))-AVERAGE(OFFSET($H$3,0,0,'Données projet'!$E$9+1,1))</f>
        <v>234.09142087023463</v>
      </c>
      <c r="T25" s="59">
        <f t="shared" si="34"/>
        <v>278.990685815294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5.5011954591057135</v>
      </c>
      <c r="AB25" s="21">
        <f>EXP(-LN(2)/2)*AB24+(1-EXP(-LN(2)/2))/(LN(2)/2)*V25*Y25*VLOOKUP('Données projet'!$B$9,Paramètres!$A$1:$I$89,3,0)*0.475*44/12</f>
        <v>5.7937741954801165</v>
      </c>
      <c r="AC25" s="22">
        <f t="shared" si="3"/>
        <v>11.294969654585831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20.658974358974358</v>
      </c>
      <c r="AI25" s="13">
        <f>IF('Données projet'!$A$62&gt;35,AI24+AH25-AQ24,IF(A25&lt;'Données projet'!$A$62,$AF$205^A25,IF(A25='Données projet'!$A$62,'Données projet'!$B$62,AI24+AH25-AQ24)))</f>
        <v>196.24358974358969</v>
      </c>
      <c r="AJ25" s="13">
        <f>AI25*VLOOKUP('Données projet'!$B$10,Paramètres!$A$1:$I$89,3,0)*VLOOKUP('Données projet'!$B$10,Paramètres!$A$1:$I$89,5,0)</f>
        <v>109.70016666666663</v>
      </c>
      <c r="AK25" s="13">
        <f t="shared" si="35"/>
        <v>29.260330282475415</v>
      </c>
      <c r="AL25" s="20">
        <f t="shared" si="4"/>
        <v>242.02286551975575</v>
      </c>
      <c r="AM25" s="59">
        <f t="shared" si="5"/>
        <v>535.35619885308904</v>
      </c>
      <c r="AN25" s="59">
        <f ca="1">AVERAGE(OFFSET($AM$3,0,0,'Données projet'!$E$10+1,1))-AVERAGE(OFFSET($H$3,0,0,'Données projet'!$E$10+1,1))</f>
        <v>255.5374979188561</v>
      </c>
      <c r="AO25" s="59">
        <f t="shared" si="36"/>
        <v>343.10418468620901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12.5959669123291</v>
      </c>
      <c r="AW25" s="21">
        <f>EXP(-LN(2)/2)*AW24+(1-EXP(-LN(2)/2))/(LN(2)/2)*AQ25*AT25*VLOOKUP('Données projet'!$B$10,Paramètres!$A$1:$I$89,3,0)*0.475*44/12</f>
        <v>5.4814337633037225</v>
      </c>
      <c r="AX25" s="21">
        <f t="shared" si="6"/>
        <v>18.077400675632823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48.599999999999994</v>
      </c>
      <c r="BE25" s="13">
        <f>BD25*VLOOKUP('Données projet'!$B$11,Paramètres!$A$1:$I$89,3,0)*VLOOKUP('Données projet'!$B$11,Paramètres!$A$1:$I$89,5,0)</f>
        <v>41.698800000000006</v>
      </c>
      <c r="BF25" s="13">
        <f t="shared" si="37"/>
        <v>12.447818288806266</v>
      </c>
      <c r="BG25" s="20">
        <f t="shared" si="7"/>
        <v>94.305360186337609</v>
      </c>
      <c r="BH25" s="59">
        <f t="shared" si="8"/>
        <v>387.63869351967094</v>
      </c>
      <c r="BI25" s="59">
        <f ca="1">AVERAGE(OFFSET($BH$3,0,0,'Données projet'!$E$11+1,1))-AVERAGE(OFFSET($H$3,0,0,'Données projet'!$E$11+1,1))</f>
        <v>310.4018929413723</v>
      </c>
      <c r="BJ25" s="59">
        <f t="shared" si="38"/>
        <v>127.5231137583819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0.47371213492044451</v>
      </c>
      <c r="BR25" s="21">
        <f>EXP(-LN(2)/2)*BR24+(1-EXP(-LN(2)/2))/(LN(2)/2)*BL25*BO25*VLOOKUP('Données projet'!$B$11,Paramètres!$A$1:$I$89,3,0)*0.475*44/12</f>
        <v>0.4047730463657116</v>
      </c>
      <c r="BS25" s="22">
        <f t="shared" si="9"/>
        <v>0.87848518128615605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16.399999999999999</v>
      </c>
      <c r="BY25" s="12">
        <f>IF('Données projet'!$A$114&gt;35,BY24+BX25-CG24,IF(A25&lt;'Données projet'!$A$114,$BV$205^A25,IF(A25='Données projet'!$A$114,'Données projet'!$B$114,BY24+BX25-CG24)))</f>
        <v>128.79999999999998</v>
      </c>
      <c r="BZ25" s="13">
        <f>BY25*VLOOKUP('Données projet'!$B$12,Paramètres!$A$1:$I$89,3,0)*VLOOKUP('Données projet'!$B$12,Paramètres!$A$1:$I$89,5,0)</f>
        <v>70.324799999999982</v>
      </c>
      <c r="CA25" s="13">
        <f t="shared" si="39"/>
        <v>19.754095114409182</v>
      </c>
      <c r="CB25" s="20">
        <f t="shared" si="10"/>
        <v>156.88740899092929</v>
      </c>
      <c r="CC25" s="59">
        <f t="shared" si="11"/>
        <v>450.22074232426257</v>
      </c>
      <c r="CD25" s="59">
        <f ca="1">AVERAGE(OFFSET($CC$3,0,0,'Données projet'!$E$12+1,1))-AVERAGE(OFFSET($H$3,0,0,'Données projet'!$E$12+1,1))</f>
        <v>210.04871822652808</v>
      </c>
      <c r="CE25" s="59">
        <f t="shared" si="40"/>
        <v>250.17540614049324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16.585612518003622</v>
      </c>
      <c r="CM25" s="21">
        <f>EXP(-LN(2)/2)*CM24+(1-EXP(-LN(2)/2))/(LN(2)/2)*CG25*CJ25*VLOOKUP('Données projet'!$B$12,Paramètres!$A$1:$I$89,3,0)*0.475*44/12</f>
        <v>12.51852639760137</v>
      </c>
      <c r="CN25" s="22">
        <f t="shared" si="12"/>
        <v>29.104138915604992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14.5</v>
      </c>
      <c r="N26" s="13">
        <f>IF('Données projet'!$A$36&gt;35,N25+M26-V25,IF(A26&lt;'Données projet'!$A$36,$K$205^A26,IF(A26='Données projet'!$A$36,'Données projet'!$B$36,N25+M26-V25)))</f>
        <v>110.5</v>
      </c>
      <c r="O26" s="13">
        <f>N26*VLOOKUP('Données projet'!$B$9,Paramètres!$A$1:$I$89,3,0)*VLOOKUP('Données projet'!$B$9,Paramètres!$A$1:$I$89,5,0)</f>
        <v>81.018599999999992</v>
      </c>
      <c r="P26" s="13">
        <f t="shared" si="33"/>
        <v>22.386053436560296</v>
      </c>
      <c r="Q26" s="20">
        <f t="shared" si="2"/>
        <v>180.09643806867584</v>
      </c>
      <c r="R26" s="59">
        <f t="shared" si="0"/>
        <v>473.42977140200912</v>
      </c>
      <c r="S26" s="59">
        <f ca="1">AVERAGE(OFFSET($R$3,0,0,'Données projet'!$E$9+1,1))-AVERAGE(OFFSET($H$3,0,0,'Données projet'!$E$9+1,1))</f>
        <v>234.09142087023463</v>
      </c>
      <c r="T26" s="59">
        <f t="shared" si="34"/>
        <v>278.990685815294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5.3507649799811716</v>
      </c>
      <c r="AB26" s="21">
        <f>EXP(-LN(2)/2)*AB25+(1-EXP(-LN(2)/2))/(LN(2)/2)*V26*Y26*VLOOKUP('Données projet'!$B$9,Paramètres!$A$1:$I$89,3,0)*0.475*44/12</f>
        <v>4.0968170222876248</v>
      </c>
      <c r="AC26" s="22">
        <f t="shared" si="3"/>
        <v>9.4475820022687955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20.658974358974358</v>
      </c>
      <c r="AI26" s="13">
        <f>IF('Données projet'!$A$62&gt;35,AI25+AH26-AQ25,IF(A26&lt;'Données projet'!$A$62,$AF$205^A26,IF(A26='Données projet'!$A$62,'Données projet'!$B$62,AI25+AH26-AQ25)))</f>
        <v>216.90256410256404</v>
      </c>
      <c r="AJ26" s="13">
        <f>AI26*VLOOKUP('Données projet'!$B$10,Paramètres!$A$1:$I$89,3,0)*VLOOKUP('Données projet'!$B$10,Paramètres!$A$1:$I$89,5,0)</f>
        <v>121.2485333333333</v>
      </c>
      <c r="AK26" s="13">
        <f t="shared" si="35"/>
        <v>31.966023537079113</v>
      </c>
      <c r="AL26" s="20">
        <f t="shared" si="4"/>
        <v>266.84868654930165</v>
      </c>
      <c r="AM26" s="59">
        <f t="shared" si="5"/>
        <v>560.1820198826349</v>
      </c>
      <c r="AN26" s="59">
        <f ca="1">AVERAGE(OFFSET($AM$3,0,0,'Données projet'!$E$10+1,1))-AVERAGE(OFFSET($H$3,0,0,'Données projet'!$E$10+1,1))</f>
        <v>255.5374979188561</v>
      </c>
      <c r="AO26" s="59">
        <f t="shared" si="36"/>
        <v>343.10418468620901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12.251529534718349</v>
      </c>
      <c r="AW26" s="21">
        <f>EXP(-LN(2)/2)*AW25+(1-EXP(-LN(2)/2))/(LN(2)/2)*AQ26*AT26*VLOOKUP('Données projet'!$B$10,Paramètres!$A$1:$I$89,3,0)*0.475*44/12</f>
        <v>3.8759589846569593</v>
      </c>
      <c r="AX26" s="21">
        <f t="shared" si="6"/>
        <v>16.127488519375309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54.899999999999991</v>
      </c>
      <c r="BE26" s="13">
        <f>BD26*VLOOKUP('Données projet'!$B$11,Paramètres!$A$1:$I$89,3,0)*VLOOKUP('Données projet'!$B$11,Paramètres!$A$1:$I$89,5,0)</f>
        <v>47.104199999999999</v>
      </c>
      <c r="BF26" s="13">
        <f t="shared" si="37"/>
        <v>13.863329832294768</v>
      </c>
      <c r="BG26" s="20">
        <f t="shared" si="7"/>
        <v>106.18511445791337</v>
      </c>
      <c r="BH26" s="59">
        <f t="shared" si="8"/>
        <v>399.51844779124667</v>
      </c>
      <c r="BI26" s="59">
        <f ca="1">AVERAGE(OFFSET($BH$3,0,0,'Données projet'!$E$11+1,1))-AVERAGE(OFFSET($H$3,0,0,'Données projet'!$E$11+1,1))</f>
        <v>310.4018929413723</v>
      </c>
      <c r="BJ26" s="59">
        <f t="shared" si="38"/>
        <v>127.5231137583819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0.46075845167960644</v>
      </c>
      <c r="BR26" s="21">
        <f>EXP(-LN(2)/2)*BR25+(1-EXP(-LN(2)/2))/(LN(2)/2)*BL26*BO26*VLOOKUP('Données projet'!$B$11,Paramètres!$A$1:$I$89,3,0)*0.475*44/12</f>
        <v>0.28621776592673148</v>
      </c>
      <c r="BS26" s="22">
        <f t="shared" si="9"/>
        <v>0.74697621760633792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16.399999999999999</v>
      </c>
      <c r="BY26" s="12">
        <f>IF('Données projet'!$A$114&gt;35,BY25+BX26-CG25,IF(A26&lt;'Données projet'!$A$114,$BV$205^A26,IF(A26='Données projet'!$A$114,'Données projet'!$B$114,BY25+BX26-CG25)))</f>
        <v>145.19999999999999</v>
      </c>
      <c r="BZ26" s="13">
        <f>BY26*VLOOKUP('Données projet'!$B$12,Paramètres!$A$1:$I$89,3,0)*VLOOKUP('Données projet'!$B$12,Paramètres!$A$1:$I$89,5,0)</f>
        <v>79.279199999999989</v>
      </c>
      <c r="CA26" s="13">
        <f t="shared" si="39"/>
        <v>21.960852053344638</v>
      </c>
      <c r="CB26" s="20">
        <f t="shared" si="10"/>
        <v>176.32642399290856</v>
      </c>
      <c r="CC26" s="59">
        <f t="shared" si="11"/>
        <v>469.6597573262419</v>
      </c>
      <c r="CD26" s="59">
        <f ca="1">AVERAGE(OFFSET($CC$3,0,0,'Données projet'!$E$12+1,1))-AVERAGE(OFFSET($H$3,0,0,'Données projet'!$E$12+1,1))</f>
        <v>210.04871822652808</v>
      </c>
      <c r="CE26" s="59">
        <f t="shared" si="40"/>
        <v>250.17540614049324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16.132078071499357</v>
      </c>
      <c r="CM26" s="21">
        <f>EXP(-LN(2)/2)*CM25+(1-EXP(-LN(2)/2))/(LN(2)/2)*CG26*CJ26*VLOOKUP('Données projet'!$B$12,Paramètres!$A$1:$I$89,3,0)*0.475*44/12</f>
        <v>8.851934906206731</v>
      </c>
      <c r="CN26" s="22">
        <f t="shared" si="12"/>
        <v>24.984012977706087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14.5</v>
      </c>
      <c r="N27" s="13">
        <f>IF('Données projet'!$A$36&gt;35,N26+M27-V26,IF(A27&lt;'Données projet'!$A$36,$K$205^A27,IF(A27='Données projet'!$A$36,'Données projet'!$B$36,N26+M27-V26)))</f>
        <v>125</v>
      </c>
      <c r="O27" s="13">
        <f>N27*VLOOKUP('Données projet'!$B$9,Paramètres!$A$1:$I$89,3,0)*VLOOKUP('Données projet'!$B$9,Paramètres!$A$1:$I$89,5,0)</f>
        <v>91.65</v>
      </c>
      <c r="P27" s="13">
        <f t="shared" si="33"/>
        <v>24.962743528770854</v>
      </c>
      <c r="Q27" s="20">
        <f t="shared" si="2"/>
        <v>203.10052831260927</v>
      </c>
      <c r="R27" s="59">
        <f t="shared" si="0"/>
        <v>496.43386164594256</v>
      </c>
      <c r="S27" s="59">
        <f ca="1">AVERAGE(OFFSET($R$3,0,0,'Données projet'!$E$9+1,1))-AVERAGE(OFFSET($H$3,0,0,'Données projet'!$E$9+1,1))</f>
        <v>234.09142087023463</v>
      </c>
      <c r="T27" s="59">
        <f t="shared" si="34"/>
        <v>278.990685815294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5.2044480302190852</v>
      </c>
      <c r="AB27" s="21">
        <f>EXP(-LN(2)/2)*AB26+(1-EXP(-LN(2)/2))/(LN(2)/2)*V27*Y27*VLOOKUP('Données projet'!$B$9,Paramètres!$A$1:$I$89,3,0)*0.475*44/12</f>
        <v>2.8968870977400587</v>
      </c>
      <c r="AC27" s="22">
        <f t="shared" si="3"/>
        <v>8.1013351279591443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237.56153846153845</v>
      </c>
      <c r="AG27" s="12">
        <f>VLOOKUP(A27,'Données projet'!$A$61:$I$81,9,0)</f>
        <v>20.658974358974358</v>
      </c>
      <c r="AH27" s="12">
        <f t="array" ref="AH27">INDEX(AG:AG,MIN(IF(ISNUMBER(AG27:AG223),ROW(AG27:AG223),"")))</f>
        <v>20.658974358974358</v>
      </c>
      <c r="AI27" s="13">
        <f>IF('Données projet'!$A$62&gt;35,AI26+AH27-AQ26,IF(A27&lt;'Données projet'!$A$62,$AF$205^A27,IF(A27='Données projet'!$A$62,'Données projet'!$B$62,AI26+AH27-AQ26)))</f>
        <v>237.56153846153839</v>
      </c>
      <c r="AJ27" s="13">
        <f>AI27*VLOOKUP('Données projet'!$B$10,Paramètres!$A$1:$I$89,3,0)*VLOOKUP('Données projet'!$B$10,Paramètres!$A$1:$I$89,5,0)</f>
        <v>132.79689999999997</v>
      </c>
      <c r="AK27" s="13">
        <f t="shared" si="35"/>
        <v>34.641837967861036</v>
      </c>
      <c r="AL27" s="20">
        <f t="shared" si="4"/>
        <v>291.62246862735793</v>
      </c>
      <c r="AM27" s="59">
        <f t="shared" si="5"/>
        <v>584.95580196069125</v>
      </c>
      <c r="AN27" s="59">
        <f ca="1">AVERAGE(OFFSET($AM$3,0,0,'Données projet'!$E$10+1,1))-AVERAGE(OFFSET($H$3,0,0,'Données projet'!$E$10+1,1))</f>
        <v>255.5374979188561</v>
      </c>
      <c r="AO27" s="59">
        <f t="shared" si="36"/>
        <v>343.10418468620901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42.661538461538463</v>
      </c>
      <c r="AR27" s="16">
        <f>IF(ISNA(VLOOKUP(A27,'Données projet'!$A$61:$I$81,5,0)),0%,VLOOKUP(A27,'Données projet'!$A$61:$I$81,5,0)*VLOOKUP('Données projet'!$B$10,Paramètres!$A$1:$I$89,7,0))</f>
        <v>0.11000000000000001</v>
      </c>
      <c r="AS27" s="16">
        <f>IF(ISNA(VLOOKUP(A27,'Données projet'!$A$61:$I$81,6,0)),0%,VLOOKUP(A27,'Données projet'!$A$61:$I$81,6,0)*VLOOKUP('Données projet'!$B$10,Paramètres!$A$1:$I$89,7,0))</f>
        <v>0.22000000000000003</v>
      </c>
      <c r="AT27" s="16">
        <f>IF(ISNA(VLOOKUP(A27,'Données projet'!$A$61:$I$81,7,0)),0%,VLOOKUP(A27,'Données projet'!$A$61:$I$81,7,0))</f>
        <v>0.4</v>
      </c>
      <c r="AU27" s="21">
        <f>EXP(-LN(2)/35)*AU26+(1-EXP(-LN(2)/35))/(LN(2)/35)*AQ27*AR27*VLOOKUP('Données projet'!$B$10,Paramètres!$A$1:$I$89,3,0)*0.475*44/12</f>
        <v>3.4799208202474183</v>
      </c>
      <c r="AV27" s="21">
        <f>EXP(-LN(2)/25)*AV26+(1-EXP(-LN(2)/25))/(LN(2)/25)*Calculateur!AQ27*Calculateur!AS27*VLOOKUP('Données projet'!$B$10,Paramètres!$A$1:$I$89,3,0)*0.475*44/12</f>
        <v>18.848948907360175</v>
      </c>
      <c r="AW27" s="21">
        <f>EXP(-LN(2)/2)*AW26+(1-EXP(-LN(2)/2))/(LN(2)/2)*AQ27*AT27*VLOOKUP('Données projet'!$B$10,Paramètres!$A$1:$I$89,3,0)*0.475*44/12</f>
        <v>13.541216635632523</v>
      </c>
      <c r="AX27" s="21">
        <f t="shared" si="6"/>
        <v>35.870086363240119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61.199999999999989</v>
      </c>
      <c r="BE27" s="13">
        <f>BD27*VLOOKUP('Données projet'!$B$11,Paramètres!$A$1:$I$89,3,0)*VLOOKUP('Données projet'!$B$11,Paramètres!$A$1:$I$89,5,0)</f>
        <v>52.509599999999999</v>
      </c>
      <c r="BF27" s="13">
        <f t="shared" si="37"/>
        <v>15.260016001659478</v>
      </c>
      <c r="BG27" s="20">
        <f t="shared" si="7"/>
        <v>118.03208120289025</v>
      </c>
      <c r="BH27" s="59">
        <f t="shared" si="8"/>
        <v>411.36541453622357</v>
      </c>
      <c r="BI27" s="59">
        <f ca="1">AVERAGE(OFFSET($BH$3,0,0,'Données projet'!$E$11+1,1))-AVERAGE(OFFSET($H$3,0,0,'Données projet'!$E$11+1,1))</f>
        <v>310.4018929413723</v>
      </c>
      <c r="BJ27" s="59">
        <f t="shared" si="38"/>
        <v>127.5231137583819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0.44815898758819372</v>
      </c>
      <c r="BR27" s="21">
        <f>EXP(-LN(2)/2)*BR26+(1-EXP(-LN(2)/2))/(LN(2)/2)*BL27*BO27*VLOOKUP('Données projet'!$B$11,Paramètres!$A$1:$I$89,3,0)*0.475*44/12</f>
        <v>0.2023865231828558</v>
      </c>
      <c r="BS27" s="22">
        <f t="shared" si="9"/>
        <v>0.6505455107710495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16.399999999999999</v>
      </c>
      <c r="BY27" s="12">
        <f>IF('Données projet'!$A$114&gt;35,BY26+BX27-CG26,IF(A27&lt;'Données projet'!$A$114,$BV$205^A27,IF(A27='Données projet'!$A$114,'Données projet'!$B$114,BY26+BX27-CG26)))</f>
        <v>161.6</v>
      </c>
      <c r="BZ27" s="13">
        <f>BY27*VLOOKUP('Données projet'!$B$12,Paramètres!$A$1:$I$89,3,0)*VLOOKUP('Données projet'!$B$12,Paramètres!$A$1:$I$89,5,0)</f>
        <v>88.23360000000001</v>
      </c>
      <c r="CA27" s="13">
        <f t="shared" si="39"/>
        <v>24.138721634312098</v>
      </c>
      <c r="CB27" s="20">
        <f t="shared" si="10"/>
        <v>195.7151268464269</v>
      </c>
      <c r="CC27" s="59">
        <f t="shared" si="11"/>
        <v>489.04846017976024</v>
      </c>
      <c r="CD27" s="59">
        <f ca="1">AVERAGE(OFFSET($CC$3,0,0,'Données projet'!$E$12+1,1))-AVERAGE(OFFSET($H$3,0,0,'Données projet'!$E$12+1,1))</f>
        <v>210.04871822652808</v>
      </c>
      <c r="CE27" s="59">
        <f t="shared" si="40"/>
        <v>250.17540614049324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15.690945548285091</v>
      </c>
      <c r="CM27" s="21">
        <f>EXP(-LN(2)/2)*CM26+(1-EXP(-LN(2)/2))/(LN(2)/2)*CG27*CJ27*VLOOKUP('Données projet'!$B$12,Paramètres!$A$1:$I$89,3,0)*0.475*44/12</f>
        <v>6.259263198800685</v>
      </c>
      <c r="CN27" s="22">
        <f t="shared" si="12"/>
        <v>21.950208747085775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14.5</v>
      </c>
      <c r="N28" s="13">
        <f>IF('Données projet'!$A$36&gt;35,N27+M28-V27,IF(A28&lt;'Données projet'!$A$36,$K$205^A28,IF(A28='Données projet'!$A$36,'Données projet'!$B$36,N27+M28-V27)))</f>
        <v>139.5</v>
      </c>
      <c r="O28" s="13">
        <f>N28*VLOOKUP('Données projet'!$B$9,Paramètres!$A$1:$I$89,3,0)*VLOOKUP('Données projet'!$B$9,Paramètres!$A$1:$I$89,5,0)</f>
        <v>102.2814</v>
      </c>
      <c r="P28" s="13">
        <f t="shared" si="33"/>
        <v>27.504794030836063</v>
      </c>
      <c r="Q28" s="20">
        <f t="shared" si="2"/>
        <v>226.04428793703948</v>
      </c>
      <c r="R28" s="59">
        <f t="shared" si="0"/>
        <v>519.37762127037286</v>
      </c>
      <c r="S28" s="59">
        <f ca="1">AVERAGE(OFFSET($R$3,0,0,'Données projet'!$E$9+1,1))-AVERAGE(OFFSET($H$3,0,0,'Données projet'!$E$9+1,1))</f>
        <v>234.09142087023463</v>
      </c>
      <c r="T28" s="59">
        <f t="shared" si="34"/>
        <v>278.990685815294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5.0621321251427176</v>
      </c>
      <c r="AB28" s="21">
        <f>EXP(-LN(2)/2)*AB27+(1-EXP(-LN(2)/2))/(LN(2)/2)*V28*Y28*VLOOKUP('Données projet'!$B$9,Paramètres!$A$1:$I$89,3,0)*0.475*44/12</f>
        <v>2.0484085111438124</v>
      </c>
      <c r="AC28" s="22">
        <f t="shared" si="3"/>
        <v>7.1105406362865295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22.828205128205127</v>
      </c>
      <c r="AI28" s="13">
        <f>IF('Données projet'!$A$62&gt;35,AI27+AH28-AQ27,IF(A28&lt;'Données projet'!$A$62,$AF$205^A28,IF(A28='Données projet'!$A$62,'Données projet'!$B$62,AI27+AH28-AQ27)))</f>
        <v>217.72820512820502</v>
      </c>
      <c r="AJ28" s="13">
        <f>AI28*VLOOKUP('Données projet'!$B$10,Paramètres!$A$1:$I$89,3,0)*VLOOKUP('Données projet'!$B$10,Paramètres!$A$1:$I$89,5,0)</f>
        <v>121.71006666666661</v>
      </c>
      <c r="AK28" s="13">
        <f t="shared" si="35"/>
        <v>32.073515207801002</v>
      </c>
      <c r="AL28" s="20">
        <f t="shared" si="4"/>
        <v>267.83973843136442</v>
      </c>
      <c r="AM28" s="59">
        <f t="shared" si="5"/>
        <v>561.17307176469774</v>
      </c>
      <c r="AN28" s="59">
        <f ca="1">AVERAGE(OFFSET($AM$3,0,0,'Données projet'!$E$10+1,1))-AVERAGE(OFFSET($H$3,0,0,'Données projet'!$E$10+1,1))</f>
        <v>255.5374979188561</v>
      </c>
      <c r="AO28" s="59">
        <f t="shared" si="36"/>
        <v>343.10418468620901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3.4116816955044831</v>
      </c>
      <c r="AV28" s="21">
        <f>EXP(-LN(2)/25)*AV27+(1-EXP(-LN(2)/25))/(LN(2)/25)*Calculateur!AQ28*Calculateur!AS28*VLOOKUP('Données projet'!$B$10,Paramètres!$A$1:$I$89,3,0)*0.475*44/12</f>
        <v>18.333523408265268</v>
      </c>
      <c r="AW28" s="21">
        <f>EXP(-LN(2)/2)*AW27+(1-EXP(-LN(2)/2))/(LN(2)/2)*AQ28*AT28*VLOOKUP('Données projet'!$B$10,Paramètres!$A$1:$I$89,3,0)*0.475*44/12</f>
        <v>9.5750861085718437</v>
      </c>
      <c r="AX28" s="21">
        <f t="shared" si="6"/>
        <v>31.320291212341594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67.499999999999986</v>
      </c>
      <c r="BE28" s="13">
        <f>BD28*VLOOKUP('Données projet'!$B$11,Paramètres!$A$1:$I$89,3,0)*VLOOKUP('Données projet'!$B$11,Paramètres!$A$1:$I$89,5,0)</f>
        <v>57.914999999999992</v>
      </c>
      <c r="BF28" s="13">
        <f t="shared" si="37"/>
        <v>16.640035408149114</v>
      </c>
      <c r="BG28" s="20">
        <f t="shared" si="7"/>
        <v>129.85002000252635</v>
      </c>
      <c r="BH28" s="59">
        <f t="shared" si="8"/>
        <v>423.18335333585969</v>
      </c>
      <c r="BI28" s="59">
        <f ca="1">AVERAGE(OFFSET($BH$3,0,0,'Données projet'!$E$11+1,1))-AVERAGE(OFFSET($H$3,0,0,'Données projet'!$E$11+1,1))</f>
        <v>310.4018929413723</v>
      </c>
      <c r="BJ28" s="59">
        <f t="shared" si="38"/>
        <v>127.5231137583819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0.43590405650493769</v>
      </c>
      <c r="BR28" s="21">
        <f>EXP(-LN(2)/2)*BR27+(1-EXP(-LN(2)/2))/(LN(2)/2)*BL28*BO28*VLOOKUP('Données projet'!$B$11,Paramètres!$A$1:$I$89,3,0)*0.475*44/12</f>
        <v>0.14310888296336574</v>
      </c>
      <c r="BS28" s="22">
        <f t="shared" si="9"/>
        <v>0.57901293946830346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16.399999999999999</v>
      </c>
      <c r="BY28" s="12">
        <f>IF('Données projet'!$A$114&gt;35,BY27+BX28-CG27,IF(A28&lt;'Données projet'!$A$114,$BV$205^A28,IF(A28='Données projet'!$A$114,'Données projet'!$B$114,BY27+BX28-CG27)))</f>
        <v>178</v>
      </c>
      <c r="BZ28" s="13">
        <f>BY28*VLOOKUP('Données projet'!$B$12,Paramètres!$A$1:$I$89,3,0)*VLOOKUP('Données projet'!$B$12,Paramètres!$A$1:$I$89,5,0)</f>
        <v>97.187999999999988</v>
      </c>
      <c r="CA28" s="13">
        <f t="shared" si="39"/>
        <v>26.290969297460332</v>
      </c>
      <c r="CB28" s="20">
        <f t="shared" si="10"/>
        <v>215.0592048597434</v>
      </c>
      <c r="CC28" s="59">
        <f t="shared" si="11"/>
        <v>508.39253819307669</v>
      </c>
      <c r="CD28" s="59">
        <f ca="1">AVERAGE(OFFSET($CC$3,0,0,'Données projet'!$E$12+1,1))-AVERAGE(OFFSET($H$3,0,0,'Données projet'!$E$12+1,1))</f>
        <v>210.04871822652808</v>
      </c>
      <c r="CE28" s="59">
        <f t="shared" si="40"/>
        <v>250.17540614049324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15.261875817116271</v>
      </c>
      <c r="CM28" s="21">
        <f>EXP(-LN(2)/2)*CM27+(1-EXP(-LN(2)/2))/(LN(2)/2)*CG28*CJ28*VLOOKUP('Données projet'!$B$12,Paramètres!$A$1:$I$89,3,0)*0.475*44/12</f>
        <v>4.4259674531033655</v>
      </c>
      <c r="CN28" s="22">
        <f t="shared" si="12"/>
        <v>19.687843270219638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14.5</v>
      </c>
      <c r="N29" s="13">
        <f>IF('Données projet'!$A$36&gt;35,N28+M29-V28,IF(A29&lt;'Données projet'!$A$36,$K$205^A29,IF(A29='Données projet'!$A$36,'Données projet'!$B$36,N28+M29-V28)))</f>
        <v>154</v>
      </c>
      <c r="O29" s="13">
        <f>N29*VLOOKUP('Données projet'!$B$9,Paramètres!$A$1:$I$89,3,0)*VLOOKUP('Données projet'!$B$9,Paramètres!$A$1:$I$89,5,0)</f>
        <v>112.91279999999999</v>
      </c>
      <c r="P29" s="13">
        <f t="shared" si="33"/>
        <v>30.016215601722575</v>
      </c>
      <c r="Q29" s="20">
        <f t="shared" si="2"/>
        <v>248.93470217300015</v>
      </c>
      <c r="R29" s="59">
        <f t="shared" si="0"/>
        <v>542.26803550633349</v>
      </c>
      <c r="S29" s="59">
        <f ca="1">AVERAGE(OFFSET($R$3,0,0,'Données projet'!$E$9+1,1))-AVERAGE(OFFSET($H$3,0,0,'Données projet'!$E$9+1,1))</f>
        <v>234.09142087023463</v>
      </c>
      <c r="T29" s="59">
        <f t="shared" si="34"/>
        <v>278.990685815294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4.9237078559747314</v>
      </c>
      <c r="AB29" s="21">
        <f>EXP(-LN(2)/2)*AB28+(1-EXP(-LN(2)/2))/(LN(2)/2)*V29*Y29*VLOOKUP('Données projet'!$B$9,Paramètres!$A$1:$I$89,3,0)*0.475*44/12</f>
        <v>1.4484435488700294</v>
      </c>
      <c r="AC29" s="22">
        <f t="shared" si="3"/>
        <v>6.3721514048447609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22.828205128205127</v>
      </c>
      <c r="AI29" s="13">
        <f>IF('Données projet'!$A$62&gt;35,AI28+AH29-AQ28,IF(A29&lt;'Données projet'!$A$62,$AF$205^A29,IF(A29='Données projet'!$A$62,'Données projet'!$B$62,AI28+AH29-AQ28)))</f>
        <v>240.55641025641015</v>
      </c>
      <c r="AJ29" s="13">
        <f>AI29*VLOOKUP('Données projet'!$B$10,Paramètres!$A$1:$I$89,3,0)*VLOOKUP('Données projet'!$B$10,Paramètres!$A$1:$I$89,5,0)</f>
        <v>134.47103333333328</v>
      </c>
      <c r="AK29" s="13">
        <f t="shared" si="35"/>
        <v>35.027441907439481</v>
      </c>
      <c r="AL29" s="20">
        <f t="shared" si="4"/>
        <v>295.20984437767919</v>
      </c>
      <c r="AM29" s="59">
        <f t="shared" si="5"/>
        <v>588.5431777110125</v>
      </c>
      <c r="AN29" s="59">
        <f ca="1">AVERAGE(OFFSET($AM$3,0,0,'Données projet'!$E$10+1,1))-AVERAGE(OFFSET($H$3,0,0,'Données projet'!$E$10+1,1))</f>
        <v>255.5374979188561</v>
      </c>
      <c r="AO29" s="59">
        <f t="shared" si="36"/>
        <v>343.10418468620901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3.3447806983760007</v>
      </c>
      <c r="AV29" s="21">
        <f>EXP(-LN(2)/25)*AV28+(1-EXP(-LN(2)/25))/(LN(2)/25)*Calculateur!AQ29*Calculateur!AS29*VLOOKUP('Données projet'!$B$10,Paramètres!$A$1:$I$89,3,0)*0.475*44/12</f>
        <v>17.832192246548161</v>
      </c>
      <c r="AW29" s="21">
        <f>EXP(-LN(2)/2)*AW28+(1-EXP(-LN(2)/2))/(LN(2)/2)*AQ29*AT29*VLOOKUP('Données projet'!$B$10,Paramètres!$A$1:$I$89,3,0)*0.475*44/12</f>
        <v>6.7706083178162624</v>
      </c>
      <c r="AX29" s="21">
        <f t="shared" si="6"/>
        <v>27.947581262740421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73.799999999999983</v>
      </c>
      <c r="BE29" s="13">
        <f>BD29*VLOOKUP('Données projet'!$B$11,Paramètres!$A$1:$I$89,3,0)*VLOOKUP('Données projet'!$B$11,Paramètres!$A$1:$I$89,5,0)</f>
        <v>63.320399999999999</v>
      </c>
      <c r="BF29" s="13">
        <f t="shared" si="37"/>
        <v>18.005120560903215</v>
      </c>
      <c r="BG29" s="20">
        <f t="shared" si="7"/>
        <v>141.64194831023977</v>
      </c>
      <c r="BH29" s="59">
        <f t="shared" si="8"/>
        <v>434.97528164357311</v>
      </c>
      <c r="BI29" s="59">
        <f ca="1">AVERAGE(OFFSET($BH$3,0,0,'Données projet'!$E$11+1,1))-AVERAGE(OFFSET($H$3,0,0,'Données projet'!$E$11+1,1))</f>
        <v>310.4018929413723</v>
      </c>
      <c r="BJ29" s="59">
        <f t="shared" si="38"/>
        <v>127.5231137583819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0.4239842371566121</v>
      </c>
      <c r="BR29" s="21">
        <f>EXP(-LN(2)/2)*BR28+(1-EXP(-LN(2)/2))/(LN(2)/2)*BL29*BO29*VLOOKUP('Données projet'!$B$11,Paramètres!$A$1:$I$89,3,0)*0.475*44/12</f>
        <v>0.1011932615914279</v>
      </c>
      <c r="BS29" s="22">
        <f t="shared" si="9"/>
        <v>0.52517749874803998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194.4</v>
      </c>
      <c r="BZ29" s="13">
        <f>BY29*VLOOKUP('Données projet'!$B$12,Paramètres!$A$1:$I$89,3,0)*VLOOKUP('Données projet'!$B$12,Paramètres!$A$1:$I$89,5,0)</f>
        <v>106.14239999999999</v>
      </c>
      <c r="CA29" s="13">
        <f t="shared" si="39"/>
        <v>28.420224211524975</v>
      </c>
      <c r="CB29" s="20">
        <f t="shared" si="10"/>
        <v>234.36323716840596</v>
      </c>
      <c r="CC29" s="59">
        <f t="shared" si="11"/>
        <v>527.6965705017393</v>
      </c>
      <c r="CD29" s="59">
        <f ca="1">AVERAGE(OFFSET($CC$3,0,0,'Données projet'!$E$12+1,1))-AVERAGE(OFFSET($H$3,0,0,'Données projet'!$E$12+1,1))</f>
        <v>210.04871822652808</v>
      </c>
      <c r="CE29" s="59">
        <f t="shared" si="40"/>
        <v>250.17540614049324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14.844539020310059</v>
      </c>
      <c r="CM29" s="21">
        <f>EXP(-LN(2)/2)*CM28+(1-EXP(-LN(2)/2))/(LN(2)/2)*CG29*CJ29*VLOOKUP('Données projet'!$B$12,Paramètres!$A$1:$I$89,3,0)*0.475*44/12</f>
        <v>3.1296315994003425</v>
      </c>
      <c r="CN29" s="22">
        <f t="shared" si="12"/>
        <v>17.974170619710399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14.5</v>
      </c>
      <c r="N30" s="13">
        <f>IF('Données projet'!$A$36&gt;35,N29+M30-V29,IF(A30&lt;'Données projet'!$A$36,$K$205^A30,IF(A30='Données projet'!$A$36,'Données projet'!$B$36,N29+M30-V29)))</f>
        <v>168.5</v>
      </c>
      <c r="O30" s="13">
        <f>N30*VLOOKUP('Données projet'!$B$9,Paramètres!$A$1:$I$89,3,0)*VLOOKUP('Données projet'!$B$9,Paramètres!$A$1:$I$89,5,0)</f>
        <v>123.54419999999999</v>
      </c>
      <c r="P30" s="13">
        <f t="shared" si="33"/>
        <v>32.500220200577459</v>
      </c>
      <c r="Q30" s="20">
        <f t="shared" si="2"/>
        <v>271.77736518267238</v>
      </c>
      <c r="R30" s="59">
        <f t="shared" si="0"/>
        <v>565.11069851600564</v>
      </c>
      <c r="S30" s="59">
        <f ca="1">AVERAGE(OFFSET($R$3,0,0,'Données projet'!$E$9+1,1))-AVERAGE(OFFSET($H$3,0,0,'Données projet'!$E$9+1,1))</f>
        <v>234.09142087023463</v>
      </c>
      <c r="T30" s="59">
        <f t="shared" si="34"/>
        <v>278.990685815294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4.7890688057265596</v>
      </c>
      <c r="AB30" s="21">
        <f>EXP(-LN(2)/2)*AB29+(1-EXP(-LN(2)/2))/(LN(2)/2)*V30*Y30*VLOOKUP('Données projet'!$B$9,Paramètres!$A$1:$I$89,3,0)*0.475*44/12</f>
        <v>1.0242042555719062</v>
      </c>
      <c r="AC30" s="22">
        <f t="shared" si="3"/>
        <v>5.8132730612984655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22.828205128205127</v>
      </c>
      <c r="AI30" s="13">
        <f>IF('Données projet'!$A$62&gt;35,AI29+AH30-AQ29,IF(A30&lt;'Données projet'!$A$62,$AF$205^A30,IF(A30='Données projet'!$A$62,'Données projet'!$B$62,AI29+AH30-AQ29)))</f>
        <v>263.38461538461524</v>
      </c>
      <c r="AJ30" s="13">
        <f>AI30*VLOOKUP('Données projet'!$B$10,Paramètres!$A$1:$I$89,3,0)*VLOOKUP('Données projet'!$B$10,Paramètres!$A$1:$I$89,5,0)</f>
        <v>147.23199999999994</v>
      </c>
      <c r="AK30" s="13">
        <f t="shared" si="35"/>
        <v>37.948867426510738</v>
      </c>
      <c r="AL30" s="20">
        <f t="shared" si="4"/>
        <v>322.52334410117277</v>
      </c>
      <c r="AM30" s="59">
        <f t="shared" si="5"/>
        <v>615.85667743450608</v>
      </c>
      <c r="AN30" s="59">
        <f ca="1">AVERAGE(OFFSET($AM$3,0,0,'Données projet'!$E$10+1,1))-AVERAGE(OFFSET($H$3,0,0,'Données projet'!$E$10+1,1))</f>
        <v>255.5374979188561</v>
      </c>
      <c r="AO30" s="59">
        <f t="shared" si="36"/>
        <v>343.10418468620901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3.2791915889956287</v>
      </c>
      <c r="AV30" s="21">
        <f>EXP(-LN(2)/25)*AV29+(1-EXP(-LN(2)/25))/(LN(2)/25)*Calculateur!AQ30*Calculateur!AS30*VLOOKUP('Données projet'!$B$10,Paramètres!$A$1:$I$89,3,0)*0.475*44/12</f>
        <v>17.344570011812067</v>
      </c>
      <c r="AW30" s="21">
        <f>EXP(-LN(2)/2)*AW29+(1-EXP(-LN(2)/2))/(LN(2)/2)*AQ30*AT30*VLOOKUP('Données projet'!$B$10,Paramètres!$A$1:$I$89,3,0)*0.475*44/12</f>
        <v>4.7875430542859228</v>
      </c>
      <c r="AX30" s="21">
        <f t="shared" si="6"/>
        <v>25.41130465509362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80.09999999999998</v>
      </c>
      <c r="BE30" s="13">
        <f>BD30*VLOOKUP('Données projet'!$B$11,Paramètres!$A$1:$I$89,3,0)*VLOOKUP('Données projet'!$B$11,Paramètres!$A$1:$I$89,5,0)</f>
        <v>68.725799999999992</v>
      </c>
      <c r="BF30" s="13">
        <f t="shared" si="37"/>
        <v>19.356691283390781</v>
      </c>
      <c r="BG30" s="20">
        <f t="shared" si="7"/>
        <v>153.41033898523892</v>
      </c>
      <c r="BH30" s="59">
        <f t="shared" si="8"/>
        <v>446.74367231857224</v>
      </c>
      <c r="BI30" s="59">
        <f ca="1">AVERAGE(OFFSET($BH$3,0,0,'Données projet'!$E$11+1,1))-AVERAGE(OFFSET($H$3,0,0,'Données projet'!$E$11+1,1))</f>
        <v>310.4018929413723</v>
      </c>
      <c r="BJ30" s="59">
        <f t="shared" si="38"/>
        <v>127.5231137583819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0.41239036589520256</v>
      </c>
      <c r="BR30" s="21">
        <f>EXP(-LN(2)/2)*BR29+(1-EXP(-LN(2)/2))/(LN(2)/2)*BL30*BO30*VLOOKUP('Données projet'!$B$11,Paramètres!$A$1:$I$89,3,0)*0.475*44/12</f>
        <v>7.1554441481682871E-2</v>
      </c>
      <c r="BS30" s="22">
        <f t="shared" si="9"/>
        <v>0.48394480737688544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210.8</v>
      </c>
      <c r="BZ30" s="13">
        <f>BY30*VLOOKUP('Données projet'!$B$12,Paramètres!$A$1:$I$89,3,0)*VLOOKUP('Données projet'!$B$12,Paramètres!$A$1:$I$89,5,0)</f>
        <v>115.0968</v>
      </c>
      <c r="CA30" s="13">
        <f t="shared" si="39"/>
        <v>30.528646626547697</v>
      </c>
      <c r="CB30" s="20">
        <f t="shared" si="10"/>
        <v>253.6309862079039</v>
      </c>
      <c r="CC30" s="59">
        <f t="shared" si="11"/>
        <v>546.96431954123727</v>
      </c>
      <c r="CD30" s="59">
        <f ca="1">AVERAGE(OFFSET($CC$3,0,0,'Données projet'!$E$12+1,1))-AVERAGE(OFFSET($H$3,0,0,'Données projet'!$E$12+1,1))</f>
        <v>210.04871822652808</v>
      </c>
      <c r="CE30" s="59">
        <f t="shared" si="40"/>
        <v>250.17540614049324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14.438614320159301</v>
      </c>
      <c r="CM30" s="21">
        <f>EXP(-LN(2)/2)*CM29+(1-EXP(-LN(2)/2))/(LN(2)/2)*CG30*CJ30*VLOOKUP('Données projet'!$B$12,Paramètres!$A$1:$I$89,3,0)*0.475*44/12</f>
        <v>2.2129837265516827</v>
      </c>
      <c r="CN30" s="22">
        <f t="shared" si="12"/>
        <v>16.651598046710983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14.5</v>
      </c>
      <c r="N31" s="13">
        <f>IF('Données projet'!$A$36&gt;35,N30+M31-V30,IF(A31&lt;'Données projet'!$A$36,$K$205^A31,IF(A31='Données projet'!$A$36,'Données projet'!$B$36,N30+M31-V30)))</f>
        <v>183</v>
      </c>
      <c r="O31" s="13">
        <f>N31*VLOOKUP('Données projet'!$B$9,Paramètres!$A$1:$I$89,3,0)*VLOOKUP('Données projet'!$B$9,Paramètres!$A$1:$I$89,5,0)</f>
        <v>134.1756</v>
      </c>
      <c r="P31" s="13">
        <f t="shared" si="33"/>
        <v>34.959435402722768</v>
      </c>
      <c r="Q31" s="20">
        <f t="shared" si="2"/>
        <v>294.57685332640881</v>
      </c>
      <c r="R31" s="59">
        <f t="shared" si="0"/>
        <v>587.91018665974207</v>
      </c>
      <c r="S31" s="59">
        <f ca="1">AVERAGE(OFFSET($R$3,0,0,'Données projet'!$E$9+1,1))-AVERAGE(OFFSET($H$3,0,0,'Données projet'!$E$9+1,1))</f>
        <v>234.09142087023463</v>
      </c>
      <c r="T31" s="59">
        <f t="shared" si="34"/>
        <v>278.990685815294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4.6581114673877835</v>
      </c>
      <c r="AB31" s="21">
        <f>EXP(-LN(2)/2)*AB30+(1-EXP(-LN(2)/2))/(LN(2)/2)*V31*Y31*VLOOKUP('Données projet'!$B$9,Paramètres!$A$1:$I$89,3,0)*0.475*44/12</f>
        <v>0.72422177443501468</v>
      </c>
      <c r="AC31" s="22">
        <f t="shared" si="3"/>
        <v>5.3823332418227983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22.828205128205127</v>
      </c>
      <c r="AI31" s="13">
        <f>IF('Données projet'!$A$62&gt;35,AI30+AH31-AQ30,IF(A31&lt;'Données projet'!$A$62,$AF$205^A31,IF(A31='Données projet'!$A$62,'Données projet'!$B$62,AI30+AH31-AQ30)))</f>
        <v>286.21282051282037</v>
      </c>
      <c r="AJ31" s="13">
        <f>AI31*VLOOKUP('Données projet'!$B$10,Paramètres!$A$1:$I$89,3,0)*VLOOKUP('Données projet'!$B$10,Paramètres!$A$1:$I$89,5,0)</f>
        <v>159.99296666666658</v>
      </c>
      <c r="AK31" s="13">
        <f t="shared" si="35"/>
        <v>40.840929014671453</v>
      </c>
      <c r="AL31" s="20">
        <f t="shared" si="4"/>
        <v>349.785701644997</v>
      </c>
      <c r="AM31" s="59">
        <f t="shared" si="5"/>
        <v>643.11903497833032</v>
      </c>
      <c r="AN31" s="59">
        <f ca="1">AVERAGE(OFFSET($AM$3,0,0,'Données projet'!$E$10+1,1))-AVERAGE(OFFSET($H$3,0,0,'Données projet'!$E$10+1,1))</f>
        <v>255.5374979188561</v>
      </c>
      <c r="AO31" s="59">
        <f t="shared" si="36"/>
        <v>343.10418468620901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3.2148886420447993</v>
      </c>
      <c r="AV31" s="21">
        <f>EXP(-LN(2)/25)*AV30+(1-EXP(-LN(2)/25))/(LN(2)/25)*Calculateur!AQ31*Calculateur!AS31*VLOOKUP('Données projet'!$B$10,Paramètres!$A$1:$I$89,3,0)*0.475*44/12</f>
        <v>16.87028183272777</v>
      </c>
      <c r="AW31" s="21">
        <f>EXP(-LN(2)/2)*AW30+(1-EXP(-LN(2)/2))/(LN(2)/2)*AQ31*AT31*VLOOKUP('Données projet'!$B$10,Paramètres!$A$1:$I$89,3,0)*0.475*44/12</f>
        <v>3.3853041589081316</v>
      </c>
      <c r="AX31" s="21">
        <f t="shared" si="6"/>
        <v>23.470474633680698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86.399999999999977</v>
      </c>
      <c r="BE31" s="13">
        <f>BD31*VLOOKUP('Données projet'!$B$11,Paramètres!$A$1:$I$89,3,0)*VLOOKUP('Données projet'!$B$11,Paramètres!$A$1:$I$89,5,0)</f>
        <v>74.131199999999978</v>
      </c>
      <c r="BF31" s="13">
        <f t="shared" si="37"/>
        <v>20.695931356882326</v>
      </c>
      <c r="BG31" s="20">
        <f t="shared" si="7"/>
        <v>165.15725377990333</v>
      </c>
      <c r="BH31" s="59">
        <f t="shared" si="8"/>
        <v>458.49058711323664</v>
      </c>
      <c r="BI31" s="59">
        <f ca="1">AVERAGE(OFFSET($BH$3,0,0,'Données projet'!$E$11+1,1))-AVERAGE(OFFSET($H$3,0,0,'Données projet'!$E$11+1,1))</f>
        <v>310.4018929413723</v>
      </c>
      <c r="BJ31" s="59">
        <f t="shared" si="38"/>
        <v>127.5231137583819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0.40111352965313141</v>
      </c>
      <c r="BR31" s="21">
        <f>EXP(-LN(2)/2)*BR30+(1-EXP(-LN(2)/2))/(LN(2)/2)*BL31*BO31*VLOOKUP('Données projet'!$B$11,Paramètres!$A$1:$I$89,3,0)*0.475*44/12</f>
        <v>5.059663079571395E-2</v>
      </c>
      <c r="BS31" s="22">
        <f t="shared" si="9"/>
        <v>0.45171016044884538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227.20000000000002</v>
      </c>
      <c r="BZ31" s="13">
        <f>BY31*VLOOKUP('Données projet'!$B$12,Paramètres!$A$1:$I$89,3,0)*VLOOKUP('Données projet'!$B$12,Paramètres!$A$1:$I$89,5,0)</f>
        <v>124.05120000000001</v>
      </c>
      <c r="CA31" s="13">
        <f t="shared" si="39"/>
        <v>32.618041559365977</v>
      </c>
      <c r="CB31" s="20">
        <f t="shared" si="10"/>
        <v>272.86559571589572</v>
      </c>
      <c r="CC31" s="59">
        <f t="shared" si="11"/>
        <v>566.19892904922904</v>
      </c>
      <c r="CD31" s="59">
        <f ca="1">AVERAGE(OFFSET($CC$3,0,0,'Données projet'!$E$12+1,1))-AVERAGE(OFFSET($H$3,0,0,'Données projet'!$E$12+1,1))</f>
        <v>210.04871822652808</v>
      </c>
      <c r="CE31" s="59">
        <f t="shared" si="40"/>
        <v>250.17540614049324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14.043789652280818</v>
      </c>
      <c r="CM31" s="21">
        <f>EXP(-LN(2)/2)*CM30+(1-EXP(-LN(2)/2))/(LN(2)/2)*CG31*CJ31*VLOOKUP('Données projet'!$B$12,Paramètres!$A$1:$I$89,3,0)*0.475*44/12</f>
        <v>1.5648157997001713</v>
      </c>
      <c r="CN31" s="22">
        <f t="shared" si="12"/>
        <v>15.608605451980988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14.5</v>
      </c>
      <c r="N32" s="13">
        <f>IF('Données projet'!$A$36&gt;35,N31+M32-V31,IF(A32&lt;'Données projet'!$A$36,$K$205^A32,IF(A32='Données projet'!$A$36,'Données projet'!$B$36,N31+M32-V31)))</f>
        <v>197.5</v>
      </c>
      <c r="O32" s="13">
        <f>N32*VLOOKUP('Données projet'!$B$9,Paramètres!$A$1:$I$89,3,0)*VLOOKUP('Données projet'!$B$9,Paramètres!$A$1:$I$89,5,0)</f>
        <v>144.80699999999999</v>
      </c>
      <c r="P32" s="13">
        <f t="shared" si="33"/>
        <v>37.396048708072577</v>
      </c>
      <c r="Q32" s="20">
        <f t="shared" si="2"/>
        <v>317.33697649989301</v>
      </c>
      <c r="R32" s="59">
        <f t="shared" si="0"/>
        <v>610.67030983322638</v>
      </c>
      <c r="S32" s="59">
        <f ca="1">AVERAGE(OFFSET($R$3,0,0,'Données projet'!$E$9+1,1))-AVERAGE(OFFSET($H$3,0,0,'Données projet'!$E$9+1,1))</f>
        <v>234.09142087023463</v>
      </c>
      <c r="T32" s="59">
        <f t="shared" si="34"/>
        <v>278.990685815294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4.5307351643526284</v>
      </c>
      <c r="AB32" s="21">
        <f>EXP(-LN(2)/2)*AB31+(1-EXP(-LN(2)/2))/(LN(2)/2)*V32*Y32*VLOOKUP('Données projet'!$B$9,Paramètres!$A$1:$I$89,3,0)*0.475*44/12</f>
        <v>0.5121021277859531</v>
      </c>
      <c r="AC32" s="22">
        <f t="shared" si="3"/>
        <v>5.0428372921385813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22.828205128205127</v>
      </c>
      <c r="AI32" s="13">
        <f>IF('Données projet'!$A$62&gt;35,AI31+AH32-AQ31,IF(A32&lt;'Données projet'!$A$62,$AF$205^A32,IF(A32='Données projet'!$A$62,'Données projet'!$B$62,AI31+AH32-AQ31)))</f>
        <v>309.0410256410255</v>
      </c>
      <c r="AJ32" s="13">
        <f>AI32*VLOOKUP('Données projet'!$B$10,Paramètres!$A$1:$I$89,3,0)*VLOOKUP('Données projet'!$B$10,Paramètres!$A$1:$I$89,5,0)</f>
        <v>172.75393333333326</v>
      </c>
      <c r="AK32" s="13">
        <f t="shared" si="35"/>
        <v>43.706234996805463</v>
      </c>
      <c r="AL32" s="20">
        <f t="shared" si="4"/>
        <v>377.00145984165829</v>
      </c>
      <c r="AM32" s="59">
        <f t="shared" si="5"/>
        <v>670.33479317499155</v>
      </c>
      <c r="AN32" s="59">
        <f ca="1">AVERAGE(OFFSET($AM$3,0,0,'Données projet'!$E$10+1,1))-AVERAGE(OFFSET($H$3,0,0,'Données projet'!$E$10+1,1))</f>
        <v>255.5374979188561</v>
      </c>
      <c r="AO32" s="59">
        <f t="shared" si="36"/>
        <v>343.10418468620901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3.1518466366627509</v>
      </c>
      <c r="AV32" s="21">
        <f>EXP(-LN(2)/25)*AV31+(1-EXP(-LN(2)/25))/(LN(2)/25)*Calculateur!AQ32*Calculateur!AS32*VLOOKUP('Données projet'!$B$10,Paramètres!$A$1:$I$89,3,0)*0.475*44/12</f>
        <v>16.408963088842263</v>
      </c>
      <c r="AW32" s="21">
        <f>EXP(-LN(2)/2)*AW31+(1-EXP(-LN(2)/2))/(LN(2)/2)*AQ32*AT32*VLOOKUP('Données projet'!$B$10,Paramètres!$A$1:$I$89,3,0)*0.475*44/12</f>
        <v>2.3937715271429618</v>
      </c>
      <c r="AX32" s="21">
        <f t="shared" si="6"/>
        <v>21.954581252647976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92.699999999999974</v>
      </c>
      <c r="BE32" s="13">
        <f>BD32*VLOOKUP('Données projet'!$B$11,Paramètres!$A$1:$I$89,3,0)*VLOOKUP('Données projet'!$B$11,Paramètres!$A$1:$I$89,5,0)</f>
        <v>79.536599999999993</v>
      </c>
      <c r="BF32" s="13">
        <f t="shared" si="37"/>
        <v>22.023842139649517</v>
      </c>
      <c r="BG32" s="20">
        <f t="shared" si="7"/>
        <v>176.88443672655623</v>
      </c>
      <c r="BH32" s="59">
        <f t="shared" si="8"/>
        <v>470.21777005988952</v>
      </c>
      <c r="BI32" s="59">
        <f ca="1">AVERAGE(OFFSET($BH$3,0,0,'Données projet'!$E$11+1,1))-AVERAGE(OFFSET($H$3,0,0,'Données projet'!$E$11+1,1))</f>
        <v>310.4018929413723</v>
      </c>
      <c r="BJ32" s="59">
        <f t="shared" si="38"/>
        <v>127.5231137583819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0.39014505909112274</v>
      </c>
      <c r="BR32" s="21">
        <f>EXP(-LN(2)/2)*BR31+(1-EXP(-LN(2)/2))/(LN(2)/2)*BL32*BO32*VLOOKUP('Données projet'!$B$11,Paramètres!$A$1:$I$89,3,0)*0.475*44/12</f>
        <v>3.5777220740841435E-2</v>
      </c>
      <c r="BS32" s="22">
        <f t="shared" si="9"/>
        <v>0.42592227983196418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243.60000000000002</v>
      </c>
      <c r="BZ32" s="13">
        <f>BY32*VLOOKUP('Données projet'!$B$12,Paramètres!$A$1:$I$89,3,0)*VLOOKUP('Données projet'!$B$12,Paramètres!$A$1:$I$89,5,0)</f>
        <v>133.00560000000002</v>
      </c>
      <c r="CA32" s="13">
        <f t="shared" si="39"/>
        <v>34.689938673073549</v>
      </c>
      <c r="CB32" s="20">
        <f t="shared" si="10"/>
        <v>292.06972985560316</v>
      </c>
      <c r="CC32" s="59">
        <f t="shared" si="11"/>
        <v>585.40306318893647</v>
      </c>
      <c r="CD32" s="59">
        <f ca="1">AVERAGE(OFFSET($CC$3,0,0,'Données projet'!$E$12+1,1))-AVERAGE(OFFSET($H$3,0,0,'Données projet'!$E$12+1,1))</f>
        <v>210.04871822652808</v>
      </c>
      <c r="CE32" s="59">
        <f t="shared" si="40"/>
        <v>250.17540614049324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13.659761485708399</v>
      </c>
      <c r="CM32" s="21">
        <f>EXP(-LN(2)/2)*CM31+(1-EXP(-LN(2)/2))/(LN(2)/2)*CG32*CJ32*VLOOKUP('Données projet'!$B$12,Paramètres!$A$1:$I$89,3,0)*0.475*44/12</f>
        <v>1.1064918632758414</v>
      </c>
      <c r="CN32" s="22">
        <f t="shared" si="12"/>
        <v>14.766253348984241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212</v>
      </c>
      <c r="L33" s="12">
        <f>VLOOKUP(A33,'Données projet'!$A$35:$I$55,9,0)</f>
        <v>14.5</v>
      </c>
      <c r="M33" s="12">
        <f t="array" ref="M33">INDEX(L:L,MIN(IF(ISNUMBER(L33:L229),ROW(L33:L229),"")))</f>
        <v>14.5</v>
      </c>
      <c r="N33" s="13">
        <f>IF('Données projet'!$A$36&gt;35,N32+M33-V32,IF(A33&lt;'Données projet'!$A$36,$K$205^A33,IF(A33='Données projet'!$A$36,'Données projet'!$B$36,N32+M33-V32)))</f>
        <v>212</v>
      </c>
      <c r="O33" s="13">
        <f>N33*VLOOKUP('Données projet'!$B$9,Paramètres!$A$1:$I$89,3,0)*VLOOKUP('Données projet'!$B$9,Paramètres!$A$1:$I$89,5,0)</f>
        <v>155.4384</v>
      </c>
      <c r="P33" s="13">
        <f t="shared" si="33"/>
        <v>39.811908198208918</v>
      </c>
      <c r="Q33" s="20">
        <f t="shared" si="2"/>
        <v>340.06095344521384</v>
      </c>
      <c r="R33" s="59">
        <f t="shared" si="0"/>
        <v>633.39428677854721</v>
      </c>
      <c r="S33" s="59">
        <f ca="1">AVERAGE(OFFSET($R$3,0,0,'Données projet'!$E$9+1,1))-AVERAGE(OFFSET($H$3,0,0,'Données projet'!$E$9+1,1))</f>
        <v>234.09142087023463</v>
      </c>
      <c r="T33" s="59">
        <f t="shared" si="34"/>
        <v>278.990685815294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2.4396979556434131</v>
      </c>
      <c r="AA33" s="21">
        <f>EXP(-LN(2)/25)*AA32+(1-EXP(-LN(2)/25))/(LN(2)/25)*Calculateur!V33*Calculateur!X33*VLOOKUP('Données projet'!$B$9,Paramètres!$A$1:$I$89,3,0)*0.475*44/12</f>
        <v>15.342255681396496</v>
      </c>
      <c r="AB33" s="21">
        <f>EXP(-LN(2)/2)*AB32+(1-EXP(-LN(2)/2))/(LN(2)/2)*V33*Y33*VLOOKUP('Données projet'!$B$9,Paramètres!$A$1:$I$89,3,0)*0.475*44/12</f>
        <v>22.153619801560634</v>
      </c>
      <c r="AC33" s="22">
        <f t="shared" si="3"/>
        <v>39.935573438600542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331.86923076923074</v>
      </c>
      <c r="AG33" s="12">
        <f>VLOOKUP(A33,'Données projet'!$A$61:$I$81,9,0)</f>
        <v>22.828205128205127</v>
      </c>
      <c r="AH33" s="12">
        <f t="array" ref="AH33">INDEX(AG:AG,MIN(IF(ISNUMBER(AG33:AG229),ROW(AG33:AG229),"")))</f>
        <v>22.828205128205127</v>
      </c>
      <c r="AI33" s="13">
        <f>IF('Données projet'!$A$62&gt;35,AI32+AH33-AQ32,IF(A33&lt;'Données projet'!$A$62,$AF$205^A33,IF(A33='Données projet'!$A$62,'Données projet'!$B$62,AI32+AH33-AQ32)))</f>
        <v>331.86923076923063</v>
      </c>
      <c r="AJ33" s="13">
        <f>AI33*VLOOKUP('Données projet'!$B$10,Paramètres!$A$1:$I$89,3,0)*VLOOKUP('Données projet'!$B$10,Paramètres!$A$1:$I$89,5,0)</f>
        <v>185.5148999999999</v>
      </c>
      <c r="AK33" s="13">
        <f t="shared" si="35"/>
        <v>46.546986497298995</v>
      </c>
      <c r="AL33" s="20">
        <f t="shared" si="4"/>
        <v>404.17445231612891</v>
      </c>
      <c r="AM33" s="59">
        <f t="shared" si="5"/>
        <v>697.50778564946222</v>
      </c>
      <c r="AN33" s="59">
        <f ca="1">AVERAGE(OFFSET($AM$3,0,0,'Données projet'!$E$10+1,1))-AVERAGE(OFFSET($H$3,0,0,'Données projet'!$E$10+1,1))</f>
        <v>255.5374979188561</v>
      </c>
      <c r="AO33" s="59">
        <f t="shared" si="36"/>
        <v>343.10418468620901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65.669230769230765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3.0900408465544178</v>
      </c>
      <c r="AV33" s="21">
        <f>EXP(-LN(2)/25)*AV32+(1-EXP(-LN(2)/25))/(LN(2)/25)*Calculateur!AQ33*Calculateur!AS33*VLOOKUP('Données projet'!$B$10,Paramètres!$A$1:$I$89,3,0)*0.475*44/12</f>
        <v>15.960259130268007</v>
      </c>
      <c r="AW33" s="21">
        <f>EXP(-LN(2)/2)*AW32+(1-EXP(-LN(2)/2))/(LN(2)/2)*AQ33*AT33*VLOOKUP('Données projet'!$B$10,Paramètres!$A$1:$I$89,3,0)*0.475*44/12</f>
        <v>1.692652079454066</v>
      </c>
      <c r="AX33" s="21">
        <f t="shared" si="6"/>
        <v>20.74295205627649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99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98.999999999999972</v>
      </c>
      <c r="BE33" s="13">
        <f>BD33*VLOOKUP('Données projet'!$B$11,Paramètres!$A$1:$I$89,3,0)*VLOOKUP('Données projet'!$B$11,Paramètres!$A$1:$I$89,5,0)</f>
        <v>84.941999999999979</v>
      </c>
      <c r="BF33" s="13">
        <f t="shared" si="37"/>
        <v>23.34128117988622</v>
      </c>
      <c r="BG33" s="20">
        <f t="shared" si="7"/>
        <v>188.59338138830176</v>
      </c>
      <c r="BH33" s="59">
        <f t="shared" si="8"/>
        <v>481.92671472163511</v>
      </c>
      <c r="BI33" s="59">
        <f ca="1">AVERAGE(OFFSET($BH$3,0,0,'Données projet'!$E$11+1,1))-AVERAGE(OFFSET($H$3,0,0,'Données projet'!$E$11+1,1))</f>
        <v>310.4018929413723</v>
      </c>
      <c r="BJ33" s="59">
        <f t="shared" si="38"/>
        <v>127.5231137583819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0.26500000000000001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5.88742152101476</v>
      </c>
      <c r="BR33" s="21">
        <f>EXP(-LN(2)/2)*BR32+(1-EXP(-LN(2)/2))/(LN(2)/2)*BL33*BO33*VLOOKUP('Données projet'!$B$11,Paramètres!$A$1:$I$89,3,0)*0.475*44/12</f>
        <v>8.93030533544351</v>
      </c>
      <c r="BS33" s="22">
        <f t="shared" si="9"/>
        <v>14.81772685645827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260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260</v>
      </c>
      <c r="BZ33" s="13">
        <f>BY33*VLOOKUP('Données projet'!$B$12,Paramètres!$A$1:$I$89,3,0)*VLOOKUP('Données projet'!$B$12,Paramètres!$A$1:$I$89,5,0)</f>
        <v>141.96</v>
      </c>
      <c r="CA33" s="13">
        <f t="shared" si="39"/>
        <v>36.745650011720485</v>
      </c>
      <c r="CB33" s="20">
        <f t="shared" si="10"/>
        <v>311.24567377041313</v>
      </c>
      <c r="CC33" s="59">
        <f t="shared" si="11"/>
        <v>604.57900710374645</v>
      </c>
      <c r="CD33" s="59">
        <f ca="1">AVERAGE(OFFSET($CC$3,0,0,'Données projet'!$E$12+1,1))-AVERAGE(OFFSET($H$3,0,0,'Données projet'!$E$12+1,1))</f>
        <v>210.04871822652808</v>
      </c>
      <c r="CE33" s="59">
        <f t="shared" si="40"/>
        <v>250.17540614049324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7.3009862621134873</v>
      </c>
      <c r="CL33" s="21">
        <f>EXP(-LN(2)/25)*CL32+(1-EXP(-LN(2)/25))/(LN(2)/25)*Calculateur!CG33*Calculateur!CI33*VLOOKUP('Données projet'!$B$12,Paramètres!$A$1:$I$89,3,0)*0.475*44/12</f>
        <v>27.830713584157436</v>
      </c>
      <c r="CM33" s="21">
        <f>EXP(-LN(2)/2)*CM32+(1-EXP(-LN(2)/2))/(LN(2)/2)*CG33*CJ33*VLOOKUP('Données projet'!$B$12,Paramètres!$A$1:$I$89,3,0)*0.475*44/12</f>
        <v>21.553888737351617</v>
      </c>
      <c r="CN33" s="22">
        <f t="shared" si="12"/>
        <v>56.685588583622547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12.1</v>
      </c>
      <c r="N34" s="13">
        <f>IF('Données projet'!$A$36&gt;35,N33+M34-V33,IF(A34&lt;'Données projet'!$A$36,$K$205^A34,IF(A34='Données projet'!$A$36,'Données projet'!$B$36,N33+M34-V33)))</f>
        <v>154.1</v>
      </c>
      <c r="O34" s="13">
        <f>N34*VLOOKUP('Données projet'!$B$9,Paramètres!$A$1:$I$89,3,0)*VLOOKUP('Données projet'!$B$9,Paramètres!$A$1:$I$89,5,0)</f>
        <v>112.98611999999999</v>
      </c>
      <c r="P34" s="13">
        <f t="shared" si="33"/>
        <v>30.033437241989123</v>
      </c>
      <c r="Q34" s="20">
        <f t="shared" si="2"/>
        <v>249.0923955297977</v>
      </c>
      <c r="R34" s="59">
        <f t="shared" si="0"/>
        <v>542.42572886313098</v>
      </c>
      <c r="S34" s="59">
        <f ca="1">AVERAGE(OFFSET($R$3,0,0,'Données projet'!$E$9+1,1))-AVERAGE(OFFSET($H$3,0,0,'Données projet'!$E$9+1,1))</f>
        <v>234.09142087023463</v>
      </c>
      <c r="T34" s="59">
        <f t="shared" si="34"/>
        <v>278.990685815294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2.3918569668020639</v>
      </c>
      <c r="AA34" s="21">
        <f>EXP(-LN(2)/25)*AA33+(1-EXP(-LN(2)/25))/(LN(2)/25)*Calculateur!V34*Calculateur!X34*VLOOKUP('Données projet'!$B$9,Paramètres!$A$1:$I$89,3,0)*0.475*44/12</f>
        <v>14.922720892974548</v>
      </c>
      <c r="AB34" s="21">
        <f>EXP(-LN(2)/2)*AB33+(1-EXP(-LN(2)/2))/(LN(2)/2)*V34*Y34*VLOOKUP('Données projet'!$B$9,Paramètres!$A$1:$I$89,3,0)*0.475*44/12</f>
        <v>15.664974789512103</v>
      </c>
      <c r="AC34" s="22">
        <f t="shared" si="3"/>
        <v>32.979552649288713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22.884615384615376</v>
      </c>
      <c r="AI34" s="13">
        <f>IF('Données projet'!$A$62&gt;35,AI33+AH34-AQ33,IF(A34&lt;'Données projet'!$A$62,$AF$205^A34,IF(A34='Données projet'!$A$62,'Données projet'!$B$62,AI33+AH34-AQ33)))</f>
        <v>289.08461538461523</v>
      </c>
      <c r="AJ34" s="13">
        <f>AI34*VLOOKUP('Données projet'!$B$10,Paramètres!$A$1:$I$89,3,0)*VLOOKUP('Données projet'!$B$10,Paramètres!$A$1:$I$89,5,0)</f>
        <v>161.59829999999991</v>
      </c>
      <c r="AK34" s="13">
        <f t="shared" si="35"/>
        <v>41.202807619439696</v>
      </c>
      <c r="AL34" s="20">
        <f t="shared" si="4"/>
        <v>353.2119291038573</v>
      </c>
      <c r="AM34" s="59">
        <f t="shared" si="5"/>
        <v>646.54526243719056</v>
      </c>
      <c r="AN34" s="59">
        <f ca="1">AVERAGE(OFFSET($AM$3,0,0,'Données projet'!$E$10+1,1))-AVERAGE(OFFSET($H$3,0,0,'Données projet'!$E$10+1,1))</f>
        <v>255.5374979188561</v>
      </c>
      <c r="AO34" s="59">
        <f t="shared" si="36"/>
        <v>343.10418468620901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3.0294470302922996</v>
      </c>
      <c r="AV34" s="21">
        <f>EXP(-LN(2)/25)*AV33+(1-EXP(-LN(2)/25))/(LN(2)/25)*Calculateur!AQ34*Calculateur!AS34*VLOOKUP('Données projet'!$B$10,Paramètres!$A$1:$I$89,3,0)*0.475*44/12</f>
        <v>15.523825005037278</v>
      </c>
      <c r="AW34" s="21">
        <f>EXP(-LN(2)/2)*AW33+(1-EXP(-LN(2)/2))/(LN(2)/2)*AQ34*AT34*VLOOKUP('Données projet'!$B$10,Paramètres!$A$1:$I$89,3,0)*0.475*44/12</f>
        <v>1.1968857635714809</v>
      </c>
      <c r="AX34" s="21">
        <f t="shared" si="6"/>
        <v>19.750157798901057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9.6</v>
      </c>
      <c r="BD34" s="12">
        <f>IF('Données projet'!$A$88&gt;35,BD33+BC34-BL33,IF(A34&lt;'Données projet'!$A$88,$BA$205^A34,IF(A34='Données projet'!$A$88,'Données projet'!$B$88,BD33+BC34-BL33)))</f>
        <v>86.599999999999966</v>
      </c>
      <c r="BE34" s="13">
        <f>BD34*VLOOKUP('Données projet'!$B$11,Paramètres!$A$1:$I$89,3,0)*VLOOKUP('Données projet'!$B$11,Paramètres!$A$1:$I$89,5,0)</f>
        <v>74.302799999999991</v>
      </c>
      <c r="BF34" s="13">
        <f t="shared" si="37"/>
        <v>20.73825650366803</v>
      </c>
      <c r="BG34" s="20">
        <f t="shared" si="7"/>
        <v>165.52984007722179</v>
      </c>
      <c r="BH34" s="59">
        <f t="shared" si="8"/>
        <v>458.86317341055508</v>
      </c>
      <c r="BI34" s="59">
        <f ca="1">AVERAGE(OFFSET($BH$3,0,0,'Données projet'!$E$11+1,1))-AVERAGE(OFFSET($H$3,0,0,'Données projet'!$E$11+1,1))</f>
        <v>310.4018929413723</v>
      </c>
      <c r="BJ34" s="59">
        <f t="shared" si="38"/>
        <v>127.5231137583819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5.7264296699165698</v>
      </c>
      <c r="BR34" s="21">
        <f>EXP(-LN(2)/2)*BR33+(1-EXP(-LN(2)/2))/(LN(2)/2)*BL34*BO34*VLOOKUP('Données projet'!$B$11,Paramètres!$A$1:$I$89,3,0)*0.475*44/12</f>
        <v>6.3146794607585122</v>
      </c>
      <c r="BS34" s="22">
        <f t="shared" si="9"/>
        <v>12.041109130675082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13.8</v>
      </c>
      <c r="BY34" s="12">
        <f>IF('Données projet'!$A$114&gt;35,BY33+BX34-CG33,IF(A34&lt;'Données projet'!$A$114,$BV$205^A34,IF(A34='Données projet'!$A$114,'Données projet'!$B$114,BY33+BX34-CG33)))</f>
        <v>189.8</v>
      </c>
      <c r="BZ34" s="13">
        <f>BY34*VLOOKUP('Données projet'!$B$12,Paramètres!$A$1:$I$89,3,0)*VLOOKUP('Données projet'!$B$12,Paramètres!$A$1:$I$89,5,0)</f>
        <v>103.63080000000001</v>
      </c>
      <c r="CA34" s="13">
        <f t="shared" si="39"/>
        <v>27.825181985080775</v>
      </c>
      <c r="CB34" s="20">
        <f t="shared" si="10"/>
        <v>228.952501957349</v>
      </c>
      <c r="CC34" s="59">
        <f t="shared" si="11"/>
        <v>522.28583529068237</v>
      </c>
      <c r="CD34" s="59">
        <f ca="1">AVERAGE(OFFSET($CC$3,0,0,'Données projet'!$E$12+1,1))-AVERAGE(OFFSET($H$3,0,0,'Données projet'!$E$12+1,1))</f>
        <v>210.04871822652808</v>
      </c>
      <c r="CE34" s="59">
        <f t="shared" si="40"/>
        <v>250.17540614049324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7.1578183746753483</v>
      </c>
      <c r="CL34" s="21">
        <f>EXP(-LN(2)/25)*CL33+(1-EXP(-LN(2)/25))/(LN(2)/25)*Calculateur!CG34*Calculateur!CI34*VLOOKUP('Données projet'!$B$12,Paramètres!$A$1:$I$89,3,0)*0.475*44/12</f>
        <v>27.069681257645033</v>
      </c>
      <c r="CM34" s="21">
        <f>EXP(-LN(2)/2)*CM33+(1-EXP(-LN(2)/2))/(LN(2)/2)*CG34*CJ34*VLOOKUP('Données projet'!$B$12,Paramètres!$A$1:$I$89,3,0)*0.475*44/12</f>
        <v>15.240900887121683</v>
      </c>
      <c r="CN34" s="22">
        <f t="shared" si="12"/>
        <v>49.468400519442064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12.1</v>
      </c>
      <c r="N35" s="13">
        <f>IF('Données projet'!$A$36&gt;35,N34+M35-V34,IF(A35&lt;'Données projet'!$A$36,$K$205^A35,IF(A35='Données projet'!$A$36,'Données projet'!$B$36,N34+M35-V34)))</f>
        <v>166.2</v>
      </c>
      <c r="O35" s="13">
        <f>N35*VLOOKUP('Données projet'!$B$9,Paramètres!$A$1:$I$89,3,0)*VLOOKUP('Données projet'!$B$9,Paramètres!$A$1:$I$89,5,0)</f>
        <v>121.85783999999998</v>
      </c>
      <c r="P35" s="13">
        <f t="shared" si="33"/>
        <v>32.107921760499821</v>
      </c>
      <c r="Q35" s="20">
        <f t="shared" ref="Q35:Q66" si="53">(O35+P35)*0.475*44/12</f>
        <v>268.15703506620378</v>
      </c>
      <c r="R35" s="59">
        <f t="shared" si="0"/>
        <v>561.49036839953715</v>
      </c>
      <c r="S35" s="59">
        <f ca="1">AVERAGE(OFFSET($R$3,0,0,'Données projet'!$E$9+1,1))-AVERAGE(OFFSET($H$3,0,0,'Données projet'!$E$9+1,1))</f>
        <v>234.09142087023463</v>
      </c>
      <c r="T35" s="59">
        <f t="shared" si="34"/>
        <v>278.990685815294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2.3449541105717717</v>
      </c>
      <c r="AA35" s="21">
        <f>EXP(-LN(2)/25)*AA34+(1-EXP(-LN(2)/25))/(LN(2)/25)*Calculateur!V35*Calculateur!X35*VLOOKUP('Données projet'!$B$9,Paramètres!$A$1:$I$89,3,0)*0.475*44/12</f>
        <v>14.514658305404373</v>
      </c>
      <c r="AB35" s="21">
        <f>EXP(-LN(2)/2)*AB34+(1-EXP(-LN(2)/2))/(LN(2)/2)*V35*Y35*VLOOKUP('Données projet'!$B$9,Paramètres!$A$1:$I$89,3,0)*0.475*44/12</f>
        <v>11.076809900780319</v>
      </c>
      <c r="AC35" s="22">
        <f t="shared" si="3"/>
        <v>27.936422316756463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22.884615384615376</v>
      </c>
      <c r="AI35" s="13">
        <f>IF('Données projet'!$A$62&gt;35,AI34+AH35-AQ34,IF(A35&lt;'Données projet'!$A$62,$AF$205^A35,IF(A35='Données projet'!$A$62,'Données projet'!$B$62,AI34+AH35-AQ34)))</f>
        <v>311.96923076923059</v>
      </c>
      <c r="AJ35" s="13">
        <f>AI35*VLOOKUP('Données projet'!$B$10,Paramètres!$A$1:$I$89,3,0)*VLOOKUP('Données projet'!$B$10,Paramètres!$A$1:$I$89,5,0)</f>
        <v>174.39079999999993</v>
      </c>
      <c r="AK35" s="13">
        <f t="shared" si="35"/>
        <v>44.071952499783528</v>
      </c>
      <c r="AL35" s="20">
        <f t="shared" si="4"/>
        <v>380.4892939371228</v>
      </c>
      <c r="AM35" s="59">
        <f t="shared" si="5"/>
        <v>673.82262727045611</v>
      </c>
      <c r="AN35" s="59">
        <f ca="1">AVERAGE(OFFSET($AM$3,0,0,'Données projet'!$E$10+1,1))-AVERAGE(OFFSET($H$3,0,0,'Données projet'!$E$10+1,1))</f>
        <v>255.5374979188561</v>
      </c>
      <c r="AO35" s="59">
        <f t="shared" si="36"/>
        <v>343.10418468620901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2.9700414218085029</v>
      </c>
      <c r="AV35" s="21">
        <f>EXP(-LN(2)/25)*AV34+(1-EXP(-LN(2)/25))/(LN(2)/25)*Calculateur!AQ35*Calculateur!AS35*VLOOKUP('Données projet'!$B$10,Paramètres!$A$1:$I$89,3,0)*0.475*44/12</f>
        <v>15.099325193912057</v>
      </c>
      <c r="AW35" s="21">
        <f>EXP(-LN(2)/2)*AW34+(1-EXP(-LN(2)/2))/(LN(2)/2)*AQ35*AT35*VLOOKUP('Données projet'!$B$10,Paramètres!$A$1:$I$89,3,0)*0.475*44/12</f>
        <v>0.84632603972703302</v>
      </c>
      <c r="AX35" s="21">
        <f t="shared" si="6"/>
        <v>18.915692655447593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9.6</v>
      </c>
      <c r="BD35" s="12">
        <f>IF('Données projet'!$A$88&gt;35,BD34+BC35-BL34,IF(A35&lt;'Données projet'!$A$88,$BA$205^A35,IF(A35='Données projet'!$A$88,'Données projet'!$B$88,BD34+BC35-BL34)))</f>
        <v>96.19999999999996</v>
      </c>
      <c r="BE35" s="13">
        <f>BD35*VLOOKUP('Données projet'!$B$11,Paramètres!$A$1:$I$89,3,0)*VLOOKUP('Données projet'!$B$11,Paramètres!$A$1:$I$89,5,0)</f>
        <v>82.539599999999979</v>
      </c>
      <c r="BF35" s="13">
        <f t="shared" si="37"/>
        <v>22.756995627482848</v>
      </c>
      <c r="BG35" s="20">
        <f t="shared" si="7"/>
        <v>183.3915707178659</v>
      </c>
      <c r="BH35" s="59">
        <f t="shared" si="8"/>
        <v>476.72490405119925</v>
      </c>
      <c r="BI35" s="59">
        <f ca="1">AVERAGE(OFFSET($BH$3,0,0,'Données projet'!$E$11+1,1))-AVERAGE(OFFSET($H$3,0,0,'Données projet'!$E$11+1,1))</f>
        <v>310.4018929413723</v>
      </c>
      <c r="BJ35" s="59">
        <f t="shared" si="38"/>
        <v>127.5231137583819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5.5698401494528529</v>
      </c>
      <c r="BR35" s="21">
        <f>EXP(-LN(2)/2)*BR34+(1-EXP(-LN(2)/2))/(LN(2)/2)*BL35*BO35*VLOOKUP('Données projet'!$B$11,Paramètres!$A$1:$I$89,3,0)*0.475*44/12</f>
        <v>4.4651526677217559</v>
      </c>
      <c r="BS35" s="22">
        <f t="shared" si="9"/>
        <v>10.034992817174608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13.8</v>
      </c>
      <c r="BY35" s="12">
        <f>IF('Données projet'!$A$114&gt;35,BY34+BX35-CG34,IF(A35&lt;'Données projet'!$A$114,$BV$205^A35,IF(A35='Données projet'!$A$114,'Données projet'!$B$114,BY34+BX35-CG34)))</f>
        <v>203.60000000000002</v>
      </c>
      <c r="BZ35" s="13">
        <f>BY35*VLOOKUP('Données projet'!$B$12,Paramètres!$A$1:$I$89,3,0)*VLOOKUP('Données projet'!$B$12,Paramètres!$A$1:$I$89,5,0)</f>
        <v>111.1656</v>
      </c>
      <c r="CA35" s="13">
        <f t="shared" si="39"/>
        <v>29.60544032483066</v>
      </c>
      <c r="CB35" s="20">
        <f t="shared" si="10"/>
        <v>245.17622856574675</v>
      </c>
      <c r="CC35" s="59">
        <f t="shared" si="11"/>
        <v>538.50956189908004</v>
      </c>
      <c r="CD35" s="59">
        <f ca="1">AVERAGE(OFFSET($CC$3,0,0,'Données projet'!$E$12+1,1))-AVERAGE(OFFSET($H$3,0,0,'Données projet'!$E$12+1,1))</f>
        <v>210.04871822652808</v>
      </c>
      <c r="CE35" s="59">
        <f t="shared" si="40"/>
        <v>250.17540614049324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7.0174579221860824</v>
      </c>
      <c r="CL35" s="21">
        <f>EXP(-LN(2)/25)*CL34+(1-EXP(-LN(2)/25))/(LN(2)/25)*Calculateur!CG35*Calculateur!CI35*VLOOKUP('Données projet'!$B$12,Paramètres!$A$1:$I$89,3,0)*0.475*44/12</f>
        <v>26.329459400122062</v>
      </c>
      <c r="CM35" s="21">
        <f>EXP(-LN(2)/2)*CM34+(1-EXP(-LN(2)/2))/(LN(2)/2)*CG35*CJ35*VLOOKUP('Données projet'!$B$12,Paramètres!$A$1:$I$89,3,0)*0.475*44/12</f>
        <v>10.77694436867581</v>
      </c>
      <c r="CN35" s="22">
        <f t="shared" si="12"/>
        <v>44.123861690983958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12.1</v>
      </c>
      <c r="N36" s="13">
        <f>IF('Données projet'!$A$36&gt;35,N35+M36-V35,IF(A36&lt;'Données projet'!$A$36,$K$205^A36,IF(A36='Données projet'!$A$36,'Données projet'!$B$36,N35+M36-V35)))</f>
        <v>178.29999999999998</v>
      </c>
      <c r="O36" s="13">
        <f>N36*VLOOKUP('Données projet'!$B$9,Paramètres!$A$1:$I$89,3,0)*VLOOKUP('Données projet'!$B$9,Paramètres!$A$1:$I$89,5,0)</f>
        <v>130.72955999999999</v>
      </c>
      <c r="P36" s="13">
        <f t="shared" si="33"/>
        <v>34.164884281295677</v>
      </c>
      <c r="Q36" s="20">
        <f t="shared" si="53"/>
        <v>287.19115712325663</v>
      </c>
      <c r="R36" s="59">
        <f t="shared" si="0"/>
        <v>580.52449045659</v>
      </c>
      <c r="S36" s="59">
        <f ca="1">AVERAGE(OFFSET($R$3,0,0,'Données projet'!$E$9+1,1))-AVERAGE(OFFSET($H$3,0,0,'Données projet'!$E$9+1,1))</f>
        <v>234.09142087023463</v>
      </c>
      <c r="T36" s="59">
        <f t="shared" si="34"/>
        <v>278.990685815294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2.2989709907442384</v>
      </c>
      <c r="AA36" s="21">
        <f>EXP(-LN(2)/25)*AA35+(1-EXP(-LN(2)/25))/(LN(2)/25)*Calculateur!V36*Calculateur!X36*VLOOKUP('Données projet'!$B$9,Paramètres!$A$1:$I$89,3,0)*0.475*44/12</f>
        <v>14.117754210750384</v>
      </c>
      <c r="AB36" s="21">
        <f>EXP(-LN(2)/2)*AB35+(1-EXP(-LN(2)/2))/(LN(2)/2)*V36*Y36*VLOOKUP('Données projet'!$B$9,Paramètres!$A$1:$I$89,3,0)*0.475*44/12</f>
        <v>7.8324873947560523</v>
      </c>
      <c r="AC36" s="22">
        <f t="shared" si="3"/>
        <v>24.249212596250672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22.884615384615376</v>
      </c>
      <c r="AI36" s="13">
        <f>IF('Données projet'!$A$62&gt;35,AI35+AH36-AQ35,IF(A36&lt;'Données projet'!$A$62,$AF$205^A36,IF(A36='Données projet'!$A$62,'Données projet'!$B$62,AI35+AH36-AQ35)))</f>
        <v>334.85384615384595</v>
      </c>
      <c r="AJ36" s="13">
        <f>AI36*VLOOKUP('Données projet'!$B$10,Paramètres!$A$1:$I$89,3,0)*VLOOKUP('Données projet'!$B$10,Paramètres!$A$1:$I$89,5,0)</f>
        <v>187.18329999999989</v>
      </c>
      <c r="AK36" s="13">
        <f t="shared" si="35"/>
        <v>46.91668019244311</v>
      </c>
      <c r="AL36" s="20">
        <f t="shared" si="4"/>
        <v>407.72413216850492</v>
      </c>
      <c r="AM36" s="59">
        <f t="shared" si="5"/>
        <v>701.05746550183824</v>
      </c>
      <c r="AN36" s="59">
        <f ca="1">AVERAGE(OFFSET($AM$3,0,0,'Données projet'!$E$10+1,1))-AVERAGE(OFFSET($H$3,0,0,'Données projet'!$E$10+1,1))</f>
        <v>255.5374979188561</v>
      </c>
      <c r="AO36" s="59">
        <f t="shared" si="36"/>
        <v>343.10418468620901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2.91180072107323</v>
      </c>
      <c r="AV36" s="21">
        <f>EXP(-LN(2)/25)*AV35+(1-EXP(-LN(2)/25))/(LN(2)/25)*Calculateur!AQ36*Calculateur!AS36*VLOOKUP('Données projet'!$B$10,Paramètres!$A$1:$I$89,3,0)*0.475*44/12</f>
        <v>14.68643335244553</v>
      </c>
      <c r="AW36" s="21">
        <f>EXP(-LN(2)/2)*AW35+(1-EXP(-LN(2)/2))/(LN(2)/2)*AQ36*AT36*VLOOKUP('Données projet'!$B$10,Paramètres!$A$1:$I$89,3,0)*0.475*44/12</f>
        <v>0.59844288178574045</v>
      </c>
      <c r="AX36" s="21">
        <f t="shared" si="6"/>
        <v>18.1966769553045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9.6</v>
      </c>
      <c r="BD36" s="12">
        <f>IF('Données projet'!$A$88&gt;35,BD35+BC36-BL35,IF(A36&lt;'Données projet'!$A$88,$BA$205^A36,IF(A36='Données projet'!$A$88,'Données projet'!$B$88,BD35+BC36-BL35)))</f>
        <v>105.79999999999995</v>
      </c>
      <c r="BE36" s="13">
        <f>BD36*VLOOKUP('Données projet'!$B$11,Paramètres!$A$1:$I$89,3,0)*VLOOKUP('Données projet'!$B$11,Paramètres!$A$1:$I$89,5,0)</f>
        <v>90.776399999999967</v>
      </c>
      <c r="BF36" s="13">
        <f t="shared" si="37"/>
        <v>24.752380266200454</v>
      </c>
      <c r="BG36" s="20">
        <f t="shared" si="7"/>
        <v>201.21262563029904</v>
      </c>
      <c r="BH36" s="59">
        <f t="shared" si="8"/>
        <v>494.54595896363236</v>
      </c>
      <c r="BI36" s="59">
        <f ca="1">AVERAGE(OFFSET($BH$3,0,0,'Données projet'!$E$11+1,1))-AVERAGE(OFFSET($H$3,0,0,'Données projet'!$E$11+1,1))</f>
        <v>310.4018929413723</v>
      </c>
      <c r="BJ36" s="59">
        <f t="shared" si="38"/>
        <v>127.5231137583819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5.4175325776609009</v>
      </c>
      <c r="BR36" s="21">
        <f>EXP(-LN(2)/2)*BR35+(1-EXP(-LN(2)/2))/(LN(2)/2)*BL36*BO36*VLOOKUP('Données projet'!$B$11,Paramètres!$A$1:$I$89,3,0)*0.475*44/12</f>
        <v>3.157339730379257</v>
      </c>
      <c r="BS36" s="22">
        <f t="shared" si="9"/>
        <v>8.5748723080401579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13.8</v>
      </c>
      <c r="BY36" s="12">
        <f>IF('Données projet'!$A$114&gt;35,BY35+BX36-CG35,IF(A36&lt;'Données projet'!$A$114,$BV$205^A36,IF(A36='Données projet'!$A$114,'Données projet'!$B$114,BY35+BX36-CG35)))</f>
        <v>217.40000000000003</v>
      </c>
      <c r="BZ36" s="13">
        <f>BY36*VLOOKUP('Données projet'!$B$12,Paramètres!$A$1:$I$89,3,0)*VLOOKUP('Données projet'!$B$12,Paramètres!$A$1:$I$89,5,0)</f>
        <v>118.70040000000002</v>
      </c>
      <c r="CA36" s="13">
        <f t="shared" si="39"/>
        <v>31.371697109278699</v>
      </c>
      <c r="CB36" s="20">
        <f t="shared" si="10"/>
        <v>261.37556913199376</v>
      </c>
      <c r="CC36" s="59">
        <f t="shared" si="11"/>
        <v>554.70890246532713</v>
      </c>
      <c r="CD36" s="59">
        <f ca="1">AVERAGE(OFFSET($CC$3,0,0,'Données projet'!$E$12+1,1))-AVERAGE(OFFSET($H$3,0,0,'Données projet'!$E$12+1,1))</f>
        <v>210.04871822652808</v>
      </c>
      <c r="CE36" s="59">
        <f t="shared" si="40"/>
        <v>250.17540614049324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6.8798498525587082</v>
      </c>
      <c r="CL36" s="21">
        <f>EXP(-LN(2)/25)*CL35+(1-EXP(-LN(2)/25))/(LN(2)/25)*Calculateur!CG36*Calculateur!CI36*VLOOKUP('Données projet'!$B$12,Paramètres!$A$1:$I$89,3,0)*0.475*44/12</f>
        <v>25.609478948219632</v>
      </c>
      <c r="CM36" s="21">
        <f>EXP(-LN(2)/2)*CM35+(1-EXP(-LN(2)/2))/(LN(2)/2)*CG36*CJ36*VLOOKUP('Données projet'!$B$12,Paramètres!$A$1:$I$89,3,0)*0.475*44/12</f>
        <v>7.6204504435608422</v>
      </c>
      <c r="CN36" s="22">
        <f t="shared" si="12"/>
        <v>40.10977924433918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12.1</v>
      </c>
      <c r="N37" s="13">
        <f>IF('Données projet'!$A$36&gt;35,N36+M37-V36,IF(A37&lt;'Données projet'!$A$36,$K$205^A37,IF(A37='Données projet'!$A$36,'Données projet'!$B$36,N36+M37-V36)))</f>
        <v>190.39999999999998</v>
      </c>
      <c r="O37" s="13">
        <f>N37*VLOOKUP('Données projet'!$B$9,Paramètres!$A$1:$I$89,3,0)*VLOOKUP('Données projet'!$B$9,Paramètres!$A$1:$I$89,5,0)</f>
        <v>139.60127999999997</v>
      </c>
      <c r="P37" s="13">
        <f t="shared" si="33"/>
        <v>36.205649185823027</v>
      </c>
      <c r="Q37" s="20">
        <f t="shared" si="53"/>
        <v>306.19706833197506</v>
      </c>
      <c r="R37" s="59">
        <f t="shared" si="0"/>
        <v>599.53040166530832</v>
      </c>
      <c r="S37" s="59">
        <f ca="1">AVERAGE(OFFSET($R$3,0,0,'Données projet'!$E$9+1,1))-AVERAGE(OFFSET($H$3,0,0,'Données projet'!$E$9+1,1))</f>
        <v>234.09142087023463</v>
      </c>
      <c r="T37" s="59">
        <f t="shared" si="34"/>
        <v>278.990685815294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2.253889571849589</v>
      </c>
      <c r="AA37" s="21">
        <f>EXP(-LN(2)/25)*AA36+(1-EXP(-LN(2)/25))/(LN(2)/25)*Calculateur!V37*Calculateur!X37*VLOOKUP('Données projet'!$B$9,Paramètres!$A$1:$I$89,3,0)*0.475*44/12</f>
        <v>13.731703479436987</v>
      </c>
      <c r="AB37" s="21">
        <f>EXP(-LN(2)/2)*AB36+(1-EXP(-LN(2)/2))/(LN(2)/2)*V37*Y37*VLOOKUP('Données projet'!$B$9,Paramètres!$A$1:$I$89,3,0)*0.475*44/12</f>
        <v>5.5384049503901602</v>
      </c>
      <c r="AC37" s="22">
        <f t="shared" si="3"/>
        <v>21.523998001676738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22.884615384615376</v>
      </c>
      <c r="AI37" s="13">
        <f>IF('Données projet'!$A$62&gt;35,AI36+AH37-AQ36,IF(A37&lt;'Données projet'!$A$62,$AF$205^A37,IF(A37='Données projet'!$A$62,'Données projet'!$B$62,AI36+AH37-AQ36)))</f>
        <v>357.73846153846131</v>
      </c>
      <c r="AJ37" s="13">
        <f>AI37*VLOOKUP('Données projet'!$B$10,Paramètres!$A$1:$I$89,3,0)*VLOOKUP('Données projet'!$B$10,Paramètres!$A$1:$I$89,5,0)</f>
        <v>199.97579999999988</v>
      </c>
      <c r="AK37" s="13">
        <f t="shared" si="35"/>
        <v>49.738849260389202</v>
      </c>
      <c r="AL37" s="20">
        <f t="shared" si="4"/>
        <v>434.91968079517761</v>
      </c>
      <c r="AM37" s="59">
        <f t="shared" si="5"/>
        <v>728.25301412851093</v>
      </c>
      <c r="AN37" s="59">
        <f ca="1">AVERAGE(OFFSET($AM$3,0,0,'Données projet'!$E$10+1,1))-AVERAGE(OFFSET($H$3,0,0,'Données projet'!$E$10+1,1))</f>
        <v>255.5374979188561</v>
      </c>
      <c r="AO37" s="59">
        <f t="shared" si="36"/>
        <v>343.10418468620901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2.854702084956056</v>
      </c>
      <c r="AV37" s="21">
        <f>EXP(-LN(2)/25)*AV36+(1-EXP(-LN(2)/25))/(LN(2)/25)*Calculateur!AQ37*Calculateur!AS37*VLOOKUP('Données projet'!$B$10,Paramètres!$A$1:$I$89,3,0)*0.475*44/12</f>
        <v>14.284832060096942</v>
      </c>
      <c r="AW37" s="21">
        <f>EXP(-LN(2)/2)*AW36+(1-EXP(-LN(2)/2))/(LN(2)/2)*AQ37*AT37*VLOOKUP('Données projet'!$B$10,Paramètres!$A$1:$I$89,3,0)*0.475*44/12</f>
        <v>0.42316301986351651</v>
      </c>
      <c r="AX37" s="21">
        <f t="shared" si="6"/>
        <v>17.562697164916514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9.6</v>
      </c>
      <c r="BD37" s="12">
        <f>IF('Données projet'!$A$88&gt;35,BD36+BC37-BL36,IF(A37&lt;'Données projet'!$A$88,$BA$205^A37,IF(A37='Données projet'!$A$88,'Données projet'!$B$88,BD36+BC37-BL36)))</f>
        <v>115.39999999999995</v>
      </c>
      <c r="BE37" s="13">
        <f>BD37*VLOOKUP('Données projet'!$B$11,Paramètres!$A$1:$I$89,3,0)*VLOOKUP('Données projet'!$B$11,Paramètres!$A$1:$I$89,5,0)</f>
        <v>99.013199999999969</v>
      </c>
      <c r="BF37" s="13">
        <f t="shared" si="37"/>
        <v>26.726770540392092</v>
      </c>
      <c r="BG37" s="20">
        <f t="shared" si="7"/>
        <v>218.99711535784954</v>
      </c>
      <c r="BH37" s="59">
        <f t="shared" si="8"/>
        <v>512.33044869118282</v>
      </c>
      <c r="BI37" s="59">
        <f ca="1">AVERAGE(OFFSET($BH$3,0,0,'Données projet'!$E$11+1,1))-AVERAGE(OFFSET($H$3,0,0,'Données projet'!$E$11+1,1))</f>
        <v>310.4018929413723</v>
      </c>
      <c r="BJ37" s="59">
        <f t="shared" si="38"/>
        <v>127.5231137583819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5.2693898644291073</v>
      </c>
      <c r="BR37" s="21">
        <f>EXP(-LN(2)/2)*BR36+(1-EXP(-LN(2)/2))/(LN(2)/2)*BL37*BO37*VLOOKUP('Données projet'!$B$11,Paramètres!$A$1:$I$89,3,0)*0.475*44/12</f>
        <v>2.2325763338608784</v>
      </c>
      <c r="BS37" s="22">
        <f t="shared" si="9"/>
        <v>7.5019661982899857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13.8</v>
      </c>
      <c r="BY37" s="12">
        <f>IF('Données projet'!$A$114&gt;35,BY36+BX37-CG36,IF(A37&lt;'Données projet'!$A$114,$BV$205^A37,IF(A37='Données projet'!$A$114,'Données projet'!$B$114,BY36+BX37-CG36)))</f>
        <v>231.20000000000005</v>
      </c>
      <c r="BZ37" s="13">
        <f>BY37*VLOOKUP('Données projet'!$B$12,Paramètres!$A$1:$I$89,3,0)*VLOOKUP('Données projet'!$B$12,Paramètres!$A$1:$I$89,5,0)</f>
        <v>126.23520000000002</v>
      </c>
      <c r="CA37" s="13">
        <f t="shared" si="39"/>
        <v>33.12494229060627</v>
      </c>
      <c r="CB37" s="20">
        <f t="shared" si="10"/>
        <v>277.55224782280595</v>
      </c>
      <c r="CC37" s="59">
        <f t="shared" si="11"/>
        <v>570.88558115613932</v>
      </c>
      <c r="CD37" s="59">
        <f ca="1">AVERAGE(OFFSET($CC$3,0,0,'Données projet'!$E$12+1,1))-AVERAGE(OFFSET($H$3,0,0,'Données projet'!$E$12+1,1))</f>
        <v>210.04871822652808</v>
      </c>
      <c r="CE37" s="59">
        <f t="shared" si="40"/>
        <v>250.17540614049324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6.7449401932440924</v>
      </c>
      <c r="CL37" s="21">
        <f>EXP(-LN(2)/25)*CL36+(1-EXP(-LN(2)/25))/(LN(2)/25)*Calculateur!CG37*Calculateur!CI37*VLOOKUP('Données projet'!$B$12,Paramètres!$A$1:$I$89,3,0)*0.475*44/12</f>
        <v>24.909186399636599</v>
      </c>
      <c r="CM37" s="21">
        <f>EXP(-LN(2)/2)*CM36+(1-EXP(-LN(2)/2))/(LN(2)/2)*CG37*CJ37*VLOOKUP('Données projet'!$B$12,Paramètres!$A$1:$I$89,3,0)*0.475*44/12</f>
        <v>5.388472184337906</v>
      </c>
      <c r="CN37" s="22">
        <f t="shared" si="12"/>
        <v>37.042598777218601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12.1</v>
      </c>
      <c r="N38" s="13">
        <f>IF('Données projet'!$A$36&gt;35,N37+M38-V37,IF(A38&lt;'Données projet'!$A$36,$K$205^A38,IF(A38='Données projet'!$A$36,'Données projet'!$B$36,N37+M38-V37)))</f>
        <v>202.49999999999997</v>
      </c>
      <c r="O38" s="13">
        <f>N38*VLOOKUP('Données projet'!$B$9,Paramètres!$A$1:$I$89,3,0)*VLOOKUP('Données projet'!$B$9,Paramètres!$A$1:$I$89,5,0)</f>
        <v>148.47299999999998</v>
      </c>
      <c r="P38" s="13">
        <f t="shared" si="33"/>
        <v>38.231363009539002</v>
      </c>
      <c r="Q38" s="20">
        <f t="shared" si="53"/>
        <v>325.17676557494707</v>
      </c>
      <c r="R38" s="59">
        <f t="shared" si="0"/>
        <v>618.51009890828038</v>
      </c>
      <c r="S38" s="59">
        <f ca="1">AVERAGE(OFFSET($R$3,0,0,'Données projet'!$E$9+1,1))-AVERAGE(OFFSET($H$3,0,0,'Données projet'!$E$9+1,1))</f>
        <v>234.09142087023463</v>
      </c>
      <c r="T38" s="59">
        <f t="shared" si="34"/>
        <v>278.990685815294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2.2096921720825136</v>
      </c>
      <c r="AA38" s="21">
        <f>EXP(-LN(2)/25)*AA37+(1-EXP(-LN(2)/25))/(LN(2)/25)*Calculateur!V38*Calculateur!X38*VLOOKUP('Données projet'!$B$9,Paramètres!$A$1:$I$89,3,0)*0.475*44/12</f>
        <v>13.35620932567288</v>
      </c>
      <c r="AB38" s="21">
        <f>EXP(-LN(2)/2)*AB37+(1-EXP(-LN(2)/2))/(LN(2)/2)*V38*Y38*VLOOKUP('Données projet'!$B$9,Paramètres!$A$1:$I$89,3,0)*0.475*44/12</f>
        <v>3.916243697378027</v>
      </c>
      <c r="AC38" s="22">
        <f t="shared" si="3"/>
        <v>19.48214519513342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22.884615384615376</v>
      </c>
      <c r="AI38" s="13">
        <f>IF('Données projet'!$A$62&gt;35,AI37+AH38-AQ37,IF(A38&lt;'Données projet'!$A$62,$AF$205^A38,IF(A38='Données projet'!$A$62,'Données projet'!$B$62,AI37+AH38-AQ37)))</f>
        <v>380.62307692307667</v>
      </c>
      <c r="AJ38" s="13">
        <f>AI38*VLOOKUP('Données projet'!$B$10,Paramètres!$A$1:$I$89,3,0)*VLOOKUP('Données projet'!$B$10,Paramètres!$A$1:$I$89,5,0)</f>
        <v>212.76829999999987</v>
      </c>
      <c r="AK38" s="13">
        <f t="shared" si="35"/>
        <v>52.540067037520458</v>
      </c>
      <c r="AL38" s="20">
        <f t="shared" si="4"/>
        <v>462.07873925701455</v>
      </c>
      <c r="AM38" s="59">
        <f t="shared" si="5"/>
        <v>755.41207259034786</v>
      </c>
      <c r="AN38" s="59">
        <f ca="1">AVERAGE(OFFSET($AM$3,0,0,'Données projet'!$E$10+1,1))-AVERAGE(OFFSET($H$3,0,0,'Données projet'!$E$10+1,1))</f>
        <v>255.5374979188561</v>
      </c>
      <c r="AO38" s="59">
        <f t="shared" si="36"/>
        <v>343.10418468620901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2.7987231182664107</v>
      </c>
      <c r="AV38" s="21">
        <f>EXP(-LN(2)/25)*AV37+(1-EXP(-LN(2)/25))/(LN(2)/25)*Calculateur!AQ38*Calculateur!AS38*VLOOKUP('Données projet'!$B$10,Paramètres!$A$1:$I$89,3,0)*0.475*44/12</f>
        <v>13.894212576206922</v>
      </c>
      <c r="AW38" s="21">
        <f>EXP(-LN(2)/2)*AW37+(1-EXP(-LN(2)/2))/(LN(2)/2)*AQ38*AT38*VLOOKUP('Données projet'!$B$10,Paramètres!$A$1:$I$89,3,0)*0.475*44/12</f>
        <v>0.29922144089287023</v>
      </c>
      <c r="AX38" s="21">
        <f t="shared" si="6"/>
        <v>16.992157135366206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9.6</v>
      </c>
      <c r="BD38" s="12">
        <f>IF('Données projet'!$A$88&gt;35,BD37+BC38-BL37,IF(A38&lt;'Données projet'!$A$88,$BA$205^A38,IF(A38='Données projet'!$A$88,'Données projet'!$B$88,BD37+BC38-BL37)))</f>
        <v>124.99999999999994</v>
      </c>
      <c r="BE38" s="13">
        <f>BD38*VLOOKUP('Données projet'!$B$11,Paramètres!$A$1:$I$89,3,0)*VLOOKUP('Données projet'!$B$11,Paramètres!$A$1:$I$89,5,0)</f>
        <v>107.24999999999996</v>
      </c>
      <c r="BF38" s="13">
        <f t="shared" si="37"/>
        <v>28.682111509300139</v>
      </c>
      <c r="BG38" s="20">
        <f t="shared" si="7"/>
        <v>236.74842754536431</v>
      </c>
      <c r="BH38" s="59">
        <f t="shared" si="8"/>
        <v>530.08176087869765</v>
      </c>
      <c r="BI38" s="59">
        <f ca="1">AVERAGE(OFFSET($BH$3,0,0,'Données projet'!$E$11+1,1))-AVERAGE(OFFSET($H$3,0,0,'Données projet'!$E$11+1,1))</f>
        <v>310.4018929413723</v>
      </c>
      <c r="BJ38" s="59">
        <f t="shared" si="38"/>
        <v>127.5231137583819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5.1252981214811237</v>
      </c>
      <c r="BR38" s="21">
        <f>EXP(-LN(2)/2)*BR37+(1-EXP(-LN(2)/2))/(LN(2)/2)*BL38*BO38*VLOOKUP('Données projet'!$B$11,Paramètres!$A$1:$I$89,3,0)*0.475*44/12</f>
        <v>1.5786698651896287</v>
      </c>
      <c r="BS38" s="22">
        <f t="shared" si="9"/>
        <v>6.7039679866707527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13.8</v>
      </c>
      <c r="BY38" s="12">
        <f>IF('Données projet'!$A$114&gt;35,BY37+BX38-CG37,IF(A38&lt;'Données projet'!$A$114,$BV$205^A38,IF(A38='Données projet'!$A$114,'Données projet'!$B$114,BY37+BX38-CG37)))</f>
        <v>245.00000000000006</v>
      </c>
      <c r="BZ38" s="13">
        <f>BY38*VLOOKUP('Données projet'!$B$12,Paramètres!$A$1:$I$89,3,0)*VLOOKUP('Données projet'!$B$12,Paramètres!$A$1:$I$89,5,0)</f>
        <v>133.77000000000004</v>
      </c>
      <c r="CA38" s="13">
        <f t="shared" si="39"/>
        <v>34.86604096673306</v>
      </c>
      <c r="CB38" s="20">
        <f t="shared" si="10"/>
        <v>293.70777135039344</v>
      </c>
      <c r="CC38" s="59">
        <f t="shared" si="11"/>
        <v>587.04110468372676</v>
      </c>
      <c r="CD38" s="59">
        <f ca="1">AVERAGE(OFFSET($CC$3,0,0,'Données projet'!$E$12+1,1))-AVERAGE(OFFSET($H$3,0,0,'Données projet'!$E$12+1,1))</f>
        <v>210.04871822652808</v>
      </c>
      <c r="CE38" s="59">
        <f t="shared" si="40"/>
        <v>250.17540614049324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6.612676030061869</v>
      </c>
      <c r="CL38" s="21">
        <f>EXP(-LN(2)/25)*CL37+(1-EXP(-LN(2)/25))/(LN(2)/25)*Calculateur!CG38*Calculateur!CI38*VLOOKUP('Données projet'!$B$12,Paramètres!$A$1:$I$89,3,0)*0.475*44/12</f>
        <v>24.228043387621355</v>
      </c>
      <c r="CM38" s="21">
        <f>EXP(-LN(2)/2)*CM37+(1-EXP(-LN(2)/2))/(LN(2)/2)*CG38*CJ38*VLOOKUP('Données projet'!$B$12,Paramètres!$A$1:$I$89,3,0)*0.475*44/12</f>
        <v>3.8102252217804216</v>
      </c>
      <c r="CN38" s="22">
        <f t="shared" si="12"/>
        <v>34.650944639463646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12.1</v>
      </c>
      <c r="N39" s="13">
        <f>IF('Données projet'!$A$36&gt;35,N38+M39-V38,IF(A39&lt;'Données projet'!$A$36,$K$205^A39,IF(A39='Données projet'!$A$36,'Données projet'!$B$36,N38+M39-V38)))</f>
        <v>214.59999999999997</v>
      </c>
      <c r="O39" s="13">
        <f>N39*VLOOKUP('Données projet'!$B$9,Paramètres!$A$1:$I$89,3,0)*VLOOKUP('Données projet'!$B$9,Paramètres!$A$1:$I$89,5,0)</f>
        <v>157.34471999999997</v>
      </c>
      <c r="P39" s="13">
        <f t="shared" si="33"/>
        <v>40.243027528788531</v>
      </c>
      <c r="Q39" s="20">
        <f t="shared" si="53"/>
        <v>344.13199361263992</v>
      </c>
      <c r="R39" s="59">
        <f t="shared" si="0"/>
        <v>637.46532694597317</v>
      </c>
      <c r="S39" s="59">
        <f ca="1">AVERAGE(OFFSET($R$3,0,0,'Données projet'!$E$9+1,1))-AVERAGE(OFFSET($H$3,0,0,'Données projet'!$E$9+1,1))</f>
        <v>234.09142087023463</v>
      </c>
      <c r="T39" s="59">
        <f t="shared" si="34"/>
        <v>278.990685815294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2.1663614563671185</v>
      </c>
      <c r="AA39" s="21">
        <f>EXP(-LN(2)/25)*AA38+(1-EXP(-LN(2)/25))/(LN(2)/25)*Calculateur!V39*Calculateur!X39*VLOOKUP('Données projet'!$B$9,Paramètres!$A$1:$I$89,3,0)*0.475*44/12</f>
        <v>12.990983079289833</v>
      </c>
      <c r="AB39" s="21">
        <f>EXP(-LN(2)/2)*AB38+(1-EXP(-LN(2)/2))/(LN(2)/2)*V39*Y39*VLOOKUP('Données projet'!$B$9,Paramètres!$A$1:$I$89,3,0)*0.475*44/12</f>
        <v>2.7692024751950806</v>
      </c>
      <c r="AC39" s="22">
        <f t="shared" si="3"/>
        <v>17.926547010852033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403.50769230769225</v>
      </c>
      <c r="AG39" s="12">
        <f>VLOOKUP(A39,'Données projet'!$A$61:$I$81,9,0)</f>
        <v>22.884615384615376</v>
      </c>
      <c r="AH39" s="12">
        <f t="array" ref="AH39">INDEX(AG:AG,MIN(IF(ISNUMBER(AG39:AG235),ROW(AG39:AG235),"")))</f>
        <v>22.884615384615376</v>
      </c>
      <c r="AI39" s="13">
        <f>IF('Données projet'!$A$62&gt;35,AI38+AH39-AQ38,IF(A39&lt;'Données projet'!$A$62,$AF$205^A39,IF(A39='Données projet'!$A$62,'Données projet'!$B$62,AI38+AH39-AQ38)))</f>
        <v>403.50769230769203</v>
      </c>
      <c r="AJ39" s="13">
        <f>AI39*VLOOKUP('Données projet'!$B$10,Paramètres!$A$1:$I$89,3,0)*VLOOKUP('Données projet'!$B$10,Paramètres!$A$1:$I$89,5,0)</f>
        <v>225.56079999999986</v>
      </c>
      <c r="AK39" s="13">
        <f t="shared" si="35"/>
        <v>55.321736658663617</v>
      </c>
      <c r="AL39" s="20">
        <f t="shared" si="4"/>
        <v>489.20375134717227</v>
      </c>
      <c r="AM39" s="59">
        <f t="shared" si="5"/>
        <v>782.53708468050559</v>
      </c>
      <c r="AN39" s="59">
        <f ca="1">AVERAGE(OFFSET($AM$3,0,0,'Données projet'!$E$10+1,1))-AVERAGE(OFFSET($H$3,0,0,'Données projet'!$E$10+1,1))</f>
        <v>255.5374979188561</v>
      </c>
      <c r="AO39" s="59">
        <f t="shared" si="36"/>
        <v>343.10418468620901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69.3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2.7438418649697511</v>
      </c>
      <c r="AV39" s="21">
        <f>EXP(-LN(2)/25)*AV38+(1-EXP(-LN(2)/25))/(LN(2)/25)*Calculateur!AQ39*Calculateur!AS39*VLOOKUP('Données projet'!$B$10,Paramètres!$A$1:$I$89,3,0)*0.475*44/12</f>
        <v>13.51427460264566</v>
      </c>
      <c r="AW39" s="21">
        <f>EXP(-LN(2)/2)*AW38+(1-EXP(-LN(2)/2))/(LN(2)/2)*AQ39*AT39*VLOOKUP('Données projet'!$B$10,Paramètres!$A$1:$I$89,3,0)*0.475*44/12</f>
        <v>0.21158150993175825</v>
      </c>
      <c r="AX39" s="21">
        <f t="shared" si="6"/>
        <v>16.46969797754717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134.59999999999994</v>
      </c>
      <c r="BE39" s="13">
        <f>BD39*VLOOKUP('Données projet'!$B$11,Paramètres!$A$1:$I$89,3,0)*VLOOKUP('Données projet'!$B$11,Paramètres!$A$1:$I$89,5,0)</f>
        <v>115.48679999999996</v>
      </c>
      <c r="BF39" s="13">
        <f t="shared" si="37"/>
        <v>30.620032500597208</v>
      </c>
      <c r="BG39" s="20">
        <f t="shared" si="7"/>
        <v>254.46939993854008</v>
      </c>
      <c r="BH39" s="59">
        <f t="shared" si="8"/>
        <v>547.80273327187342</v>
      </c>
      <c r="BI39" s="59">
        <f ca="1">AVERAGE(OFFSET($BH$3,0,0,'Données projet'!$E$11+1,1))-AVERAGE(OFFSET($H$3,0,0,'Données projet'!$E$11+1,1))</f>
        <v>310.4018929413723</v>
      </c>
      <c r="BJ39" s="59">
        <f t="shared" si="38"/>
        <v>127.5231137583819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4.985146574821508</v>
      </c>
      <c r="BR39" s="21">
        <f>EXP(-LN(2)/2)*BR38+(1-EXP(-LN(2)/2))/(LN(2)/2)*BL39*BO39*VLOOKUP('Données projet'!$B$11,Paramètres!$A$1:$I$89,3,0)*0.475*44/12</f>
        <v>1.1162881669304394</v>
      </c>
      <c r="BS39" s="22">
        <f t="shared" si="9"/>
        <v>6.1014347417519472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13.8</v>
      </c>
      <c r="BY39" s="12">
        <f>IF('Données projet'!$A$114&gt;35,BY38+BX39-CG38,IF(A39&lt;'Données projet'!$A$114,$BV$205^A39,IF(A39='Données projet'!$A$114,'Données projet'!$B$114,BY38+BX39-CG38)))</f>
        <v>258.80000000000007</v>
      </c>
      <c r="BZ39" s="13">
        <f>BY39*VLOOKUP('Données projet'!$B$12,Paramètres!$A$1:$I$89,3,0)*VLOOKUP('Données projet'!$B$12,Paramètres!$A$1:$I$89,5,0)</f>
        <v>141.30480000000003</v>
      </c>
      <c r="CA39" s="13">
        <f t="shared" si="39"/>
        <v>36.595755275288994</v>
      </c>
      <c r="CB39" s="20">
        <f t="shared" si="10"/>
        <v>309.84346710446169</v>
      </c>
      <c r="CC39" s="59">
        <f t="shared" si="11"/>
        <v>603.17680043779501</v>
      </c>
      <c r="CD39" s="59">
        <f ca="1">AVERAGE(OFFSET($CC$3,0,0,'Données projet'!$E$12+1,1))-AVERAGE(OFFSET($H$3,0,0,'Données projet'!$E$12+1,1))</f>
        <v>210.04871822652808</v>
      </c>
      <c r="CE39" s="59">
        <f t="shared" si="40"/>
        <v>250.17540614049324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6.4830054864464755</v>
      </c>
      <c r="CL39" s="21">
        <f>EXP(-LN(2)/25)*CL38+(1-EXP(-LN(2)/25))/(LN(2)/25)*Calculateur!CG39*Calculateur!CI39*VLOOKUP('Données projet'!$B$12,Paramètres!$A$1:$I$89,3,0)*0.475*44/12</f>
        <v>23.565526267089421</v>
      </c>
      <c r="CM39" s="21">
        <f>EXP(-LN(2)/2)*CM38+(1-EXP(-LN(2)/2))/(LN(2)/2)*CG39*CJ39*VLOOKUP('Données projet'!$B$12,Paramètres!$A$1:$I$89,3,0)*0.475*44/12</f>
        <v>2.6942360921689534</v>
      </c>
      <c r="CN39" s="22">
        <f t="shared" si="12"/>
        <v>32.742767845704847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12.1</v>
      </c>
      <c r="N40" s="13">
        <f>IF('Données projet'!$A$36&gt;35,N39+M40-V39,IF(A40&lt;'Données projet'!$A$36,$K$205^A40,IF(A40='Données projet'!$A$36,'Données projet'!$B$36,N39+M40-V39)))</f>
        <v>226.69999999999996</v>
      </c>
      <c r="O40" s="13">
        <f>N40*VLOOKUP('Données projet'!$B$9,Paramètres!$A$1:$I$89,3,0)*VLOOKUP('Données projet'!$B$9,Paramètres!$A$1:$I$89,5,0)</f>
        <v>166.21643999999998</v>
      </c>
      <c r="P40" s="13">
        <f t="shared" si="33"/>
        <v>42.241525171139848</v>
      </c>
      <c r="Q40" s="20">
        <f t="shared" si="53"/>
        <v>363.06428933973513</v>
      </c>
      <c r="R40" s="59">
        <f t="shared" si="0"/>
        <v>656.39762267306844</v>
      </c>
      <c r="S40" s="59">
        <f ca="1">AVERAGE(OFFSET($R$3,0,0,'Données projet'!$E$9+1,1))-AVERAGE(OFFSET($H$3,0,0,'Données projet'!$E$9+1,1))</f>
        <v>234.09142087023463</v>
      </c>
      <c r="T40" s="59">
        <f t="shared" si="34"/>
        <v>278.990685815294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2.1238804295577753</v>
      </c>
      <c r="AA40" s="21">
        <f>EXP(-LN(2)/25)*AA39+(1-EXP(-LN(2)/25))/(LN(2)/25)*Calculateur!V40*Calculateur!X40*VLOOKUP('Données projet'!$B$9,Paramètres!$A$1:$I$89,3,0)*0.475*44/12</f>
        <v>12.635743963820543</v>
      </c>
      <c r="AB40" s="21">
        <f>EXP(-LN(2)/2)*AB39+(1-EXP(-LN(2)/2))/(LN(2)/2)*V40*Y40*VLOOKUP('Données projet'!$B$9,Paramètres!$A$1:$I$89,3,0)*0.475*44/12</f>
        <v>1.9581218486890137</v>
      </c>
      <c r="AC40" s="22">
        <f t="shared" si="3"/>
        <v>16.717746242067332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22.419230769230779</v>
      </c>
      <c r="AI40" s="13">
        <f>IF('Données projet'!$A$62&gt;35,AI39+AH40-AQ39,IF(A40&lt;'Données projet'!$A$62,$AF$205^A40,IF(A40='Données projet'!$A$62,'Données projet'!$B$62,AI39+AH40-AQ39)))</f>
        <v>356.62692307692276</v>
      </c>
      <c r="AJ40" s="13">
        <f>AI40*VLOOKUP('Données projet'!$B$10,Paramètres!$A$1:$I$89,3,0)*VLOOKUP('Données projet'!$B$10,Paramètres!$A$1:$I$89,5,0)</f>
        <v>199.35444999999984</v>
      </c>
      <c r="AK40" s="13">
        <f t="shared" si="35"/>
        <v>49.602268690733197</v>
      </c>
      <c r="AL40" s="20">
        <f t="shared" si="4"/>
        <v>433.59961838636008</v>
      </c>
      <c r="AM40" s="59">
        <f t="shared" si="5"/>
        <v>726.93295171969339</v>
      </c>
      <c r="AN40" s="59">
        <f ca="1">AVERAGE(OFFSET($AM$3,0,0,'Données projet'!$E$10+1,1))-AVERAGE(OFFSET($H$3,0,0,'Données projet'!$E$10+1,1))</f>
        <v>255.5374979188561</v>
      </c>
      <c r="AO40" s="59">
        <f t="shared" si="36"/>
        <v>343.10418468620901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2.6900367995759797</v>
      </c>
      <c r="AV40" s="21">
        <f>EXP(-LN(2)/25)*AV39+(1-EXP(-LN(2)/25))/(LN(2)/25)*Calculateur!AQ40*Calculateur!AS40*VLOOKUP('Données projet'!$B$10,Paramètres!$A$1:$I$89,3,0)*0.475*44/12</f>
        <v>13.1447260529515</v>
      </c>
      <c r="AW40" s="21">
        <f>EXP(-LN(2)/2)*AW39+(1-EXP(-LN(2)/2))/(LN(2)/2)*AQ40*AT40*VLOOKUP('Données projet'!$B$10,Paramètres!$A$1:$I$89,3,0)*0.475*44/12</f>
        <v>0.14961072044643511</v>
      </c>
      <c r="AX40" s="21">
        <f t="shared" si="6"/>
        <v>15.984373572973915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144.19999999999993</v>
      </c>
      <c r="BE40" s="13">
        <f>BD40*VLOOKUP('Données projet'!$B$11,Paramètres!$A$1:$I$89,3,0)*VLOOKUP('Données projet'!$B$11,Paramètres!$A$1:$I$89,5,0)</f>
        <v>123.72359999999996</v>
      </c>
      <c r="BF40" s="13">
        <f t="shared" si="37"/>
        <v>32.541917257515259</v>
      </c>
      <c r="BG40" s="20">
        <f t="shared" si="7"/>
        <v>272.16244255683904</v>
      </c>
      <c r="BH40" s="59">
        <f t="shared" si="8"/>
        <v>565.49577589017235</v>
      </c>
      <c r="BI40" s="59">
        <f ca="1">AVERAGE(OFFSET($BH$3,0,0,'Données projet'!$E$11+1,1))-AVERAGE(OFFSET($H$3,0,0,'Données projet'!$E$11+1,1))</f>
        <v>310.4018929413723</v>
      </c>
      <c r="BJ40" s="59">
        <f t="shared" si="38"/>
        <v>127.5231137583819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4.848827479575549</v>
      </c>
      <c r="BR40" s="21">
        <f>EXP(-LN(2)/2)*BR39+(1-EXP(-LN(2)/2))/(LN(2)/2)*BL40*BO40*VLOOKUP('Données projet'!$B$11,Paramètres!$A$1:$I$89,3,0)*0.475*44/12</f>
        <v>0.78933493259481446</v>
      </c>
      <c r="BS40" s="22">
        <f t="shared" si="9"/>
        <v>5.6381624121703631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13.8</v>
      </c>
      <c r="BY40" s="12">
        <f>IF('Données projet'!$A$114&gt;35,BY39+BX40-CG39,IF(A40&lt;'Données projet'!$A$114,$BV$205^A40,IF(A40='Données projet'!$A$114,'Données projet'!$B$114,BY39+BX40-CG39)))</f>
        <v>272.60000000000008</v>
      </c>
      <c r="BZ40" s="13">
        <f>BY40*VLOOKUP('Données projet'!$B$12,Paramètres!$A$1:$I$89,3,0)*VLOOKUP('Données projet'!$B$12,Paramètres!$A$1:$I$89,5,0)</f>
        <v>148.83960000000005</v>
      </c>
      <c r="CA40" s="13">
        <f t="shared" si="39"/>
        <v>38.314761484407519</v>
      </c>
      <c r="CB40" s="20">
        <f t="shared" si="10"/>
        <v>325.9605129186765</v>
      </c>
      <c r="CC40" s="59">
        <f t="shared" si="11"/>
        <v>619.29384625200987</v>
      </c>
      <c r="CD40" s="59">
        <f ca="1">AVERAGE(OFFSET($CC$3,0,0,'Données projet'!$E$12+1,1))-AVERAGE(OFFSET($H$3,0,0,'Données projet'!$E$12+1,1))</f>
        <v>210.04871822652808</v>
      </c>
      <c r="CE40" s="59">
        <f t="shared" si="40"/>
        <v>250.17540614049324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6.3558777031001581</v>
      </c>
      <c r="CL40" s="21">
        <f>EXP(-LN(2)/25)*CL39+(1-EXP(-LN(2)/25))/(LN(2)/25)*Calculateur!CG40*Calculateur!CI40*VLOOKUP('Données projet'!$B$12,Paramètres!$A$1:$I$89,3,0)*0.475*44/12</f>
        <v>22.921125712058693</v>
      </c>
      <c r="CM40" s="21">
        <f>EXP(-LN(2)/2)*CM39+(1-EXP(-LN(2)/2))/(LN(2)/2)*CG40*CJ40*VLOOKUP('Données projet'!$B$12,Paramètres!$A$1:$I$89,3,0)*0.475*44/12</f>
        <v>1.9051126108902112</v>
      </c>
      <c r="CN40" s="22">
        <f t="shared" si="12"/>
        <v>31.182116026049062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12.1</v>
      </c>
      <c r="N41" s="13">
        <f>IF('Données projet'!$A$36&gt;35,N40+M41-V40,IF(A41&lt;'Données projet'!$A$36,$K$205^A41,IF(A41='Données projet'!$A$36,'Données projet'!$B$36,N40+M41-V40)))</f>
        <v>238.79999999999995</v>
      </c>
      <c r="O41" s="13">
        <f>N41*VLOOKUP('Données projet'!$B$9,Paramètres!$A$1:$I$89,3,0)*VLOOKUP('Données projet'!$B$9,Paramètres!$A$1:$I$89,5,0)</f>
        <v>175.08815999999996</v>
      </c>
      <c r="P41" s="13">
        <f t="shared" si="33"/>
        <v>44.227638845714424</v>
      </c>
      <c r="Q41" s="20">
        <f t="shared" si="53"/>
        <v>381.97501632295251</v>
      </c>
      <c r="R41" s="59">
        <f t="shared" si="0"/>
        <v>675.30834965628583</v>
      </c>
      <c r="S41" s="59">
        <f ca="1">AVERAGE(OFFSET($R$3,0,0,'Données projet'!$E$9+1,1))-AVERAGE(OFFSET($H$3,0,0,'Données projet'!$E$9+1,1))</f>
        <v>234.09142087023463</v>
      </c>
      <c r="T41" s="59">
        <f t="shared" si="34"/>
        <v>278.990685815294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2.0822324297732955</v>
      </c>
      <c r="AA41" s="21">
        <f>EXP(-LN(2)/25)*AA40+(1-EXP(-LN(2)/25))/(LN(2)/25)*Calculateur!V41*Calculateur!X41*VLOOKUP('Données projet'!$B$9,Paramètres!$A$1:$I$89,3,0)*0.475*44/12</f>
        <v>12.290218880644975</v>
      </c>
      <c r="AB41" s="21">
        <f>EXP(-LN(2)/2)*AB40+(1-EXP(-LN(2)/2))/(LN(2)/2)*V41*Y41*VLOOKUP('Données projet'!$B$9,Paramètres!$A$1:$I$89,3,0)*0.475*44/12</f>
        <v>1.3846012375975405</v>
      </c>
      <c r="AC41" s="22">
        <f t="shared" si="3"/>
        <v>15.75705254801581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22.419230769230779</v>
      </c>
      <c r="AI41" s="13">
        <f>IF('Données projet'!$A$62&gt;35,AI40+AH41-AQ40,IF(A41&lt;'Données projet'!$A$62,$AF$205^A41,IF(A41='Données projet'!$A$62,'Données projet'!$B$62,AI40+AH41-AQ40)))</f>
        <v>379.04615384615352</v>
      </c>
      <c r="AJ41" s="13">
        <f>AI41*VLOOKUP('Données projet'!$B$10,Paramètres!$A$1:$I$89,3,0)*VLOOKUP('Données projet'!$B$10,Paramètres!$A$1:$I$89,5,0)</f>
        <v>211.88679999999982</v>
      </c>
      <c r="AK41" s="13">
        <f t="shared" si="35"/>
        <v>52.347684082939267</v>
      </c>
      <c r="AL41" s="20">
        <f t="shared" si="4"/>
        <v>460.20839311111894</v>
      </c>
      <c r="AM41" s="59">
        <f t="shared" si="5"/>
        <v>753.54172644445225</v>
      </c>
      <c r="AN41" s="59">
        <f ca="1">AVERAGE(OFFSET($AM$3,0,0,'Données projet'!$E$10+1,1))-AVERAGE(OFFSET($H$3,0,0,'Données projet'!$E$10+1,1))</f>
        <v>255.5374979188561</v>
      </c>
      <c r="AO41" s="59">
        <f t="shared" si="36"/>
        <v>343.10418468620901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2.6372868186967309</v>
      </c>
      <c r="AV41" s="21">
        <f>EXP(-LN(2)/25)*AV40+(1-EXP(-LN(2)/25))/(LN(2)/25)*Calculateur!AQ41*Calculateur!AS41*VLOOKUP('Données projet'!$B$10,Paramètres!$A$1:$I$89,3,0)*0.475*44/12</f>
        <v>12.78528282778244</v>
      </c>
      <c r="AW41" s="21">
        <f>EXP(-LN(2)/2)*AW40+(1-EXP(-LN(2)/2))/(LN(2)/2)*AQ41*AT41*VLOOKUP('Données projet'!$B$10,Paramètres!$A$1:$I$89,3,0)*0.475*44/12</f>
        <v>0.10579075496587913</v>
      </c>
      <c r="AX41" s="21">
        <f t="shared" si="6"/>
        <v>15.528360401445051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153.79999999999993</v>
      </c>
      <c r="BE41" s="13">
        <f>BD41*VLOOKUP('Données projet'!$B$11,Paramètres!$A$1:$I$89,3,0)*VLOOKUP('Données projet'!$B$11,Paramètres!$A$1:$I$89,5,0)</f>
        <v>131.96039999999994</v>
      </c>
      <c r="BF41" s="13">
        <f t="shared" si="37"/>
        <v>34.448954856861199</v>
      </c>
      <c r="BG41" s="20">
        <f t="shared" si="7"/>
        <v>289.82962637569977</v>
      </c>
      <c r="BH41" s="59">
        <f t="shared" si="8"/>
        <v>583.16295970903309</v>
      </c>
      <c r="BI41" s="59">
        <f ca="1">AVERAGE(OFFSET($BH$3,0,0,'Données projet'!$E$11+1,1))-AVERAGE(OFFSET($H$3,0,0,'Données projet'!$E$11+1,1))</f>
        <v>310.4018929413723</v>
      </c>
      <c r="BJ41" s="59">
        <f t="shared" si="38"/>
        <v>127.5231137583819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4.7162360371578007</v>
      </c>
      <c r="BR41" s="21">
        <f>EXP(-LN(2)/2)*BR40+(1-EXP(-LN(2)/2))/(LN(2)/2)*BL41*BO41*VLOOKUP('Données projet'!$B$11,Paramètres!$A$1:$I$89,3,0)*0.475*44/12</f>
        <v>0.55814408346521971</v>
      </c>
      <c r="BS41" s="22">
        <f t="shared" si="9"/>
        <v>5.2743801206230208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13.8</v>
      </c>
      <c r="BY41" s="12">
        <f>IF('Données projet'!$A$114&gt;35,BY40+BX41-CG40,IF(A41&lt;'Données projet'!$A$114,$BV$205^A41,IF(A41='Données projet'!$A$114,'Données projet'!$B$114,BY40+BX41-CG40)))</f>
        <v>286.40000000000009</v>
      </c>
      <c r="BZ41" s="13">
        <f>BY41*VLOOKUP('Données projet'!$B$12,Paramètres!$A$1:$I$89,3,0)*VLOOKUP('Données projet'!$B$12,Paramètres!$A$1:$I$89,5,0)</f>
        <v>156.37440000000007</v>
      </c>
      <c r="CA41" s="13">
        <f t="shared" si="39"/>
        <v>40.023663524293205</v>
      </c>
      <c r="CB41" s="20">
        <f t="shared" si="10"/>
        <v>342.0599606381441</v>
      </c>
      <c r="CC41" s="59">
        <f t="shared" si="11"/>
        <v>635.39329397147742</v>
      </c>
      <c r="CD41" s="59">
        <f ca="1">AVERAGE(OFFSET($CC$3,0,0,'Données projet'!$E$12+1,1))-AVERAGE(OFFSET($H$3,0,0,'Données projet'!$E$12+1,1))</f>
        <v>210.04871822652808</v>
      </c>
      <c r="CE41" s="59">
        <f t="shared" si="40"/>
        <v>250.17540614049324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6.2312428180449704</v>
      </c>
      <c r="CL41" s="21">
        <f>EXP(-LN(2)/25)*CL40+(1-EXP(-LN(2)/25))/(LN(2)/25)*Calculateur!CG41*Calculateur!CI41*VLOOKUP('Données projet'!$B$12,Paramètres!$A$1:$I$89,3,0)*0.475*44/12</f>
        <v>22.294346324092835</v>
      </c>
      <c r="CM41" s="21">
        <f>EXP(-LN(2)/2)*CM40+(1-EXP(-LN(2)/2))/(LN(2)/2)*CG41*CJ41*VLOOKUP('Données projet'!$B$12,Paramètres!$A$1:$I$89,3,0)*0.475*44/12</f>
        <v>1.3471180460844769</v>
      </c>
      <c r="CN41" s="22">
        <f t="shared" si="12"/>
        <v>29.872707188222282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12.1</v>
      </c>
      <c r="N42" s="13">
        <f>IF('Données projet'!$A$36&gt;35,N41+M42-V41,IF(A42&lt;'Données projet'!$A$36,$K$205^A42,IF(A42='Données projet'!$A$36,'Données projet'!$B$36,N41+M42-V41)))</f>
        <v>250.89999999999995</v>
      </c>
      <c r="O42" s="13">
        <f>N42*VLOOKUP('Données projet'!$B$9,Paramètres!$A$1:$I$89,3,0)*VLOOKUP('Données projet'!$B$9,Paramètres!$A$1:$I$89,5,0)</f>
        <v>183.95987999999997</v>
      </c>
      <c r="P42" s="13">
        <f t="shared" si="33"/>
        <v>46.202067639979852</v>
      </c>
      <c r="Q42" s="20">
        <f t="shared" si="53"/>
        <v>400.86539213963152</v>
      </c>
      <c r="R42" s="59">
        <f t="shared" si="0"/>
        <v>694.19872547296484</v>
      </c>
      <c r="S42" s="59">
        <f ca="1">AVERAGE(OFFSET($R$3,0,0,'Données projet'!$E$9+1,1))-AVERAGE(OFFSET($H$3,0,0,'Données projet'!$E$9+1,1))</f>
        <v>234.09142087023463</v>
      </c>
      <c r="T42" s="59">
        <f t="shared" si="34"/>
        <v>278.990685815294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2.0414011218618175</v>
      </c>
      <c r="AA42" s="21">
        <f>EXP(-LN(2)/25)*AA41+(1-EXP(-LN(2)/25))/(LN(2)/25)*Calculateur!V42*Calculateur!X42*VLOOKUP('Données projet'!$B$9,Paramètres!$A$1:$I$89,3,0)*0.475*44/12</f>
        <v>11.954142199039216</v>
      </c>
      <c r="AB42" s="21">
        <f>EXP(-LN(2)/2)*AB41+(1-EXP(-LN(2)/2))/(LN(2)/2)*V42*Y42*VLOOKUP('Données projet'!$B$9,Paramètres!$A$1:$I$89,3,0)*0.475*44/12</f>
        <v>0.97906092434450709</v>
      </c>
      <c r="AC42" s="22">
        <f t="shared" si="3"/>
        <v>14.974604245245541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22.419230769230779</v>
      </c>
      <c r="AI42" s="13">
        <f>IF('Données projet'!$A$62&gt;35,AI41+AH42-AQ41,IF(A42&lt;'Données projet'!$A$62,$AF$205^A42,IF(A42='Données projet'!$A$62,'Données projet'!$B$62,AI41+AH42-AQ41)))</f>
        <v>401.46538461538432</v>
      </c>
      <c r="AJ42" s="13">
        <f>AI42*VLOOKUP('Données projet'!$B$10,Paramètres!$A$1:$I$89,3,0)*VLOOKUP('Données projet'!$B$10,Paramètres!$A$1:$I$89,5,0)</f>
        <v>224.41914999999986</v>
      </c>
      <c r="AK42" s="13">
        <f t="shared" si="35"/>
        <v>55.074251579267411</v>
      </c>
      <c r="AL42" s="20">
        <f t="shared" si="4"/>
        <v>486.78434108389047</v>
      </c>
      <c r="AM42" s="59">
        <f t="shared" si="5"/>
        <v>780.11767441722372</v>
      </c>
      <c r="AN42" s="59">
        <f ca="1">AVERAGE(OFFSET($AM$3,0,0,'Données projet'!$E$10+1,1))-AVERAGE(OFFSET($H$3,0,0,'Données projet'!$E$10+1,1))</f>
        <v>255.5374979188561</v>
      </c>
      <c r="AO42" s="59">
        <f t="shared" si="36"/>
        <v>343.10418468620901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2.5855712327682125</v>
      </c>
      <c r="AV42" s="21">
        <f>EXP(-LN(2)/25)*AV41+(1-EXP(-LN(2)/25))/(LN(2)/25)*Calculateur!AQ42*Calculateur!AS42*VLOOKUP('Données projet'!$B$10,Paramètres!$A$1:$I$89,3,0)*0.475*44/12</f>
        <v>12.435668596507927</v>
      </c>
      <c r="AW42" s="21">
        <f>EXP(-LN(2)/2)*AW41+(1-EXP(-LN(2)/2))/(LN(2)/2)*AQ42*AT42*VLOOKUP('Données projet'!$B$10,Paramètres!$A$1:$I$89,3,0)*0.475*44/12</f>
        <v>7.4805360223217557E-2</v>
      </c>
      <c r="AX42" s="21">
        <f t="shared" si="6"/>
        <v>15.096045189499359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163.39999999999992</v>
      </c>
      <c r="BE42" s="13">
        <f>BD42*VLOOKUP('Données projet'!$B$11,Paramètres!$A$1:$I$89,3,0)*VLOOKUP('Données projet'!$B$11,Paramètres!$A$1:$I$89,5,0)</f>
        <v>140.19719999999995</v>
      </c>
      <c r="BF42" s="13">
        <f t="shared" si="37"/>
        <v>36.34217754431797</v>
      </c>
      <c r="BG42" s="20">
        <f t="shared" si="7"/>
        <v>307.47274922302034</v>
      </c>
      <c r="BH42" s="59">
        <f t="shared" si="8"/>
        <v>600.80608255635366</v>
      </c>
      <c r="BI42" s="59">
        <f ca="1">AVERAGE(OFFSET($BH$3,0,0,'Données projet'!$E$11+1,1))-AVERAGE(OFFSET($H$3,0,0,'Données projet'!$E$11+1,1))</f>
        <v>310.4018929413723</v>
      </c>
      <c r="BJ42" s="59">
        <f t="shared" si="38"/>
        <v>127.5231137583819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4.5872703147056466</v>
      </c>
      <c r="BR42" s="21">
        <f>EXP(-LN(2)/2)*BR41+(1-EXP(-LN(2)/2))/(LN(2)/2)*BL42*BO42*VLOOKUP('Données projet'!$B$11,Paramètres!$A$1:$I$89,3,0)*0.475*44/12</f>
        <v>0.39466746629740723</v>
      </c>
      <c r="BS42" s="22">
        <f t="shared" si="9"/>
        <v>4.9819377810030536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13.8</v>
      </c>
      <c r="BY42" s="12">
        <f>IF('Données projet'!$A$114&gt;35,BY41+BX42-CG41,IF(A42&lt;'Données projet'!$A$114,$BV$205^A42,IF(A42='Données projet'!$A$114,'Données projet'!$B$114,BY41+BX42-CG41)))</f>
        <v>300.2000000000001</v>
      </c>
      <c r="BZ42" s="13">
        <f>BY42*VLOOKUP('Données projet'!$B$12,Paramètres!$A$1:$I$89,3,0)*VLOOKUP('Données projet'!$B$12,Paramètres!$A$1:$I$89,5,0)</f>
        <v>163.90920000000006</v>
      </c>
      <c r="CA42" s="13">
        <f t="shared" si="39"/>
        <v>41.723003836805745</v>
      </c>
      <c r="CB42" s="20">
        <f t="shared" si="10"/>
        <v>358.14275501577009</v>
      </c>
      <c r="CC42" s="59">
        <f t="shared" si="11"/>
        <v>651.47608834910341</v>
      </c>
      <c r="CD42" s="59">
        <f ca="1">AVERAGE(OFFSET($CC$3,0,0,'Données projet'!$E$12+1,1))-AVERAGE(OFFSET($H$3,0,0,'Données projet'!$E$12+1,1))</f>
        <v>210.04871822652808</v>
      </c>
      <c r="CE42" s="59">
        <f t="shared" si="40"/>
        <v>250.17540614049324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6.1090519470659412</v>
      </c>
      <c r="CL42" s="21">
        <f>EXP(-LN(2)/25)*CL41+(1-EXP(-LN(2)/25))/(LN(2)/25)*Calculateur!CG42*Calculateur!CI42*VLOOKUP('Données projet'!$B$12,Paramètres!$A$1:$I$89,3,0)*0.475*44/12</f>
        <v>21.684706251451797</v>
      </c>
      <c r="CM42" s="21">
        <f>EXP(-LN(2)/2)*CM41+(1-EXP(-LN(2)/2))/(LN(2)/2)*CG42*CJ42*VLOOKUP('Données projet'!$B$12,Paramètres!$A$1:$I$89,3,0)*0.475*44/12</f>
        <v>0.95255630544510572</v>
      </c>
      <c r="CN42" s="22">
        <f t="shared" si="12"/>
        <v>28.746314503962843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263</v>
      </c>
      <c r="L43" s="12">
        <f>VLOOKUP(A43,'Données projet'!$A$35:$I$55,9,0)</f>
        <v>12.1</v>
      </c>
      <c r="M43" s="12">
        <f t="array" ref="M43">INDEX(L:L,MIN(IF(ISNUMBER(L43:L239),ROW(L43:L239),"")))</f>
        <v>12.1</v>
      </c>
      <c r="N43" s="13">
        <f>IF('Données projet'!$A$36&gt;35,N42+M43-V42,IF(A43&lt;'Données projet'!$A$36,$K$205^A43,IF(A43='Données projet'!$A$36,'Données projet'!$B$36,N42+M43-V42)))</f>
        <v>262.99999999999994</v>
      </c>
      <c r="O43" s="13">
        <f>N43*VLOOKUP('Données projet'!$B$9,Paramètres!$A$1:$I$89,3,0)*VLOOKUP('Données projet'!$B$9,Paramètres!$A$1:$I$89,5,0)</f>
        <v>192.83159999999995</v>
      </c>
      <c r="P43" s="13">
        <f t="shared" si="33"/>
        <v>48.165439402688818</v>
      </c>
      <c r="Q43" s="20">
        <f t="shared" si="53"/>
        <v>419.73651029301618</v>
      </c>
      <c r="R43" s="59">
        <f t="shared" si="0"/>
        <v>713.06984362634944</v>
      </c>
      <c r="S43" s="59">
        <f ca="1">AVERAGE(OFFSET($R$3,0,0,'Données projet'!$E$9+1,1))-AVERAGE(OFFSET($H$3,0,0,'Données projet'!$E$9+1,1))</f>
        <v>234.09142087023463</v>
      </c>
      <c r="T43" s="59">
        <f t="shared" si="34"/>
        <v>278.990685815294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2.0013704909938452</v>
      </c>
      <c r="AA43" s="21">
        <f>EXP(-LN(2)/25)*AA42+(1-EXP(-LN(2)/25))/(LN(2)/25)*Calculateur!V43*Calculateur!X43*VLOOKUP('Données projet'!$B$9,Paramètres!$A$1:$I$89,3,0)*0.475*44/12</f>
        <v>11.627255551965472</v>
      </c>
      <c r="AB43" s="21">
        <f>EXP(-LN(2)/2)*AB42+(1-EXP(-LN(2)/2))/(LN(2)/2)*V43*Y43*VLOOKUP('Données projet'!$B$9,Paramètres!$A$1:$I$89,3,0)*0.475*44/12</f>
        <v>0.69230061879877036</v>
      </c>
      <c r="AC43" s="22">
        <f t="shared" si="3"/>
        <v>14.320926661758088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22.419230769230779</v>
      </c>
      <c r="AI43" s="13">
        <f>IF('Données projet'!$A$62&gt;35,AI42+AH43-AQ42,IF(A43&lt;'Données projet'!$A$62,$AF$205^A43,IF(A43='Données projet'!$A$62,'Données projet'!$B$62,AI42+AH43-AQ42)))</f>
        <v>423.88461538461513</v>
      </c>
      <c r="AJ43" s="13">
        <f>AI43*VLOOKUP('Données projet'!$B$10,Paramètres!$A$1:$I$89,3,0)*VLOOKUP('Données projet'!$B$10,Paramètres!$A$1:$I$89,5,0)</f>
        <v>236.95149999999987</v>
      </c>
      <c r="AK43" s="13">
        <f t="shared" si="35"/>
        <v>57.783143668102703</v>
      </c>
      <c r="AL43" s="20">
        <f t="shared" si="4"/>
        <v>513.32950438861201</v>
      </c>
      <c r="AM43" s="59">
        <f t="shared" si="5"/>
        <v>806.66283772194538</v>
      </c>
      <c r="AN43" s="59">
        <f ca="1">AVERAGE(OFFSET($AM$3,0,0,'Données projet'!$E$10+1,1))-AVERAGE(OFFSET($H$3,0,0,'Données projet'!$E$10+1,1))</f>
        <v>255.5374979188561</v>
      </c>
      <c r="AO43" s="59">
        <f t="shared" si="36"/>
        <v>343.10418468620901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2.5348697579363599</v>
      </c>
      <c r="AV43" s="21">
        <f>EXP(-LN(2)/25)*AV42+(1-EXP(-LN(2)/25))/(LN(2)/25)*Calculateur!AQ43*Calculateur!AS43*VLOOKUP('Données projet'!$B$10,Paramètres!$A$1:$I$89,3,0)*0.475*44/12</f>
        <v>12.095614584773029</v>
      </c>
      <c r="AW43" s="21">
        <f>EXP(-LN(2)/2)*AW42+(1-EXP(-LN(2)/2))/(LN(2)/2)*AQ43*AT43*VLOOKUP('Données projet'!$B$10,Paramètres!$A$1:$I$89,3,0)*0.475*44/12</f>
        <v>5.2895377482939564E-2</v>
      </c>
      <c r="AX43" s="21">
        <f t="shared" si="6"/>
        <v>14.683379720192329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173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172.99999999999991</v>
      </c>
      <c r="BE43" s="13">
        <f>BD43*VLOOKUP('Données projet'!$B$11,Paramètres!$A$1:$I$89,3,0)*VLOOKUP('Données projet'!$B$11,Paramètres!$A$1:$I$89,5,0)</f>
        <v>148.43399999999994</v>
      </c>
      <c r="BF43" s="13">
        <f t="shared" si="37"/>
        <v>38.222489421716382</v>
      </c>
      <c r="BG43" s="20">
        <f t="shared" si="7"/>
        <v>325.09338574282259</v>
      </c>
      <c r="BH43" s="59">
        <f t="shared" si="8"/>
        <v>618.4267190761559</v>
      </c>
      <c r="BI43" s="59">
        <f ca="1">AVERAGE(OFFSET($BH$3,0,0,'Données projet'!$E$11+1,1))-AVERAGE(OFFSET($H$3,0,0,'Données projet'!$E$11+1,1))</f>
        <v>310.4018929413723</v>
      </c>
      <c r="BJ43" s="59">
        <f t="shared" si="38"/>
        <v>127.5231137583819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4.4618311667159594</v>
      </c>
      <c r="BR43" s="21">
        <f>EXP(-LN(2)/2)*BR42+(1-EXP(-LN(2)/2))/(LN(2)/2)*BL43*BO43*VLOOKUP('Données projet'!$B$11,Paramètres!$A$1:$I$89,3,0)*0.475*44/12</f>
        <v>0.27907204173260985</v>
      </c>
      <c r="BS43" s="22">
        <f t="shared" si="9"/>
        <v>4.7409032084485689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314</v>
      </c>
      <c r="BW43" s="12">
        <f>VLOOKUP(A43,'Données projet'!$A$113:$I$133,9,0)</f>
        <v>13.8</v>
      </c>
      <c r="BX43" s="12">
        <f t="array" ref="BX43">INDEX(BW:BW,MIN(IF(ISNUMBER(BW43:BW239),ROW(BW43:BW239),"")))</f>
        <v>13.8</v>
      </c>
      <c r="BY43" s="12">
        <f>IF('Données projet'!$A$114&gt;35,BY42+BX43-CG42,IF(A43&lt;'Données projet'!$A$114,$BV$205^A43,IF(A43='Données projet'!$A$114,'Données projet'!$B$114,BY42+BX43-CG42)))</f>
        <v>314.00000000000011</v>
      </c>
      <c r="BZ43" s="13">
        <f>BY43*VLOOKUP('Données projet'!$B$12,Paramètres!$A$1:$I$89,3,0)*VLOOKUP('Données projet'!$B$12,Paramètres!$A$1:$I$89,5,0)</f>
        <v>171.44400000000007</v>
      </c>
      <c r="CA43" s="13">
        <f t="shared" si="39"/>
        <v>43.413272173627242</v>
      </c>
      <c r="CB43" s="20">
        <f t="shared" si="10"/>
        <v>374.20974903573421</v>
      </c>
      <c r="CC43" s="59">
        <f t="shared" si="11"/>
        <v>667.54308236906752</v>
      </c>
      <c r="CD43" s="59">
        <f ca="1">AVERAGE(OFFSET($CC$3,0,0,'Données projet'!$E$12+1,1))-AVERAGE(OFFSET($H$3,0,0,'Données projet'!$E$12+1,1))</f>
        <v>210.04871822652808</v>
      </c>
      <c r="CE43" s="59">
        <f t="shared" si="40"/>
        <v>250.17540614049324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5.9892571645377384</v>
      </c>
      <c r="CL43" s="21">
        <f>EXP(-LN(2)/25)*CL42+(1-EXP(-LN(2)/25))/(LN(2)/25)*Calculateur!CG43*Calculateur!CI43*VLOOKUP('Données projet'!$B$12,Paramètres!$A$1:$I$89,3,0)*0.475*44/12</f>
        <v>21.091736818656706</v>
      </c>
      <c r="CM43" s="21">
        <f>EXP(-LN(2)/2)*CM42+(1-EXP(-LN(2)/2))/(LN(2)/2)*CG43*CJ43*VLOOKUP('Données projet'!$B$12,Paramètres!$A$1:$I$89,3,0)*0.475*44/12</f>
        <v>0.67355902304223858</v>
      </c>
      <c r="CN43" s="22">
        <f t="shared" si="12"/>
        <v>27.754553006236684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9.1999999999999993</v>
      </c>
      <c r="N44" s="13">
        <f>IF('Données projet'!$A$36&gt;35,N43+M44-V43,IF(A44&lt;'Données projet'!$A$36,$K$205^A44,IF(A44='Données projet'!$A$36,'Données projet'!$B$36,N43+M44-V43)))</f>
        <v>202.19999999999993</v>
      </c>
      <c r="O44" s="13">
        <f>N44*VLOOKUP('Données projet'!$B$9,Paramètres!$A$1:$I$89,3,0)*VLOOKUP('Données projet'!$B$9,Paramètres!$A$1:$I$89,5,0)</f>
        <v>148.25303999999994</v>
      </c>
      <c r="P44" s="13">
        <f t="shared" si="33"/>
        <v>38.181312421901637</v>
      </c>
      <c r="Q44" s="20">
        <f t="shared" si="53"/>
        <v>324.70649713481191</v>
      </c>
      <c r="R44" s="59">
        <f t="shared" si="0"/>
        <v>618.03983046814528</v>
      </c>
      <c r="S44" s="59">
        <f ca="1">AVERAGE(OFFSET($R$3,0,0,'Données projet'!$E$9+1,1))-AVERAGE(OFFSET($H$3,0,0,'Données projet'!$E$9+1,1))</f>
        <v>234.09142087023463</v>
      </c>
      <c r="T44" s="59">
        <f t="shared" si="34"/>
        <v>278.990685815294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1.9621248363809198</v>
      </c>
      <c r="AA44" s="21">
        <f>EXP(-LN(2)/25)*AA43+(1-EXP(-LN(2)/25))/(LN(2)/25)*Calculateur!V44*Calculateur!X44*VLOOKUP('Données projet'!$B$9,Paramètres!$A$1:$I$89,3,0)*0.475*44/12</f>
        <v>11.309307637446182</v>
      </c>
      <c r="AB44" s="21">
        <f>EXP(-LN(2)/2)*AB43+(1-EXP(-LN(2)/2))/(LN(2)/2)*V44*Y44*VLOOKUP('Données projet'!$B$9,Paramètres!$A$1:$I$89,3,0)*0.475*44/12</f>
        <v>0.4895304621722536</v>
      </c>
      <c r="AC44" s="22">
        <f t="shared" si="3"/>
        <v>13.760962935999355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22.419230769230779</v>
      </c>
      <c r="AI44" s="13">
        <f>IF('Données projet'!$A$62&gt;35,AI43+AH44-AQ43,IF(A44&lt;'Données projet'!$A$62,$AF$205^A44,IF(A44='Données projet'!$A$62,'Données projet'!$B$62,AI43+AH44-AQ43)))</f>
        <v>446.30384615384594</v>
      </c>
      <c r="AJ44" s="13">
        <f>AI44*VLOOKUP('Données projet'!$B$10,Paramètres!$A$1:$I$89,3,0)*VLOOKUP('Données projet'!$B$10,Paramètres!$A$1:$I$89,5,0)</f>
        <v>249.4838499999999</v>
      </c>
      <c r="AK44" s="13">
        <f t="shared" si="35"/>
        <v>60.475401807280001</v>
      </c>
      <c r="AL44" s="20">
        <f t="shared" si="4"/>
        <v>539.84569689767909</v>
      </c>
      <c r="AM44" s="59">
        <f t="shared" si="5"/>
        <v>833.17903023101235</v>
      </c>
      <c r="AN44" s="59">
        <f ca="1">AVERAGE(OFFSET($AM$3,0,0,'Données projet'!$E$10+1,1))-AVERAGE(OFFSET($H$3,0,0,'Données projet'!$E$10+1,1))</f>
        <v>255.5374979188561</v>
      </c>
      <c r="AO44" s="59">
        <f t="shared" si="36"/>
        <v>343.10418468620901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2.4851625081011139</v>
      </c>
      <c r="AV44" s="21">
        <f>EXP(-LN(2)/25)*AV43+(1-EXP(-LN(2)/25))/(LN(2)/25)*Calculateur!AQ44*Calculateur!AS44*VLOOKUP('Données projet'!$B$10,Paramètres!$A$1:$I$89,3,0)*0.475*44/12</f>
        <v>11.764859367871685</v>
      </c>
      <c r="AW44" s="21">
        <f>EXP(-LN(2)/2)*AW43+(1-EXP(-LN(2)/2))/(LN(2)/2)*AQ44*AT44*VLOOKUP('Données projet'!$B$10,Paramètres!$A$1:$I$89,3,0)*0.475*44/12</f>
        <v>3.7402680111608778E-2</v>
      </c>
      <c r="AX44" s="21">
        <f t="shared" si="6"/>
        <v>14.287424556084407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10.6</v>
      </c>
      <c r="BD44" s="12">
        <f>IF('Données projet'!$A$88&gt;35,BD43+BC44-BL43,IF(A44&lt;'Données projet'!$A$88,$BA$205^A44,IF(A44='Données projet'!$A$88,'Données projet'!$B$88,BD43+BC44-BL43)))</f>
        <v>132.59999999999991</v>
      </c>
      <c r="BE44" s="13">
        <f>BD44*VLOOKUP('Données projet'!$B$11,Paramètres!$A$1:$I$89,3,0)*VLOOKUP('Données projet'!$B$11,Paramètres!$A$1:$I$89,5,0)</f>
        <v>113.77079999999992</v>
      </c>
      <c r="BF44" s="13">
        <f t="shared" si="37"/>
        <v>30.217664170580228</v>
      </c>
      <c r="BG44" s="20">
        <f t="shared" si="7"/>
        <v>250.77990843042707</v>
      </c>
      <c r="BH44" s="59">
        <f t="shared" si="8"/>
        <v>544.11324176376036</v>
      </c>
      <c r="BI44" s="59">
        <f ca="1">AVERAGE(OFFSET($BH$3,0,0,'Données projet'!$E$11+1,1))-AVERAGE(OFFSET($H$3,0,0,'Données projet'!$E$11+1,1))</f>
        <v>310.4018929413723</v>
      </c>
      <c r="BJ44" s="59">
        <f t="shared" si="38"/>
        <v>127.5231137583819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4.3398221588246084</v>
      </c>
      <c r="BR44" s="21">
        <f>EXP(-LN(2)/2)*BR43+(1-EXP(-LN(2)/2))/(LN(2)/2)*BL44*BO44*VLOOKUP('Données projet'!$B$11,Paramètres!$A$1:$I$89,3,0)*0.475*44/12</f>
        <v>0.19733373314870362</v>
      </c>
      <c r="BS44" s="22">
        <f t="shared" si="9"/>
        <v>4.5371558919733124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245.50000000000011</v>
      </c>
      <c r="BZ44" s="13">
        <f>BY44*VLOOKUP('Données projet'!$B$12,Paramètres!$A$1:$I$89,3,0)*VLOOKUP('Données projet'!$B$12,Paramètres!$A$1:$I$89,5,0)</f>
        <v>134.04300000000006</v>
      </c>
      <c r="CA44" s="13">
        <f t="shared" si="39"/>
        <v>34.928906226695894</v>
      </c>
      <c r="CB44" s="20">
        <f t="shared" si="10"/>
        <v>294.2927366781621</v>
      </c>
      <c r="CC44" s="59">
        <f t="shared" si="11"/>
        <v>587.62607001149536</v>
      </c>
      <c r="CD44" s="59">
        <f ca="1">AVERAGE(OFFSET($CC$3,0,0,'Données projet'!$E$12+1,1))-AVERAGE(OFFSET($H$3,0,0,'Données projet'!$E$12+1,1))</f>
        <v>210.04871822652808</v>
      </c>
      <c r="CE44" s="59">
        <f t="shared" si="40"/>
        <v>250.17540614049324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5.8718114846273117</v>
      </c>
      <c r="CL44" s="21">
        <f>EXP(-LN(2)/25)*CL43+(1-EXP(-LN(2)/25))/(LN(2)/25)*Calculateur!CG44*Calculateur!CI44*VLOOKUP('Données projet'!$B$12,Paramètres!$A$1:$I$89,3,0)*0.475*44/12</f>
        <v>20.514982166184303</v>
      </c>
      <c r="CM44" s="21">
        <f>EXP(-LN(2)/2)*CM43+(1-EXP(-LN(2)/2))/(LN(2)/2)*CG44*CJ44*VLOOKUP('Données projet'!$B$12,Paramètres!$A$1:$I$89,3,0)*0.475*44/12</f>
        <v>0.47627815272255297</v>
      </c>
      <c r="CN44" s="22">
        <f t="shared" si="12"/>
        <v>26.863071803534169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9.1999999999999993</v>
      </c>
      <c r="N45" s="13">
        <f>IF('Données projet'!$A$36&gt;35,N44+M45-V44,IF(A45&lt;'Données projet'!$A$36,$K$205^A45,IF(A45='Données projet'!$A$36,'Données projet'!$B$36,N44+M45-V44)))</f>
        <v>211.39999999999992</v>
      </c>
      <c r="O45" s="13">
        <f>N45*VLOOKUP('Données projet'!$B$9,Paramètres!$A$1:$I$89,3,0)*VLOOKUP('Données projet'!$B$9,Paramètres!$A$1:$I$89,5,0)</f>
        <v>154.99847999999994</v>
      </c>
      <c r="P45" s="13">
        <f t="shared" si="33"/>
        <v>39.712331964500009</v>
      </c>
      <c r="Q45" s="20">
        <f t="shared" si="53"/>
        <v>339.12133083817071</v>
      </c>
      <c r="R45" s="59">
        <f t="shared" si="0"/>
        <v>632.45466417150396</v>
      </c>
      <c r="S45" s="59">
        <f ca="1">AVERAGE(OFFSET($R$3,0,0,'Données projet'!$E$9+1,1))-AVERAGE(OFFSET($H$3,0,0,'Données projet'!$E$9+1,1))</f>
        <v>234.09142087023463</v>
      </c>
      <c r="T45" s="59">
        <f t="shared" si="34"/>
        <v>278.990685815294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1.9236487651174681</v>
      </c>
      <c r="AA45" s="21">
        <f>EXP(-LN(2)/25)*AA44+(1-EXP(-LN(2)/25))/(LN(2)/25)*Calculateur!V45*Calculateur!X45*VLOOKUP('Données projet'!$B$9,Paramètres!$A$1:$I$89,3,0)*0.475*44/12</f>
        <v>11.000054025369575</v>
      </c>
      <c r="AB45" s="21">
        <f>EXP(-LN(2)/2)*AB44+(1-EXP(-LN(2)/2))/(LN(2)/2)*V45*Y45*VLOOKUP('Données projet'!$B$9,Paramètres!$A$1:$I$89,3,0)*0.475*44/12</f>
        <v>0.34615030939938524</v>
      </c>
      <c r="AC45" s="22">
        <f t="shared" si="3"/>
        <v>13.269853099886429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468.72307692307692</v>
      </c>
      <c r="AG45" s="12">
        <f>VLOOKUP(A45,'Données projet'!$A$61:$I$81,9,0)</f>
        <v>22.419230769230779</v>
      </c>
      <c r="AH45" s="12">
        <f t="array" ref="AH45">INDEX(AG:AG,MIN(IF(ISNUMBER(AG45:AG241),ROW(AG45:AG241),"")))</f>
        <v>22.419230769230779</v>
      </c>
      <c r="AI45" s="13">
        <f>IF('Données projet'!$A$62&gt;35,AI44+AH45-AQ44,IF(A45&lt;'Données projet'!$A$62,$AF$205^A45,IF(A45='Données projet'!$A$62,'Données projet'!$B$62,AI44+AH45-AQ44)))</f>
        <v>468.72307692307675</v>
      </c>
      <c r="AJ45" s="13">
        <f>AI45*VLOOKUP('Données projet'!$B$10,Paramètres!$A$1:$I$89,3,0)*VLOOKUP('Données projet'!$B$10,Paramètres!$A$1:$I$89,5,0)</f>
        <v>262.01619999999991</v>
      </c>
      <c r="AK45" s="13">
        <f t="shared" si="35"/>
        <v>63.151956912854573</v>
      </c>
      <c r="AL45" s="20">
        <f t="shared" si="4"/>
        <v>566.33453995655486</v>
      </c>
      <c r="AM45" s="59">
        <f t="shared" si="5"/>
        <v>859.66787328988812</v>
      </c>
      <c r="AN45" s="59">
        <f ca="1">AVERAGE(OFFSET($AM$3,0,0,'Données projet'!$E$10+1,1))-AVERAGE(OFFSET($H$3,0,0,'Données projet'!$E$10+1,1))</f>
        <v>255.5374979188561</v>
      </c>
      <c r="AO45" s="59">
        <f t="shared" si="36"/>
        <v>343.10418468620901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73.392307692307682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2.4364299871167083</v>
      </c>
      <c r="AV45" s="21">
        <f>EXP(-LN(2)/25)*AV44+(1-EXP(-LN(2)/25))/(LN(2)/25)*Calculateur!AQ45*Calculateur!AS45*VLOOKUP('Données projet'!$B$10,Paramètres!$A$1:$I$89,3,0)*0.475*44/12</f>
        <v>11.443148669770169</v>
      </c>
      <c r="AW45" s="21">
        <f>EXP(-LN(2)/2)*AW44+(1-EXP(-LN(2)/2))/(LN(2)/2)*AQ45*AT45*VLOOKUP('Données projet'!$B$10,Paramètres!$A$1:$I$89,3,0)*0.475*44/12</f>
        <v>2.6447688741469782E-2</v>
      </c>
      <c r="AX45" s="21">
        <f t="shared" si="6"/>
        <v>13.906026345628348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10.6</v>
      </c>
      <c r="BD45" s="12">
        <f>IF('Données projet'!$A$88&gt;35,BD44+BC45-BL44,IF(A45&lt;'Données projet'!$A$88,$BA$205^A45,IF(A45='Données projet'!$A$88,'Données projet'!$B$88,BD44+BC45-BL44)))</f>
        <v>143.1999999999999</v>
      </c>
      <c r="BE45" s="13">
        <f>BD45*VLOOKUP('Données projet'!$B$11,Paramètres!$A$1:$I$89,3,0)*VLOOKUP('Données projet'!$B$11,Paramètres!$A$1:$I$89,5,0)</f>
        <v>122.86559999999993</v>
      </c>
      <c r="BF45" s="13">
        <f t="shared" si="37"/>
        <v>32.342432698195715</v>
      </c>
      <c r="BG45" s="20">
        <f t="shared" si="7"/>
        <v>270.32065694935739</v>
      </c>
      <c r="BH45" s="59">
        <f t="shared" si="8"/>
        <v>563.65399028269076</v>
      </c>
      <c r="BI45" s="59">
        <f ca="1">AVERAGE(OFFSET($BH$3,0,0,'Données projet'!$E$11+1,1))-AVERAGE(OFFSET($H$3,0,0,'Données projet'!$E$11+1,1))</f>
        <v>310.4018929413723</v>
      </c>
      <c r="BJ45" s="59">
        <f t="shared" si="38"/>
        <v>127.5231137583819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4.2211494936702207</v>
      </c>
      <c r="BR45" s="21">
        <f>EXP(-LN(2)/2)*BR44+(1-EXP(-LN(2)/2))/(LN(2)/2)*BL45*BO45*VLOOKUP('Données projet'!$B$11,Paramètres!$A$1:$I$89,3,0)*0.475*44/12</f>
        <v>0.13953602086630493</v>
      </c>
      <c r="BS45" s="22">
        <f t="shared" si="9"/>
        <v>4.3606855145365255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257.00000000000011</v>
      </c>
      <c r="BZ45" s="13">
        <f>BY45*VLOOKUP('Données projet'!$B$12,Paramètres!$A$1:$I$89,3,0)*VLOOKUP('Données projet'!$B$12,Paramètres!$A$1:$I$89,5,0)</f>
        <v>140.32200000000006</v>
      </c>
      <c r="CA45" s="13">
        <f t="shared" si="39"/>
        <v>36.370761307502896</v>
      </c>
      <c r="CB45" s="20">
        <f t="shared" si="10"/>
        <v>307.73989261056767</v>
      </c>
      <c r="CC45" s="59">
        <f t="shared" si="11"/>
        <v>601.07322594390098</v>
      </c>
      <c r="CD45" s="59">
        <f ca="1">AVERAGE(OFFSET($CC$3,0,0,'Données projet'!$E$12+1,1))-AVERAGE(OFFSET($H$3,0,0,'Données projet'!$E$12+1,1))</f>
        <v>210.04871822652808</v>
      </c>
      <c r="CE45" s="59">
        <f t="shared" si="40"/>
        <v>250.17540614049324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5.7566688428651371</v>
      </c>
      <c r="CL45" s="21">
        <f>EXP(-LN(2)/25)*CL44+(1-EXP(-LN(2)/25))/(LN(2)/25)*Calculateur!CG45*Calculateur!CI45*VLOOKUP('Données projet'!$B$12,Paramètres!$A$1:$I$89,3,0)*0.475*44/12</f>
        <v>19.953998900013968</v>
      </c>
      <c r="CM45" s="21">
        <f>EXP(-LN(2)/2)*CM44+(1-EXP(-LN(2)/2))/(LN(2)/2)*CG45*CJ45*VLOOKUP('Données projet'!$B$12,Paramètres!$A$1:$I$89,3,0)*0.475*44/12</f>
        <v>0.33677951152111935</v>
      </c>
      <c r="CN45" s="22">
        <f t="shared" si="12"/>
        <v>26.047447254400222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9.1999999999999993</v>
      </c>
      <c r="N46" s="13">
        <f>IF('Données projet'!$A$36&gt;35,N45+M46-V45,IF(A46&lt;'Données projet'!$A$36,$K$205^A46,IF(A46='Données projet'!$A$36,'Données projet'!$B$36,N45+M46-V45)))</f>
        <v>220.59999999999991</v>
      </c>
      <c r="O46" s="13">
        <f>N46*VLOOKUP('Données projet'!$B$9,Paramètres!$A$1:$I$89,3,0)*VLOOKUP('Données projet'!$B$9,Paramètres!$A$1:$I$89,5,0)</f>
        <v>161.74391999999992</v>
      </c>
      <c r="P46" s="13">
        <f t="shared" si="33"/>
        <v>41.235612917424163</v>
      </c>
      <c r="Q46" s="20">
        <f t="shared" si="53"/>
        <v>353.52268649784691</v>
      </c>
      <c r="R46" s="59">
        <f t="shared" si="0"/>
        <v>646.85601983118022</v>
      </c>
      <c r="S46" s="59">
        <f ca="1">AVERAGE(OFFSET($R$3,0,0,'Données projet'!$E$9+1,1))-AVERAGE(OFFSET($H$3,0,0,'Données projet'!$E$9+1,1))</f>
        <v>234.09142087023463</v>
      </c>
      <c r="T46" s="59">
        <f t="shared" si="34"/>
        <v>278.990685815294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1.8859271861434066</v>
      </c>
      <c r="AA46" s="21">
        <f>EXP(-LN(2)/25)*AA45+(1-EXP(-LN(2)/25))/(LN(2)/25)*Calculateur!V46*Calculateur!X46*VLOOKUP('Données projet'!$B$9,Paramètres!$A$1:$I$89,3,0)*0.475*44/12</f>
        <v>10.699256969578144</v>
      </c>
      <c r="AB46" s="21">
        <f>EXP(-LN(2)/2)*AB45+(1-EXP(-LN(2)/2))/(LN(2)/2)*V46*Y46*VLOOKUP('Données projet'!$B$9,Paramètres!$A$1:$I$89,3,0)*0.475*44/12</f>
        <v>0.24476523108612683</v>
      </c>
      <c r="AC46" s="22">
        <f t="shared" si="3"/>
        <v>12.829949386807678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21.625641025641027</v>
      </c>
      <c r="AI46" s="13">
        <f>IF('Données projet'!$A$62&gt;35,AI45+AH46-AQ45,IF(A46&lt;'Données projet'!$A$62,$AF$205^A46,IF(A46='Données projet'!$A$62,'Données projet'!$B$62,AI45+AH46-AQ45)))</f>
        <v>416.95641025641009</v>
      </c>
      <c r="AJ46" s="13">
        <f>AI46*VLOOKUP('Données projet'!$B$10,Paramètres!$A$1:$I$89,3,0)*VLOOKUP('Données projet'!$B$10,Paramètres!$A$1:$I$89,5,0)</f>
        <v>233.07863333333327</v>
      </c>
      <c r="AK46" s="13">
        <f t="shared" si="35"/>
        <v>56.947838023653489</v>
      </c>
      <c r="AL46" s="20">
        <f t="shared" si="4"/>
        <v>505.12943761341859</v>
      </c>
      <c r="AM46" s="59">
        <f t="shared" si="5"/>
        <v>798.4627709467519</v>
      </c>
      <c r="AN46" s="59">
        <f ca="1">AVERAGE(OFFSET($AM$3,0,0,'Données projet'!$E$10+1,1))-AVERAGE(OFFSET($H$3,0,0,'Données projet'!$E$10+1,1))</f>
        <v>255.5374979188561</v>
      </c>
      <c r="AO46" s="59">
        <f t="shared" si="36"/>
        <v>343.10418468620901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2.3886530811449043</v>
      </c>
      <c r="AV46" s="21">
        <f>EXP(-LN(2)/25)*AV45+(1-EXP(-LN(2)/25))/(LN(2)/25)*Calculateur!AQ46*Calculateur!AS46*VLOOKUP('Données projet'!$B$10,Paramètres!$A$1:$I$89,3,0)*0.475*44/12</f>
        <v>11.130235167626269</v>
      </c>
      <c r="AW46" s="21">
        <f>EXP(-LN(2)/2)*AW45+(1-EXP(-LN(2)/2))/(LN(2)/2)*AQ46*AT46*VLOOKUP('Données projet'!$B$10,Paramètres!$A$1:$I$89,3,0)*0.475*44/12</f>
        <v>1.8701340055804389E-2</v>
      </c>
      <c r="AX46" s="21">
        <f t="shared" si="6"/>
        <v>13.537589588826977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</v>
      </c>
      <c r="BD46" s="12">
        <f>IF('Données projet'!$A$88&gt;35,BD45+BC46-BL45,IF(A46&lt;'Données projet'!$A$88,$BA$205^A46,IF(A46='Données projet'!$A$88,'Données projet'!$B$88,BD45+BC46-BL45)))</f>
        <v>153.7999999999999</v>
      </c>
      <c r="BE46" s="13">
        <f>BD46*VLOOKUP('Données projet'!$B$11,Paramètres!$A$1:$I$89,3,0)*VLOOKUP('Données projet'!$B$11,Paramètres!$A$1:$I$89,5,0)</f>
        <v>131.96039999999991</v>
      </c>
      <c r="BF46" s="13">
        <f t="shared" si="37"/>
        <v>34.448954856861199</v>
      </c>
      <c r="BG46" s="20">
        <f t="shared" si="7"/>
        <v>289.82962637569977</v>
      </c>
      <c r="BH46" s="59">
        <f t="shared" si="8"/>
        <v>583.16295970903309</v>
      </c>
      <c r="BI46" s="59">
        <f ca="1">AVERAGE(OFFSET($BH$3,0,0,'Données projet'!$E$11+1,1))-AVERAGE(OFFSET($H$3,0,0,'Données projet'!$E$11+1,1))</f>
        <v>310.4018929413723</v>
      </c>
      <c r="BJ46" s="59">
        <f t="shared" si="38"/>
        <v>127.5231137583819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4.1057219387852042</v>
      </c>
      <c r="BR46" s="21">
        <f>EXP(-LN(2)/2)*BR45+(1-EXP(-LN(2)/2))/(LN(2)/2)*BL46*BO46*VLOOKUP('Données projet'!$B$11,Paramètres!$A$1:$I$89,3,0)*0.475*44/12</f>
        <v>9.8666866574351808E-2</v>
      </c>
      <c r="BS46" s="22">
        <f t="shared" si="9"/>
        <v>4.2043888053595557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268.50000000000011</v>
      </c>
      <c r="BZ46" s="13">
        <f>BY46*VLOOKUP('Données projet'!$B$12,Paramètres!$A$1:$I$89,3,0)*VLOOKUP('Données projet'!$B$12,Paramètres!$A$1:$I$89,5,0)</f>
        <v>146.60100000000006</v>
      </c>
      <c r="CA46" s="13">
        <f t="shared" si="39"/>
        <v>37.805123282858517</v>
      </c>
      <c r="CB46" s="20">
        <f t="shared" si="10"/>
        <v>321.1739980509787</v>
      </c>
      <c r="CC46" s="59">
        <f t="shared" si="11"/>
        <v>614.50733138431201</v>
      </c>
      <c r="CD46" s="59">
        <f ca="1">AVERAGE(OFFSET($CC$3,0,0,'Données projet'!$E$12+1,1))-AVERAGE(OFFSET($H$3,0,0,'Données projet'!$E$12+1,1))</f>
        <v>210.04871822652808</v>
      </c>
      <c r="CE46" s="59">
        <f t="shared" si="40"/>
        <v>250.17540614049324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5.6437840780778412</v>
      </c>
      <c r="CL46" s="21">
        <f>EXP(-LN(2)/25)*CL45+(1-EXP(-LN(2)/25))/(LN(2)/25)*Calculateur!CG46*Calculateur!CI46*VLOOKUP('Données projet'!$B$12,Paramètres!$A$1:$I$89,3,0)*0.475*44/12</f>
        <v>19.408355750757888</v>
      </c>
      <c r="CM46" s="21">
        <f>EXP(-LN(2)/2)*CM45+(1-EXP(-LN(2)/2))/(LN(2)/2)*CG46*CJ46*VLOOKUP('Données projet'!$B$12,Paramètres!$A$1:$I$89,3,0)*0.475*44/12</f>
        <v>0.23813907636127651</v>
      </c>
      <c r="CN46" s="22">
        <f t="shared" si="12"/>
        <v>25.290278905197003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9.1999999999999993</v>
      </c>
      <c r="N47" s="13">
        <f>IF('Données projet'!$A$36&gt;35,N46+M47-V46,IF(A47&lt;'Données projet'!$A$36,$K$205^A47,IF(A47='Données projet'!$A$36,'Données projet'!$B$36,N46+M47-V46)))</f>
        <v>229.7999999999999</v>
      </c>
      <c r="O47" s="13">
        <f>N47*VLOOKUP('Données projet'!$B$9,Paramètres!$A$1:$I$89,3,0)*VLOOKUP('Données projet'!$B$9,Paramètres!$A$1:$I$89,5,0)</f>
        <v>168.48935999999992</v>
      </c>
      <c r="P47" s="13">
        <f t="shared" si="33"/>
        <v>42.75151491995225</v>
      </c>
      <c r="Q47" s="20">
        <f t="shared" si="53"/>
        <v>367.91119048558335</v>
      </c>
      <c r="R47" s="59">
        <f t="shared" si="0"/>
        <v>661.2445238189166</v>
      </c>
      <c r="S47" s="59">
        <f ca="1">AVERAGE(OFFSET($R$3,0,0,'Données projet'!$E$9+1,1))-AVERAGE(OFFSET($H$3,0,0,'Données projet'!$E$9+1,1))</f>
        <v>234.09142087023463</v>
      </c>
      <c r="T47" s="59">
        <f t="shared" si="34"/>
        <v>278.990685815294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1.8489453043251352</v>
      </c>
      <c r="AA47" s="21">
        <f>EXP(-LN(2)/25)*AA46+(1-EXP(-LN(2)/25))/(LN(2)/25)*Calculateur!V47*Calculateur!X47*VLOOKUP('Données projet'!$B$9,Paramètres!$A$1:$I$89,3,0)*0.475*44/12</f>
        <v>10.406685225095559</v>
      </c>
      <c r="AB47" s="21">
        <f>EXP(-LN(2)/2)*AB46+(1-EXP(-LN(2)/2))/(LN(2)/2)*V47*Y47*VLOOKUP('Données projet'!$B$9,Paramètres!$A$1:$I$89,3,0)*0.475*44/12</f>
        <v>0.17307515469969265</v>
      </c>
      <c r="AC47" s="22">
        <f t="shared" si="3"/>
        <v>12.428705684120386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21.625641025641027</v>
      </c>
      <c r="AI47" s="13">
        <f>IF('Données projet'!$A$62&gt;35,AI46+AH47-AQ46,IF(A47&lt;'Données projet'!$A$62,$AF$205^A47,IF(A47='Données projet'!$A$62,'Données projet'!$B$62,AI46+AH47-AQ46)))</f>
        <v>438.58205128205111</v>
      </c>
      <c r="AJ47" s="13">
        <f>AI47*VLOOKUP('Données projet'!$B$10,Paramètres!$A$1:$I$89,3,0)*VLOOKUP('Données projet'!$B$10,Paramètres!$A$1:$I$89,5,0)</f>
        <v>245.16736666666657</v>
      </c>
      <c r="AK47" s="13">
        <f t="shared" si="35"/>
        <v>59.549932468183236</v>
      </c>
      <c r="AL47" s="20">
        <f t="shared" si="4"/>
        <v>530.71596265986329</v>
      </c>
      <c r="AM47" s="59">
        <f t="shared" si="5"/>
        <v>824.04929599319667</v>
      </c>
      <c r="AN47" s="59">
        <f ca="1">AVERAGE(OFFSET($AM$3,0,0,'Données projet'!$E$10+1,1))-AVERAGE(OFFSET($H$3,0,0,'Données projet'!$E$10+1,1))</f>
        <v>255.5374979188561</v>
      </c>
      <c r="AO47" s="59">
        <f t="shared" si="36"/>
        <v>343.10418468620901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2.3418130511581721</v>
      </c>
      <c r="AV47" s="21">
        <f>EXP(-LN(2)/25)*AV46+(1-EXP(-LN(2)/25))/(LN(2)/25)*Calculateur!AQ47*Calculateur!AS47*VLOOKUP('Données projet'!$B$10,Paramètres!$A$1:$I$89,3,0)*0.475*44/12</f>
        <v>10.8258783016539</v>
      </c>
      <c r="AW47" s="21">
        <f>EXP(-LN(2)/2)*AW46+(1-EXP(-LN(2)/2))/(LN(2)/2)*AQ47*AT47*VLOOKUP('Données projet'!$B$10,Paramètres!$A$1:$I$89,3,0)*0.475*44/12</f>
        <v>1.3223844370734891E-2</v>
      </c>
      <c r="AX47" s="21">
        <f t="shared" si="6"/>
        <v>13.180915197182806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</v>
      </c>
      <c r="BD47" s="12">
        <f>IF('Données projet'!$A$88&gt;35,BD46+BC47-BL46,IF(A47&lt;'Données projet'!$A$88,$BA$205^A47,IF(A47='Données projet'!$A$88,'Données projet'!$B$88,BD46+BC47-BL46)))</f>
        <v>164.39999999999989</v>
      </c>
      <c r="BE47" s="13">
        <f>BD47*VLOOKUP('Données projet'!$B$11,Paramètres!$A$1:$I$89,3,0)*VLOOKUP('Données projet'!$B$11,Paramètres!$A$1:$I$89,5,0)</f>
        <v>141.05519999999993</v>
      </c>
      <c r="BF47" s="13">
        <f t="shared" si="37"/>
        <v>36.53863125528558</v>
      </c>
      <c r="BG47" s="20">
        <f t="shared" si="7"/>
        <v>309.3092561029556</v>
      </c>
      <c r="BH47" s="59">
        <f t="shared" si="8"/>
        <v>602.64258943628897</v>
      </c>
      <c r="BI47" s="59">
        <f ca="1">AVERAGE(OFFSET($BH$3,0,0,'Données projet'!$E$11+1,1))-AVERAGE(OFFSET($H$3,0,0,'Données projet'!$E$11+1,1))</f>
        <v>310.4018929413723</v>
      </c>
      <c r="BJ47" s="59">
        <f t="shared" si="38"/>
        <v>127.5231137583819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3.9934507564585897</v>
      </c>
      <c r="BR47" s="21">
        <f>EXP(-LN(2)/2)*BR46+(1-EXP(-LN(2)/2))/(LN(2)/2)*BL47*BO47*VLOOKUP('Données projet'!$B$11,Paramètres!$A$1:$I$89,3,0)*0.475*44/12</f>
        <v>6.9768010433152464E-2</v>
      </c>
      <c r="BS47" s="22">
        <f t="shared" si="9"/>
        <v>4.0632187668917421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280.00000000000011</v>
      </c>
      <c r="BZ47" s="13">
        <f>BY47*VLOOKUP('Données projet'!$B$12,Paramètres!$A$1:$I$89,3,0)*VLOOKUP('Données projet'!$B$12,Paramètres!$A$1:$I$89,5,0)</f>
        <v>152.88000000000005</v>
      </c>
      <c r="CA47" s="13">
        <f t="shared" si="39"/>
        <v>39.232349774697852</v>
      </c>
      <c r="CB47" s="20">
        <f t="shared" si="10"/>
        <v>334.59567585759885</v>
      </c>
      <c r="CC47" s="59">
        <f t="shared" si="11"/>
        <v>627.92900919093222</v>
      </c>
      <c r="CD47" s="59">
        <f ca="1">AVERAGE(OFFSET($CC$3,0,0,'Données projet'!$E$12+1,1))-AVERAGE(OFFSET($H$3,0,0,'Données projet'!$E$12+1,1))</f>
        <v>210.04871822652808</v>
      </c>
      <c r="CE47" s="59">
        <f t="shared" si="40"/>
        <v>250.17540614049324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5.533112914675117</v>
      </c>
      <c r="CL47" s="21">
        <f>EXP(-LN(2)/25)*CL46+(1-EXP(-LN(2)/25))/(LN(2)/25)*Calculateur!CG47*Calculateur!CI47*VLOOKUP('Données projet'!$B$12,Paramètres!$A$1:$I$89,3,0)*0.475*44/12</f>
        <v>18.877633242112342</v>
      </c>
      <c r="CM47" s="21">
        <f>EXP(-LN(2)/2)*CM46+(1-EXP(-LN(2)/2))/(LN(2)/2)*CG47*CJ47*VLOOKUP('Données projet'!$B$12,Paramètres!$A$1:$I$89,3,0)*0.475*44/12</f>
        <v>0.1683897557605597</v>
      </c>
      <c r="CN47" s="22">
        <f t="shared" si="12"/>
        <v>24.579135912548022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9.1999999999999993</v>
      </c>
      <c r="N48" s="13">
        <f>IF('Données projet'!$A$36&gt;35,N47+M48-V47,IF(A48&lt;'Données projet'!$A$36,$K$205^A48,IF(A48='Données projet'!$A$36,'Données projet'!$B$36,N47+M48-V47)))</f>
        <v>238.99999999999989</v>
      </c>
      <c r="O48" s="13">
        <f>N48*VLOOKUP('Données projet'!$B$9,Paramètres!$A$1:$I$89,3,0)*VLOOKUP('Données projet'!$B$9,Paramètres!$A$1:$I$89,5,0)</f>
        <v>175.23479999999992</v>
      </c>
      <c r="P48" s="13">
        <f t="shared" si="33"/>
        <v>44.260367185241478</v>
      </c>
      <c r="Q48" s="20">
        <f t="shared" si="53"/>
        <v>382.28741618096211</v>
      </c>
      <c r="R48" s="59">
        <f t="shared" si="0"/>
        <v>675.62074951429543</v>
      </c>
      <c r="S48" s="59">
        <f ca="1">AVERAGE(OFFSET($R$3,0,0,'Données projet'!$E$9+1,1))-AVERAGE(OFFSET($H$3,0,0,'Données projet'!$E$9+1,1))</f>
        <v>234.09142087023463</v>
      </c>
      <c r="T48" s="59">
        <f t="shared" si="34"/>
        <v>278.990685815294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1.8126886146525993</v>
      </c>
      <c r="AA48" s="21">
        <f>EXP(-LN(2)/25)*AA47+(1-EXP(-LN(2)/25))/(LN(2)/25)*Calculateur!V48*Calculateur!X48*VLOOKUP('Données projet'!$B$9,Paramètres!$A$1:$I$89,3,0)*0.475*44/12</f>
        <v>10.12211387035153</v>
      </c>
      <c r="AB48" s="21">
        <f>EXP(-LN(2)/2)*AB47+(1-EXP(-LN(2)/2))/(LN(2)/2)*V48*Y48*VLOOKUP('Données projet'!$B$9,Paramètres!$A$1:$I$89,3,0)*0.475*44/12</f>
        <v>0.12238261554306344</v>
      </c>
      <c r="AC48" s="22">
        <f t="shared" si="3"/>
        <v>12.057185100547192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21.625641025641027</v>
      </c>
      <c r="AI48" s="13">
        <f>IF('Données projet'!$A$62&gt;35,AI47+AH48-AQ47,IF(A48&lt;'Données projet'!$A$62,$AF$205^A48,IF(A48='Données projet'!$A$62,'Données projet'!$B$62,AI47+AH48-AQ47)))</f>
        <v>460.20769230769213</v>
      </c>
      <c r="AJ48" s="13">
        <f>AI48*VLOOKUP('Données projet'!$B$10,Paramètres!$A$1:$I$89,3,0)*VLOOKUP('Données projet'!$B$10,Paramètres!$A$1:$I$89,5,0)</f>
        <v>257.25609999999995</v>
      </c>
      <c r="AK48" s="13">
        <f t="shared" si="35"/>
        <v>62.137128695600659</v>
      </c>
      <c r="AL48" s="20">
        <f t="shared" si="4"/>
        <v>556.27653997817106</v>
      </c>
      <c r="AM48" s="59">
        <f t="shared" si="5"/>
        <v>849.60987331150432</v>
      </c>
      <c r="AN48" s="59">
        <f ca="1">AVERAGE(OFFSET($AM$3,0,0,'Données projet'!$E$10+1,1))-AVERAGE(OFFSET($H$3,0,0,'Données projet'!$E$10+1,1))</f>
        <v>255.5374979188561</v>
      </c>
      <c r="AO48" s="59">
        <f t="shared" si="36"/>
        <v>343.10418468620901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2.2958915255898824</v>
      </c>
      <c r="AV48" s="21">
        <f>EXP(-LN(2)/25)*AV47+(1-EXP(-LN(2)/25))/(LN(2)/25)*Calculateur!AQ48*Calculateur!AS48*VLOOKUP('Données projet'!$B$10,Paramètres!$A$1:$I$89,3,0)*0.475*44/12</f>
        <v>10.529844090186977</v>
      </c>
      <c r="AW48" s="21">
        <f>EXP(-LN(2)/2)*AW47+(1-EXP(-LN(2)/2))/(LN(2)/2)*AQ48*AT48*VLOOKUP('Données projet'!$B$10,Paramètres!$A$1:$I$89,3,0)*0.475*44/12</f>
        <v>9.3506700279021946E-3</v>
      </c>
      <c r="AX48" s="21">
        <f t="shared" si="6"/>
        <v>12.835086285804762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</v>
      </c>
      <c r="BD48" s="12">
        <f>IF('Données projet'!$A$88&gt;35,BD47+BC48-BL47,IF(A48&lt;'Données projet'!$A$88,$BA$205^A48,IF(A48='Données projet'!$A$88,'Données projet'!$B$88,BD47+BC48-BL47)))</f>
        <v>174.99999999999989</v>
      </c>
      <c r="BE48" s="13">
        <f>BD48*VLOOKUP('Données projet'!$B$11,Paramètres!$A$1:$I$89,3,0)*VLOOKUP('Données projet'!$B$11,Paramètres!$A$1:$I$89,5,0)</f>
        <v>150.14999999999992</v>
      </c>
      <c r="BF48" s="13">
        <f t="shared" si="37"/>
        <v>38.612671675922336</v>
      </c>
      <c r="BG48" s="20">
        <f t="shared" si="7"/>
        <v>328.76165316889791</v>
      </c>
      <c r="BH48" s="59">
        <f t="shared" si="8"/>
        <v>622.09498650223122</v>
      </c>
      <c r="BI48" s="59">
        <f ca="1">AVERAGE(OFFSET($BH$3,0,0,'Données projet'!$E$11+1,1))-AVERAGE(OFFSET($H$3,0,0,'Données projet'!$E$11+1,1))</f>
        <v>310.4018929413723</v>
      </c>
      <c r="BJ48" s="59">
        <f t="shared" si="38"/>
        <v>127.5231137583819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3.8842496355167815</v>
      </c>
      <c r="BR48" s="21">
        <f>EXP(-LN(2)/2)*BR47+(1-EXP(-LN(2)/2))/(LN(2)/2)*BL48*BO48*VLOOKUP('Données projet'!$B$11,Paramètres!$A$1:$I$89,3,0)*0.475*44/12</f>
        <v>4.9333433287175904E-2</v>
      </c>
      <c r="BS48" s="22">
        <f t="shared" si="9"/>
        <v>3.9335830688039573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291.50000000000011</v>
      </c>
      <c r="BZ48" s="13">
        <f>BY48*VLOOKUP('Données projet'!$B$12,Paramètres!$A$1:$I$89,3,0)*VLOOKUP('Données projet'!$B$12,Paramètres!$A$1:$I$89,5,0)</f>
        <v>159.15900000000008</v>
      </c>
      <c r="CA48" s="13">
        <f t="shared" si="39"/>
        <v>40.65276736661405</v>
      </c>
      <c r="CB48" s="20">
        <f t="shared" si="10"/>
        <v>348.00549483018625</v>
      </c>
      <c r="CC48" s="59">
        <f t="shared" si="11"/>
        <v>641.33882816351957</v>
      </c>
      <c r="CD48" s="59">
        <f ca="1">AVERAGE(OFFSET($CC$3,0,0,'Données projet'!$E$12+1,1))-AVERAGE(OFFSET($H$3,0,0,'Données projet'!$E$12+1,1))</f>
        <v>210.04871822652808</v>
      </c>
      <c r="CE48" s="59">
        <f t="shared" si="40"/>
        <v>250.17540614049324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5.4246119452839761</v>
      </c>
      <c r="CL48" s="21">
        <f>EXP(-LN(2)/25)*CL47+(1-EXP(-LN(2)/25))/(LN(2)/25)*Calculateur!CG48*Calculateur!CI48*VLOOKUP('Données projet'!$B$12,Paramètres!$A$1:$I$89,3,0)*0.475*44/12</f>
        <v>18.361423368375192</v>
      </c>
      <c r="CM48" s="21">
        <f>EXP(-LN(2)/2)*CM47+(1-EXP(-LN(2)/2))/(LN(2)/2)*CG48*CJ48*VLOOKUP('Données projet'!$B$12,Paramètres!$A$1:$I$89,3,0)*0.475*44/12</f>
        <v>0.11906953818063827</v>
      </c>
      <c r="CN48" s="22">
        <f t="shared" si="12"/>
        <v>23.905104851839809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9.1999999999999993</v>
      </c>
      <c r="N49" s="13">
        <f>IF('Données projet'!$A$36&gt;35,N48+M49-V48,IF(A49&lt;'Données projet'!$A$36,$K$205^A49,IF(A49='Données projet'!$A$36,'Données projet'!$B$36,N48+M49-V48)))</f>
        <v>248.19999999999987</v>
      </c>
      <c r="O49" s="13">
        <f>N49*VLOOKUP('Données projet'!$B$9,Paramètres!$A$1:$I$89,3,0)*VLOOKUP('Données projet'!$B$9,Paramètres!$A$1:$I$89,5,0)</f>
        <v>181.98023999999992</v>
      </c>
      <c r="P49" s="13">
        <f t="shared" si="33"/>
        <v>45.762472145848697</v>
      </c>
      <c r="Q49" s="20">
        <f t="shared" si="53"/>
        <v>396.65189032068633</v>
      </c>
      <c r="R49" s="59">
        <f t="shared" si="0"/>
        <v>689.98522365401959</v>
      </c>
      <c r="S49" s="59">
        <f ca="1">AVERAGE(OFFSET($R$3,0,0,'Données projet'!$E$9+1,1))-AVERAGE(OFFSET($H$3,0,0,'Données projet'!$E$9+1,1))</f>
        <v>234.09142087023463</v>
      </c>
      <c r="T49" s="59">
        <f t="shared" si="34"/>
        <v>278.990685815294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1.7771428965501448</v>
      </c>
      <c r="AA49" s="21">
        <f>EXP(-LN(2)/25)*AA48+(1-EXP(-LN(2)/25))/(LN(2)/25)*Calculateur!V49*Calculateur!X49*VLOOKUP('Données projet'!$B$9,Paramètres!$A$1:$I$89,3,0)*0.475*44/12</f>
        <v>9.8453241342679334</v>
      </c>
      <c r="AB49" s="21">
        <f>EXP(-LN(2)/2)*AB48+(1-EXP(-LN(2)/2))/(LN(2)/2)*V49*Y49*VLOOKUP('Données projet'!$B$9,Paramètres!$A$1:$I$89,3,0)*0.475*44/12</f>
        <v>8.6537577349846337E-2</v>
      </c>
      <c r="AC49" s="22">
        <f t="shared" si="3"/>
        <v>11.709004608167925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21.625641025641027</v>
      </c>
      <c r="AI49" s="13">
        <f>IF('Données projet'!$A$62&gt;35,AI48+AH49-AQ48,IF(A49&lt;'Données projet'!$A$62,$AF$205^A49,IF(A49='Données projet'!$A$62,'Données projet'!$B$62,AI48+AH49-AQ48)))</f>
        <v>481.83333333333314</v>
      </c>
      <c r="AJ49" s="13">
        <f>AI49*VLOOKUP('Données projet'!$B$10,Paramètres!$A$1:$I$89,3,0)*VLOOKUP('Données projet'!$B$10,Paramètres!$A$1:$I$89,5,0)</f>
        <v>269.34483333333321</v>
      </c>
      <c r="AK49" s="13">
        <f t="shared" si="35"/>
        <v>64.710206731812519</v>
      </c>
      <c r="AL49" s="20">
        <f t="shared" si="4"/>
        <v>581.81252811346212</v>
      </c>
      <c r="AM49" s="59">
        <f t="shared" si="5"/>
        <v>875.14586144679538</v>
      </c>
      <c r="AN49" s="59">
        <f ca="1">AVERAGE(OFFSET($AM$3,0,0,'Données projet'!$E$10+1,1))-AVERAGE(OFFSET($H$3,0,0,'Données projet'!$E$10+1,1))</f>
        <v>255.5374979188561</v>
      </c>
      <c r="AO49" s="59">
        <f t="shared" si="36"/>
        <v>343.10418468620901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2.2508704931286219</v>
      </c>
      <c r="AV49" s="21">
        <f>EXP(-LN(2)/25)*AV48+(1-EXP(-LN(2)/25))/(LN(2)/25)*Calculateur!AQ49*Calculateur!AS49*VLOOKUP('Données projet'!$B$10,Paramètres!$A$1:$I$89,3,0)*0.475*44/12</f>
        <v>10.241904949800379</v>
      </c>
      <c r="AW49" s="21">
        <f>EXP(-LN(2)/2)*AW48+(1-EXP(-LN(2)/2))/(LN(2)/2)*AQ49*AT49*VLOOKUP('Données projet'!$B$10,Paramètres!$A$1:$I$89,3,0)*0.475*44/12</f>
        <v>6.6119221853674455E-3</v>
      </c>
      <c r="AX49" s="21">
        <f t="shared" si="6"/>
        <v>12.499387365114368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</v>
      </c>
      <c r="BD49" s="12">
        <f>IF('Données projet'!$A$88&gt;35,BD48+BC49-BL48,IF(A49&lt;'Données projet'!$A$88,$BA$205^A49,IF(A49='Données projet'!$A$88,'Données projet'!$B$88,BD48+BC49-BL48)))</f>
        <v>185.59999999999988</v>
      </c>
      <c r="BE49" s="13">
        <f>BD49*VLOOKUP('Données projet'!$B$11,Paramètres!$A$1:$I$89,3,0)*VLOOKUP('Données projet'!$B$11,Paramètres!$A$1:$I$89,5,0)</f>
        <v>159.24479999999991</v>
      </c>
      <c r="BF49" s="13">
        <f t="shared" si="37"/>
        <v>40.672131063901716</v>
      </c>
      <c r="BG49" s="20">
        <f t="shared" si="7"/>
        <v>348.18865493629534</v>
      </c>
      <c r="BH49" s="59">
        <f t="shared" si="8"/>
        <v>641.52198826962865</v>
      </c>
      <c r="BI49" s="59">
        <f ca="1">AVERAGE(OFFSET($BH$3,0,0,'Données projet'!$E$11+1,1))-AVERAGE(OFFSET($H$3,0,0,'Données projet'!$E$11+1,1))</f>
        <v>310.4018929413723</v>
      </c>
      <c r="BJ49" s="59">
        <f t="shared" si="38"/>
        <v>127.5231137583819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3.7780346249697643</v>
      </c>
      <c r="BR49" s="21">
        <f>EXP(-LN(2)/2)*BR48+(1-EXP(-LN(2)/2))/(LN(2)/2)*BL49*BO49*VLOOKUP('Données projet'!$B$11,Paramètres!$A$1:$I$89,3,0)*0.475*44/12</f>
        <v>3.4884005216576232E-2</v>
      </c>
      <c r="BS49" s="22">
        <f t="shared" si="9"/>
        <v>3.8129186301863407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303.00000000000011</v>
      </c>
      <c r="BZ49" s="13">
        <f>BY49*VLOOKUP('Données projet'!$B$12,Paramètres!$A$1:$I$89,3,0)*VLOOKUP('Données projet'!$B$12,Paramètres!$A$1:$I$89,5,0)</f>
        <v>165.43800000000007</v>
      </c>
      <c r="CA49" s="13">
        <f t="shared" si="39"/>
        <v>42.066675415215805</v>
      </c>
      <c r="CB49" s="20">
        <f t="shared" si="10"/>
        <v>361.40397634816759</v>
      </c>
      <c r="CC49" s="59">
        <f t="shared" si="11"/>
        <v>654.73730968150085</v>
      </c>
      <c r="CD49" s="59">
        <f ca="1">AVERAGE(OFFSET($CC$3,0,0,'Données projet'!$E$12+1,1))-AVERAGE(OFFSET($H$3,0,0,'Données projet'!$E$12+1,1))</f>
        <v>210.04871822652808</v>
      </c>
      <c r="CE49" s="59">
        <f t="shared" si="40"/>
        <v>250.17540614049324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5.3182386137235387</v>
      </c>
      <c r="CL49" s="21">
        <f>EXP(-LN(2)/25)*CL48+(1-EXP(-LN(2)/25))/(LN(2)/25)*Calculateur!CG49*Calculateur!CI49*VLOOKUP('Données projet'!$B$12,Paramètres!$A$1:$I$89,3,0)*0.475*44/12</f>
        <v>17.859329280781683</v>
      </c>
      <c r="CM49" s="21">
        <f>EXP(-LN(2)/2)*CM48+(1-EXP(-LN(2)/2))/(LN(2)/2)*CG49*CJ49*VLOOKUP('Données projet'!$B$12,Paramètres!$A$1:$I$89,3,0)*0.475*44/12</f>
        <v>8.4194877880279864E-2</v>
      </c>
      <c r="CN49" s="22">
        <f t="shared" si="12"/>
        <v>23.261762772385502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9.1999999999999993</v>
      </c>
      <c r="N50" s="13">
        <f>IF('Données projet'!$A$36&gt;35,N49+M50-V49,IF(A50&lt;'Données projet'!$A$36,$K$205^A50,IF(A50='Données projet'!$A$36,'Données projet'!$B$36,N49+M50-V49)))</f>
        <v>257.39999999999986</v>
      </c>
      <c r="O50" s="13">
        <f>N50*VLOOKUP('Données projet'!$B$9,Paramètres!$A$1:$I$89,3,0)*VLOOKUP('Données projet'!$B$9,Paramètres!$A$1:$I$89,5,0)</f>
        <v>188.7256799999999</v>
      </c>
      <c r="P50" s="13">
        <f t="shared" si="33"/>
        <v>47.258108543543521</v>
      </c>
      <c r="Q50" s="20">
        <f t="shared" si="53"/>
        <v>411.00509838000477</v>
      </c>
      <c r="R50" s="59">
        <f t="shared" si="0"/>
        <v>704.33843171333808</v>
      </c>
      <c r="S50" s="59">
        <f ca="1">AVERAGE(OFFSET($R$3,0,0,'Données projet'!$E$9+1,1))-AVERAGE(OFFSET($H$3,0,0,'Données projet'!$E$9+1,1))</f>
        <v>234.09142087023463</v>
      </c>
      <c r="T50" s="59">
        <f t="shared" si="34"/>
        <v>278.990685815294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1.7422942082989321</v>
      </c>
      <c r="AA50" s="21">
        <f>EXP(-LN(2)/25)*AA49+(1-EXP(-LN(2)/25))/(LN(2)/25)*Calculateur!V50*Calculateur!X50*VLOOKUP('Données projet'!$B$9,Paramètres!$A$1:$I$89,3,0)*0.475*44/12</f>
        <v>9.5761032280732827</v>
      </c>
      <c r="AB50" s="21">
        <f>EXP(-LN(2)/2)*AB49+(1-EXP(-LN(2)/2))/(LN(2)/2)*V50*Y50*VLOOKUP('Données projet'!$B$9,Paramètres!$A$1:$I$89,3,0)*0.475*44/12</f>
        <v>6.1191307771531728E-2</v>
      </c>
      <c r="AC50" s="22">
        <f t="shared" si="3"/>
        <v>11.379588744143748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21.625641025641027</v>
      </c>
      <c r="AI50" s="13">
        <f>IF('Données projet'!$A$62&gt;35,AI49+AH50-AQ49,IF(A50&lt;'Données projet'!$A$62,$AF$205^A50,IF(A50='Données projet'!$A$62,'Données projet'!$B$62,AI49+AH50-AQ49)))</f>
        <v>503.45897435897416</v>
      </c>
      <c r="AJ50" s="13">
        <f>AI50*VLOOKUP('Données projet'!$B$10,Paramètres!$A$1:$I$89,3,0)*VLOOKUP('Données projet'!$B$10,Paramètres!$A$1:$I$89,5,0)</f>
        <v>281.43356666666659</v>
      </c>
      <c r="AK50" s="13">
        <f t="shared" si="35"/>
        <v>67.26987262617007</v>
      </c>
      <c r="AL50" s="20">
        <f t="shared" si="4"/>
        <v>607.32515676835726</v>
      </c>
      <c r="AM50" s="59">
        <f t="shared" si="5"/>
        <v>900.65849010169063</v>
      </c>
      <c r="AN50" s="59">
        <f ca="1">AVERAGE(OFFSET($AM$3,0,0,'Données projet'!$E$10+1,1))-AVERAGE(OFFSET($H$3,0,0,'Données projet'!$E$10+1,1))</f>
        <v>255.5374979188561</v>
      </c>
      <c r="AO50" s="59">
        <f t="shared" si="36"/>
        <v>343.10418468620901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2.2067322956538082</v>
      </c>
      <c r="AV50" s="21">
        <f>EXP(-LN(2)/25)*AV49+(1-EXP(-LN(2)/25))/(LN(2)/25)*Calculateur!AQ50*Calculateur!AS50*VLOOKUP('Données projet'!$B$10,Paramètres!$A$1:$I$89,3,0)*0.475*44/12</f>
        <v>9.9618395203497148</v>
      </c>
      <c r="AW50" s="21">
        <f>EXP(-LN(2)/2)*AW49+(1-EXP(-LN(2)/2))/(LN(2)/2)*AQ50*AT50*VLOOKUP('Données projet'!$B$10,Paramètres!$A$1:$I$89,3,0)*0.475*44/12</f>
        <v>4.6753350139510973E-3</v>
      </c>
      <c r="AX50" s="21">
        <f t="shared" si="6"/>
        <v>12.173247151017474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</v>
      </c>
      <c r="BD50" s="12">
        <f>IF('Données projet'!$A$88&gt;35,BD49+BC50-BL49,IF(A50&lt;'Données projet'!$A$88,$BA$205^A50,IF(A50='Données projet'!$A$88,'Données projet'!$B$88,BD49+BC50-BL49)))</f>
        <v>196.19999999999987</v>
      </c>
      <c r="BE50" s="13">
        <f>BD50*VLOOKUP('Données projet'!$B$11,Paramètres!$A$1:$I$89,3,0)*VLOOKUP('Données projet'!$B$11,Paramètres!$A$1:$I$89,5,0)</f>
        <v>168.3395999999999</v>
      </c>
      <c r="BF50" s="13">
        <f t="shared" si="37"/>
        <v>42.717937057957599</v>
      </c>
      <c r="BG50" s="20">
        <f t="shared" si="7"/>
        <v>367.59187704260927</v>
      </c>
      <c r="BH50" s="59">
        <f t="shared" si="8"/>
        <v>660.92521037594258</v>
      </c>
      <c r="BI50" s="59">
        <f ca="1">AVERAGE(OFFSET($BH$3,0,0,'Données projet'!$E$11+1,1))-AVERAGE(OFFSET($H$3,0,0,'Données projet'!$E$11+1,1))</f>
        <v>310.4018929413723</v>
      </c>
      <c r="BJ50" s="59">
        <f t="shared" si="38"/>
        <v>127.5231137583819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3.6747240694717598</v>
      </c>
      <c r="BR50" s="21">
        <f>EXP(-LN(2)/2)*BR49+(1-EXP(-LN(2)/2))/(LN(2)/2)*BL50*BO50*VLOOKUP('Données projet'!$B$11,Paramètres!$A$1:$I$89,3,0)*0.475*44/12</f>
        <v>2.4666716643587952E-2</v>
      </c>
      <c r="BS50" s="22">
        <f t="shared" si="9"/>
        <v>3.6993907861153477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314.50000000000011</v>
      </c>
      <c r="BZ50" s="13">
        <f>BY50*VLOOKUP('Données projet'!$B$12,Paramètres!$A$1:$I$89,3,0)*VLOOKUP('Données projet'!$B$12,Paramètres!$A$1:$I$89,5,0)</f>
        <v>171.71700000000004</v>
      </c>
      <c r="CA50" s="13">
        <f t="shared" si="39"/>
        <v>43.474349266591211</v>
      </c>
      <c r="CB50" s="20">
        <f t="shared" si="10"/>
        <v>374.79159997264645</v>
      </c>
      <c r="CC50" s="59">
        <f t="shared" si="11"/>
        <v>668.12493330597977</v>
      </c>
      <c r="CD50" s="59">
        <f ca="1">AVERAGE(OFFSET($CC$3,0,0,'Données projet'!$E$12+1,1))-AVERAGE(OFFSET($H$3,0,0,'Données projet'!$E$12+1,1))</f>
        <v>210.04871822652808</v>
      </c>
      <c r="CE50" s="59">
        <f t="shared" si="40"/>
        <v>250.17540614049324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5.2139511983136755</v>
      </c>
      <c r="CL50" s="21">
        <f>EXP(-LN(2)/25)*CL49+(1-EXP(-LN(2)/25))/(LN(2)/25)*Calculateur!CG50*Calculateur!CI50*VLOOKUP('Données projet'!$B$12,Paramètres!$A$1:$I$89,3,0)*0.475*44/12</f>
        <v>17.370964982417398</v>
      </c>
      <c r="CM50" s="21">
        <f>EXP(-LN(2)/2)*CM49+(1-EXP(-LN(2)/2))/(LN(2)/2)*CG50*CJ50*VLOOKUP('Données projet'!$B$12,Paramètres!$A$1:$I$89,3,0)*0.475*44/12</f>
        <v>5.9534769090319149E-2</v>
      </c>
      <c r="CN50" s="22">
        <f t="shared" si="12"/>
        <v>22.644450949821394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9.1999999999999993</v>
      </c>
      <c r="N51" s="13">
        <f>IF('Données projet'!$A$36&gt;35,N50+M51-V50,IF(A51&lt;'Données projet'!$A$36,$K$205^A51,IF(A51='Données projet'!$A$36,'Données projet'!$B$36,N50+M51-V50)))</f>
        <v>266.59999999999985</v>
      </c>
      <c r="O51" s="13">
        <f>N51*VLOOKUP('Données projet'!$B$9,Paramètres!$A$1:$I$89,3,0)*VLOOKUP('Données projet'!$B$9,Paramètres!$A$1:$I$89,5,0)</f>
        <v>195.47111999999987</v>
      </c>
      <c r="P51" s="13">
        <f t="shared" si="33"/>
        <v>48.747534064963503</v>
      </c>
      <c r="Q51" s="20">
        <f t="shared" si="53"/>
        <v>425.34748916314453</v>
      </c>
      <c r="R51" s="59">
        <f t="shared" si="0"/>
        <v>718.68082249647784</v>
      </c>
      <c r="S51" s="59">
        <f ca="1">AVERAGE(OFFSET($R$3,0,0,'Données projet'!$E$9+1,1))-AVERAGE(OFFSET($H$3,0,0,'Données projet'!$E$9+1,1))</f>
        <v>234.09142087023463</v>
      </c>
      <c r="T51" s="59">
        <f t="shared" si="34"/>
        <v>278.990685815294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1.7081288815687248</v>
      </c>
      <c r="AA51" s="21">
        <f>EXP(-LN(2)/25)*AA50+(1-EXP(-LN(2)/25))/(LN(2)/25)*Calculateur!V51*Calculateur!X51*VLOOKUP('Données projet'!$B$9,Paramètres!$A$1:$I$89,3,0)*0.475*44/12</f>
        <v>9.3142441817162371</v>
      </c>
      <c r="AB51" s="21">
        <f>EXP(-LN(2)/2)*AB50+(1-EXP(-LN(2)/2))/(LN(2)/2)*V51*Y51*VLOOKUP('Données projet'!$B$9,Paramètres!$A$1:$I$89,3,0)*0.475*44/12</f>
        <v>4.3268788674923175E-2</v>
      </c>
      <c r="AC51" s="22">
        <f t="shared" si="3"/>
        <v>11.065641851959885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525.0846153846154</v>
      </c>
      <c r="AG51" s="12">
        <f>VLOOKUP(A51,'Données projet'!$A$61:$I$81,9,0)</f>
        <v>21.625641025641027</v>
      </c>
      <c r="AH51" s="12">
        <f t="array" ref="AH51">INDEX(AG:AG,MIN(IF(ISNUMBER(AG51:AG247),ROW(AG51:AG247),"")))</f>
        <v>21.625641025641027</v>
      </c>
      <c r="AI51" s="13">
        <f>IF('Données projet'!$A$62&gt;35,AI50+AH51-AQ50,IF(A51&lt;'Données projet'!$A$62,$AF$205^A51,IF(A51='Données projet'!$A$62,'Données projet'!$B$62,AI50+AH51-AQ50)))</f>
        <v>525.08461538461518</v>
      </c>
      <c r="AJ51" s="13">
        <f>AI51*VLOOKUP('Données projet'!$B$10,Paramètres!$A$1:$I$89,3,0)*VLOOKUP('Données projet'!$B$10,Paramètres!$A$1:$I$89,5,0)</f>
        <v>293.52229999999986</v>
      </c>
      <c r="AK51" s="13">
        <f t="shared" si="35"/>
        <v>69.816768342057628</v>
      </c>
      <c r="AL51" s="20">
        <f t="shared" si="4"/>
        <v>632.81554402908341</v>
      </c>
      <c r="AM51" s="59">
        <f t="shared" si="5"/>
        <v>926.14887736241667</v>
      </c>
      <c r="AN51" s="59">
        <f ca="1">AVERAGE(OFFSET($AM$3,0,0,'Données projet'!$E$10+1,1))-AVERAGE(OFFSET($H$3,0,0,'Données projet'!$E$10+1,1))</f>
        <v>255.5374979188561</v>
      </c>
      <c r="AO51" s="59">
        <f t="shared" si="36"/>
        <v>343.10418468620901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81.330769230769235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2.1634596213098334</v>
      </c>
      <c r="AV51" s="21">
        <f>EXP(-LN(2)/25)*AV50+(1-EXP(-LN(2)/25))/(LN(2)/25)*Calculateur!AQ51*Calculateur!AS51*VLOOKUP('Données projet'!$B$10,Paramètres!$A$1:$I$89,3,0)*0.475*44/12</f>
        <v>9.6894324947953798</v>
      </c>
      <c r="AW51" s="21">
        <f>EXP(-LN(2)/2)*AW50+(1-EXP(-LN(2)/2))/(LN(2)/2)*AQ51*AT51*VLOOKUP('Données projet'!$B$10,Paramètres!$A$1:$I$89,3,0)*0.475*44/12</f>
        <v>3.3059610926837227E-3</v>
      </c>
      <c r="AX51" s="21">
        <f t="shared" si="6"/>
        <v>11.856198077197897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10.6</v>
      </c>
      <c r="BD51" s="12">
        <f>IF('Données projet'!$A$88&gt;35,BD50+BC51-BL50,IF(A51&lt;'Données projet'!$A$88,$BA$205^A51,IF(A51='Données projet'!$A$88,'Données projet'!$B$88,BD50+BC51-BL50)))</f>
        <v>206.79999999999987</v>
      </c>
      <c r="BE51" s="13">
        <f>BD51*VLOOKUP('Données projet'!$B$11,Paramètres!$A$1:$I$89,3,0)*VLOOKUP('Données projet'!$B$11,Paramètres!$A$1:$I$89,5,0)</f>
        <v>177.4343999999999</v>
      </c>
      <c r="BF51" s="13">
        <f t="shared" si="37"/>
        <v>44.750911401641211</v>
      </c>
      <c r="BG51" s="20">
        <f t="shared" si="7"/>
        <v>386.97275069119155</v>
      </c>
      <c r="BH51" s="59">
        <f t="shared" si="8"/>
        <v>680.30608402452481</v>
      </c>
      <c r="BI51" s="59">
        <f ca="1">AVERAGE(OFFSET($BH$3,0,0,'Données projet'!$E$11+1,1))-AVERAGE(OFFSET($H$3,0,0,'Données projet'!$E$11+1,1))</f>
        <v>310.4018929413723</v>
      </c>
      <c r="BJ51" s="59">
        <f t="shared" si="38"/>
        <v>127.5231137583819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3.5742385465467144</v>
      </c>
      <c r="BR51" s="21">
        <f>EXP(-LN(2)/2)*BR50+(1-EXP(-LN(2)/2))/(LN(2)/2)*BL51*BO51*VLOOKUP('Données projet'!$B$11,Paramètres!$A$1:$I$89,3,0)*0.475*44/12</f>
        <v>1.7442002608288116E-2</v>
      </c>
      <c r="BS51" s="22">
        <f t="shared" si="9"/>
        <v>3.5916805491550026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326.00000000000011</v>
      </c>
      <c r="BZ51" s="13">
        <f>BY51*VLOOKUP('Données projet'!$B$12,Paramètres!$A$1:$I$89,3,0)*VLOOKUP('Données projet'!$B$12,Paramètres!$A$1:$I$89,5,0)</f>
        <v>177.99600000000007</v>
      </c>
      <c r="CA51" s="13">
        <f t="shared" si="39"/>
        <v>44.876042989096391</v>
      </c>
      <c r="CB51" s="20">
        <f t="shared" si="10"/>
        <v>388.1688082060096</v>
      </c>
      <c r="CC51" s="59">
        <f t="shared" si="11"/>
        <v>681.50214153934292</v>
      </c>
      <c r="CD51" s="59">
        <f ca="1">AVERAGE(OFFSET($CC$3,0,0,'Données projet'!$E$12+1,1))-AVERAGE(OFFSET($H$3,0,0,'Données projet'!$E$12+1,1))</f>
        <v>210.04871822652808</v>
      </c>
      <c r="CE51" s="59">
        <f t="shared" si="40"/>
        <v>250.17540614049324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5.1117087955109568</v>
      </c>
      <c r="CL51" s="21">
        <f>EXP(-LN(2)/25)*CL50+(1-EXP(-LN(2)/25))/(LN(2)/25)*Calculateur!CG51*Calculateur!CI51*VLOOKUP('Données projet'!$B$12,Paramètres!$A$1:$I$89,3,0)*0.475*44/12</f>
        <v>16.895955031473846</v>
      </c>
      <c r="CM51" s="21">
        <f>EXP(-LN(2)/2)*CM50+(1-EXP(-LN(2)/2))/(LN(2)/2)*CG51*CJ51*VLOOKUP('Données projet'!$B$12,Paramètres!$A$1:$I$89,3,0)*0.475*44/12</f>
        <v>4.2097438940139939E-2</v>
      </c>
      <c r="CN51" s="22">
        <f t="shared" si="12"/>
        <v>22.049761265924943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9.1999999999999993</v>
      </c>
      <c r="N52" s="13">
        <f>IF('Données projet'!$A$36&gt;35,N51+M52-V51,IF(A52&lt;'Données projet'!$A$36,$K$205^A52,IF(A52='Données projet'!$A$36,'Données projet'!$B$36,N51+M52-V51)))</f>
        <v>275.79999999999984</v>
      </c>
      <c r="O52" s="13">
        <f>N52*VLOOKUP('Données projet'!$B$9,Paramètres!$A$1:$I$89,3,0)*VLOOKUP('Données projet'!$B$9,Paramètres!$A$1:$I$89,5,0)</f>
        <v>202.21655999999987</v>
      </c>
      <c r="P52" s="13">
        <f t="shared" si="33"/>
        <v>50.230987603236251</v>
      </c>
      <c r="Q52" s="20">
        <f t="shared" si="53"/>
        <v>439.67947874230293</v>
      </c>
      <c r="R52" s="59">
        <f t="shared" si="0"/>
        <v>733.01281207563625</v>
      </c>
      <c r="S52" s="59">
        <f ca="1">AVERAGE(OFFSET($R$3,0,0,'Données projet'!$E$9+1,1))-AVERAGE(OFFSET($H$3,0,0,'Données projet'!$E$9+1,1))</f>
        <v>234.09142087023463</v>
      </c>
      <c r="T52" s="59">
        <f t="shared" si="34"/>
        <v>278.990685815294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1.674633516056905</v>
      </c>
      <c r="AA52" s="21">
        <f>EXP(-LN(2)/25)*AA51+(1-EXP(-LN(2)/25))/(LN(2)/25)*Calculateur!V52*Calculateur!X52*VLOOKUP('Données projet'!$B$9,Paramètres!$A$1:$I$89,3,0)*0.475*44/12</f>
        <v>9.0595456847523934</v>
      </c>
      <c r="AB52" s="21">
        <f>EXP(-LN(2)/2)*AB51+(1-EXP(-LN(2)/2))/(LN(2)/2)*V52*Y52*VLOOKUP('Données projet'!$B$9,Paramètres!$A$1:$I$89,3,0)*0.475*44/12</f>
        <v>3.0595653885765871E-2</v>
      </c>
      <c r="AC52" s="22">
        <f t="shared" si="3"/>
        <v>10.764774854695064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20.507692307692299</v>
      </c>
      <c r="AI52" s="13">
        <f>IF('Données projet'!$A$62&gt;35,AI51+AH52-AQ51,IF(A52&lt;'Données projet'!$A$62,$AF$205^A52,IF(A52='Données projet'!$A$62,'Données projet'!$B$62,AI51+AH52-AQ51)))</f>
        <v>464.26153846153824</v>
      </c>
      <c r="AJ52" s="13">
        <f>AI52*VLOOKUP('Données projet'!$B$10,Paramètres!$A$1:$I$89,3,0)*VLOOKUP('Données projet'!$B$10,Paramètres!$A$1:$I$89,5,0)</f>
        <v>259.52219999999988</v>
      </c>
      <c r="AK52" s="13">
        <f t="shared" si="35"/>
        <v>62.620519404058868</v>
      </c>
      <c r="AL52" s="20">
        <f t="shared" si="4"/>
        <v>561.06523629540231</v>
      </c>
      <c r="AM52" s="59">
        <f t="shared" si="5"/>
        <v>854.39856962873569</v>
      </c>
      <c r="AN52" s="59">
        <f ca="1">AVERAGE(OFFSET($AM$3,0,0,'Données projet'!$E$10+1,1))-AVERAGE(OFFSET($H$3,0,0,'Données projet'!$E$10+1,1))</f>
        <v>255.5374979188561</v>
      </c>
      <c r="AO52" s="59">
        <f t="shared" si="36"/>
        <v>343.10418468620901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2.1210354977160186</v>
      </c>
      <c r="AV52" s="21">
        <f>EXP(-LN(2)/25)*AV51+(1-EXP(-LN(2)/25))/(LN(2)/25)*Calculateur!AQ52*Calculateur!AS52*VLOOKUP('Données projet'!$B$10,Paramètres!$A$1:$I$89,3,0)*0.475*44/12</f>
        <v>9.4244744536800908</v>
      </c>
      <c r="AW52" s="21">
        <f>EXP(-LN(2)/2)*AW51+(1-EXP(-LN(2)/2))/(LN(2)/2)*AQ52*AT52*VLOOKUP('Données projet'!$B$10,Paramètres!$A$1:$I$89,3,0)*0.475*44/12</f>
        <v>2.3376675069755487E-3</v>
      </c>
      <c r="AX52" s="21">
        <f t="shared" si="6"/>
        <v>11.547847618903084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10.6</v>
      </c>
      <c r="BD52" s="12">
        <f>IF('Données projet'!$A$88&gt;35,BD51+BC52-BL51,IF(A52&lt;'Données projet'!$A$88,$BA$205^A52,IF(A52='Données projet'!$A$88,'Données projet'!$B$88,BD51+BC52-BL51)))</f>
        <v>217.39999999999986</v>
      </c>
      <c r="BE52" s="13">
        <f>BD52*VLOOKUP('Données projet'!$B$11,Paramètres!$A$1:$I$89,3,0)*VLOOKUP('Données projet'!$B$11,Paramètres!$A$1:$I$89,5,0)</f>
        <v>186.52919999999992</v>
      </c>
      <c r="BF52" s="13">
        <f t="shared" si="37"/>
        <v>46.771786839640335</v>
      </c>
      <c r="BG52" s="20">
        <f t="shared" si="7"/>
        <v>406.33255207904011</v>
      </c>
      <c r="BH52" s="59">
        <f t="shared" si="8"/>
        <v>699.66588541237343</v>
      </c>
      <c r="BI52" s="59">
        <f ca="1">AVERAGE(OFFSET($BH$3,0,0,'Données projet'!$E$11+1,1))-AVERAGE(OFFSET($H$3,0,0,'Données projet'!$E$11+1,1))</f>
        <v>310.4018929413723</v>
      </c>
      <c r="BJ52" s="59">
        <f t="shared" si="38"/>
        <v>127.5231137583819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3.4765008055303581</v>
      </c>
      <c r="BR52" s="21">
        <f>EXP(-LN(2)/2)*BR51+(1-EXP(-LN(2)/2))/(LN(2)/2)*BL52*BO52*VLOOKUP('Données projet'!$B$11,Paramètres!$A$1:$I$89,3,0)*0.475*44/12</f>
        <v>1.2333358321793976E-2</v>
      </c>
      <c r="BS52" s="22">
        <f t="shared" si="9"/>
        <v>3.4888341638521521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337.50000000000011</v>
      </c>
      <c r="BZ52" s="13">
        <f>BY52*VLOOKUP('Données projet'!$B$12,Paramètres!$A$1:$I$89,3,0)*VLOOKUP('Données projet'!$B$12,Paramètres!$A$1:$I$89,5,0)</f>
        <v>184.27500000000003</v>
      </c>
      <c r="CA52" s="13">
        <f t="shared" si="39"/>
        <v>46.27199170970021</v>
      </c>
      <c r="CB52" s="20">
        <f t="shared" si="10"/>
        <v>401.53601056106123</v>
      </c>
      <c r="CC52" s="59">
        <f t="shared" si="11"/>
        <v>694.86934389439455</v>
      </c>
      <c r="CD52" s="59">
        <f ca="1">AVERAGE(OFFSET($CC$3,0,0,'Données projet'!$E$12+1,1))-AVERAGE(OFFSET($H$3,0,0,'Données projet'!$E$12+1,1))</f>
        <v>210.04871822652808</v>
      </c>
      <c r="CE52" s="59">
        <f t="shared" si="40"/>
        <v>250.17540614049324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5.0114713038654912</v>
      </c>
      <c r="CL52" s="21">
        <f>EXP(-LN(2)/25)*CL51+(1-EXP(-LN(2)/25))/(LN(2)/25)*Calculateur!CG52*Calculateur!CI52*VLOOKUP('Données projet'!$B$12,Paramètres!$A$1:$I$89,3,0)*0.475*44/12</f>
        <v>16.433934252618535</v>
      </c>
      <c r="CM52" s="21">
        <f>EXP(-LN(2)/2)*CM51+(1-EXP(-LN(2)/2))/(LN(2)/2)*CG52*CJ52*VLOOKUP('Données projet'!$B$12,Paramètres!$A$1:$I$89,3,0)*0.475*44/12</f>
        <v>2.9767384545159578E-2</v>
      </c>
      <c r="CN52" s="22">
        <f t="shared" si="12"/>
        <v>21.475172941029186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285</v>
      </c>
      <c r="L53" s="12">
        <f>VLOOKUP(A53,'Données projet'!$A$35:$I$55,9,0)</f>
        <v>9.1999999999999993</v>
      </c>
      <c r="M53" s="12">
        <f t="array" ref="M53">INDEX(L:L,MIN(IF(ISNUMBER(L53:L249),ROW(L53:L249),"")))</f>
        <v>9.1999999999999993</v>
      </c>
      <c r="N53" s="13">
        <f>IF('Données projet'!$A$36&gt;35,N52+M53-V52,IF(A53&lt;'Données projet'!$A$36,$K$205^A53,IF(A53='Données projet'!$A$36,'Données projet'!$B$36,N52+M53-V52)))</f>
        <v>284.99999999999983</v>
      </c>
      <c r="O53" s="13">
        <f>N53*VLOOKUP('Données projet'!$B$9,Paramètres!$A$1:$I$89,3,0)*VLOOKUP('Données projet'!$B$9,Paramètres!$A$1:$I$89,5,0)</f>
        <v>208.96199999999985</v>
      </c>
      <c r="P53" s="13">
        <f t="shared" si="33"/>
        <v>51.708691209356381</v>
      </c>
      <c r="Q53" s="20">
        <f t="shared" si="53"/>
        <v>454.00145385629543</v>
      </c>
      <c r="R53" s="59">
        <f t="shared" si="0"/>
        <v>747.33478718962874</v>
      </c>
      <c r="S53" s="59">
        <f ca="1">AVERAGE(OFFSET($R$3,0,0,'Données projet'!$E$9+1,1))-AVERAGE(OFFSET($H$3,0,0,'Données projet'!$E$9+1,1))</f>
        <v>234.09142087023463</v>
      </c>
      <c r="T53" s="59">
        <f t="shared" si="34"/>
        <v>278.990685815294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43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1.6417949742326166</v>
      </c>
      <c r="AA53" s="21">
        <f>EXP(-LN(2)/25)*AA52+(1-EXP(-LN(2)/25))/(LN(2)/25)*Calculateur!V53*Calculateur!X53*VLOOKUP('Données projet'!$B$9,Paramètres!$A$1:$I$89,3,0)*0.475*44/12</f>
        <v>8.8118119315820369</v>
      </c>
      <c r="AB53" s="21">
        <f>EXP(-LN(2)/2)*AB52+(1-EXP(-LN(2)/2))/(LN(2)/2)*V53*Y53*VLOOKUP('Données projet'!$B$9,Paramètres!$A$1:$I$89,3,0)*0.475*44/12</f>
        <v>2.1634394337461591E-2</v>
      </c>
      <c r="AC53" s="22">
        <f t="shared" si="3"/>
        <v>10.475241300152115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20.507692307692299</v>
      </c>
      <c r="AI53" s="13">
        <f>IF('Données projet'!$A$62&gt;35,AI52+AH53-AQ52,IF(A53&lt;'Données projet'!$A$62,$AF$205^A53,IF(A53='Données projet'!$A$62,'Données projet'!$B$62,AI52+AH53-AQ52)))</f>
        <v>484.76923076923055</v>
      </c>
      <c r="AJ53" s="13">
        <f>AI53*VLOOKUP('Données projet'!$B$10,Paramètres!$A$1:$I$89,3,0)*VLOOKUP('Données projet'!$B$10,Paramètres!$A$1:$I$89,5,0)</f>
        <v>270.98599999999988</v>
      </c>
      <c r="AK53" s="13">
        <f t="shared" si="35"/>
        <v>65.058478958733772</v>
      </c>
      <c r="AL53" s="20">
        <f t="shared" si="4"/>
        <v>585.27746751979441</v>
      </c>
      <c r="AM53" s="59">
        <f t="shared" si="5"/>
        <v>878.61080085312778</v>
      </c>
      <c r="AN53" s="59">
        <f ca="1">AVERAGE(OFFSET($AM$3,0,0,'Données projet'!$E$10+1,1))-AVERAGE(OFFSET($H$3,0,0,'Données projet'!$E$10+1,1))</f>
        <v>255.5374979188561</v>
      </c>
      <c r="AO53" s="59">
        <f t="shared" si="36"/>
        <v>343.10418468620901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2.0794432853097184</v>
      </c>
      <c r="AV53" s="21">
        <f>EXP(-LN(2)/25)*AV52+(1-EXP(-LN(2)/25))/(LN(2)/25)*Calculateur!AQ53*Calculateur!AS53*VLOOKUP('Données projet'!$B$10,Paramètres!$A$1:$I$89,3,0)*0.475*44/12</f>
        <v>9.1667617041326377</v>
      </c>
      <c r="AW53" s="21">
        <f>EXP(-LN(2)/2)*AW52+(1-EXP(-LN(2)/2))/(LN(2)/2)*AQ53*AT53*VLOOKUP('Données projet'!$B$10,Paramètres!$A$1:$I$89,3,0)*0.475*44/12</f>
        <v>1.6529805463418614E-3</v>
      </c>
      <c r="AX53" s="21">
        <f t="shared" si="6"/>
        <v>11.247857969988697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228</v>
      </c>
      <c r="BB53" s="12">
        <f>VLOOKUP(A53,'Données projet'!$A$87:$I$107,9,0)</f>
        <v>10.6</v>
      </c>
      <c r="BC53" s="12">
        <f t="array" ref="BC53">INDEX(BB:BB,MIN(IF(ISNUMBER(BB53:BB249),ROW(BB53:BB249),"")))</f>
        <v>10.6</v>
      </c>
      <c r="BD53" s="12">
        <f>IF('Données projet'!$A$88&gt;35,BD52+BC53-BL52,IF(A53&lt;'Données projet'!$A$88,$BA$205^A53,IF(A53='Données projet'!$A$88,'Données projet'!$B$88,BD52+BC53-BL52)))</f>
        <v>227.99999999999986</v>
      </c>
      <c r="BE53" s="13">
        <f>BD53*VLOOKUP('Données projet'!$B$11,Paramètres!$A$1:$I$89,3,0)*VLOOKUP('Données projet'!$B$11,Paramètres!$A$1:$I$89,5,0)</f>
        <v>195.62399999999991</v>
      </c>
      <c r="BF53" s="13">
        <f t="shared" si="37"/>
        <v>48.781220625276006</v>
      </c>
      <c r="BG53" s="20">
        <f t="shared" si="7"/>
        <v>425.67242592235556</v>
      </c>
      <c r="BH53" s="59">
        <f t="shared" si="8"/>
        <v>719.00575925568887</v>
      </c>
      <c r="BI53" s="59">
        <f ca="1">AVERAGE(OFFSET($BH$3,0,0,'Données projet'!$E$11+1,1))-AVERAGE(OFFSET($H$3,0,0,'Données projet'!$E$11+1,1))</f>
        <v>310.4018929413723</v>
      </c>
      <c r="BJ53" s="59">
        <f t="shared" si="38"/>
        <v>127.5231137583819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3.3814357081818986</v>
      </c>
      <c r="BR53" s="21">
        <f>EXP(-LN(2)/2)*BR52+(1-EXP(-LN(2)/2))/(LN(2)/2)*BL53*BO53*VLOOKUP('Données projet'!$B$11,Paramètres!$A$1:$I$89,3,0)*0.475*44/12</f>
        <v>8.721001304144058E-3</v>
      </c>
      <c r="BS53" s="22">
        <f t="shared" si="9"/>
        <v>3.3901567094860425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349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349.00000000000011</v>
      </c>
      <c r="BZ53" s="13">
        <f>BY53*VLOOKUP('Données projet'!$B$12,Paramètres!$A$1:$I$89,3,0)*VLOOKUP('Données projet'!$B$12,Paramètres!$A$1:$I$89,5,0)</f>
        <v>190.55400000000006</v>
      </c>
      <c r="CA53" s="13">
        <f t="shared" si="39"/>
        <v>47.662413622948378</v>
      </c>
      <c r="CB53" s="20">
        <f t="shared" si="10"/>
        <v>414.89358705996847</v>
      </c>
      <c r="CC53" s="59">
        <f t="shared" si="11"/>
        <v>708.22692039330173</v>
      </c>
      <c r="CD53" s="59">
        <f ca="1">AVERAGE(OFFSET($CC$3,0,0,'Données projet'!$E$12+1,1))-AVERAGE(OFFSET($H$3,0,0,'Données projet'!$E$12+1,1))</f>
        <v>210.04871822652808</v>
      </c>
      <c r="CE53" s="59">
        <f t="shared" si="40"/>
        <v>250.17540614049324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4.9131994082923605</v>
      </c>
      <c r="CL53" s="21">
        <f>EXP(-LN(2)/25)*CL52+(1-EXP(-LN(2)/25))/(LN(2)/25)*Calculateur!CG53*Calculateur!CI53*VLOOKUP('Données projet'!$B$12,Paramètres!$A$1:$I$89,3,0)*0.475*44/12</f>
        <v>15.984547456257639</v>
      </c>
      <c r="CM53" s="21">
        <f>EXP(-LN(2)/2)*CM52+(1-EXP(-LN(2)/2))/(LN(2)/2)*CG53*CJ53*VLOOKUP('Données projet'!$B$12,Paramètres!$A$1:$I$89,3,0)*0.475*44/12</f>
        <v>2.1048719470069973E-2</v>
      </c>
      <c r="CN53" s="22">
        <f t="shared" si="12"/>
        <v>20.918795584020071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6.8</v>
      </c>
      <c r="N54" s="13">
        <f>IF('Données projet'!$A$36&gt;35,N53+M54-V53,IF(A54&lt;'Données projet'!$A$36,$K$205^A54,IF(A54='Données projet'!$A$36,'Données projet'!$B$36,N53+M54-V53)))</f>
        <v>248.79999999999984</v>
      </c>
      <c r="O54" s="13">
        <f>N54*VLOOKUP('Données projet'!$B$9,Paramètres!$A$1:$I$89,3,0)*VLOOKUP('Données projet'!$B$9,Paramètres!$A$1:$I$89,5,0)</f>
        <v>182.4201599999999</v>
      </c>
      <c r="P54" s="13">
        <f t="shared" si="33"/>
        <v>45.860207931046851</v>
      </c>
      <c r="Q54" s="20">
        <f t="shared" si="53"/>
        <v>397.58830747990646</v>
      </c>
      <c r="R54" s="59">
        <f t="shared" si="0"/>
        <v>690.92164081323972</v>
      </c>
      <c r="S54" s="59">
        <f ca="1">AVERAGE(OFFSET($R$3,0,0,'Données projet'!$E$9+1,1))-AVERAGE(OFFSET($H$3,0,0,'Données projet'!$E$9+1,1))</f>
        <v>234.09142087023463</v>
      </c>
      <c r="T54" s="59">
        <f t="shared" si="34"/>
        <v>278.990685815294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1.6096003761839697</v>
      </c>
      <c r="AA54" s="21">
        <f>EXP(-LN(2)/25)*AA53+(1-EXP(-LN(2)/25))/(LN(2)/25)*Calculateur!V54*Calculateur!X54*VLOOKUP('Données projet'!$B$9,Paramètres!$A$1:$I$89,3,0)*0.475*44/12</f>
        <v>8.5708524709198759</v>
      </c>
      <c r="AB54" s="21">
        <f>EXP(-LN(2)/2)*AB53+(1-EXP(-LN(2)/2))/(LN(2)/2)*V54*Y54*VLOOKUP('Données projet'!$B$9,Paramètres!$A$1:$I$89,3,0)*0.475*44/12</f>
        <v>1.5297826942882937E-2</v>
      </c>
      <c r="AC54" s="22">
        <f t="shared" si="3"/>
        <v>10.195750674046728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20.507692307692299</v>
      </c>
      <c r="AI54" s="13">
        <f>IF('Données projet'!$A$62&gt;35,AI53+AH54-AQ53,IF(A54&lt;'Données projet'!$A$62,$AF$205^A54,IF(A54='Données projet'!$A$62,'Données projet'!$B$62,AI53+AH54-AQ53)))</f>
        <v>505.27692307692286</v>
      </c>
      <c r="AJ54" s="13">
        <f>AI54*VLOOKUP('Données projet'!$B$10,Paramètres!$A$1:$I$89,3,0)*VLOOKUP('Données projet'!$B$10,Paramètres!$A$1:$I$89,5,0)</f>
        <v>282.44979999999987</v>
      </c>
      <c r="AK54" s="13">
        <f t="shared" si="35"/>
        <v>67.484459274997945</v>
      </c>
      <c r="AL54" s="20">
        <f t="shared" si="4"/>
        <v>609.46883490395442</v>
      </c>
      <c r="AM54" s="59">
        <f t="shared" si="5"/>
        <v>902.80216823728779</v>
      </c>
      <c r="AN54" s="59">
        <f ca="1">AVERAGE(OFFSET($AM$3,0,0,'Données projet'!$E$10+1,1))-AVERAGE(OFFSET($H$3,0,0,'Données projet'!$E$10+1,1))</f>
        <v>255.5374979188561</v>
      </c>
      <c r="AO54" s="59">
        <f t="shared" si="36"/>
        <v>343.10418468620901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2.038666670819961</v>
      </c>
      <c r="AV54" s="21">
        <f>EXP(-LN(2)/25)*AV53+(1-EXP(-LN(2)/25))/(LN(2)/25)*Calculateur!AQ54*Calculateur!AS54*VLOOKUP('Données projet'!$B$10,Paramètres!$A$1:$I$89,3,0)*0.475*44/12</f>
        <v>8.9160961232740839</v>
      </c>
      <c r="AW54" s="21">
        <f>EXP(-LN(2)/2)*AW53+(1-EXP(-LN(2)/2))/(LN(2)/2)*AQ54*AT54*VLOOKUP('Données projet'!$B$10,Paramètres!$A$1:$I$89,3,0)*0.475*44/12</f>
        <v>1.1688337534877743E-3</v>
      </c>
      <c r="AX54" s="21">
        <f t="shared" si="6"/>
        <v>10.955931627847532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10.8</v>
      </c>
      <c r="BD54" s="12">
        <f>IF('Données projet'!$A$88&gt;35,BD53+BC54-BL53,IF(A54&lt;'Données projet'!$A$88,$BA$205^A54,IF(A54='Données projet'!$A$88,'Données projet'!$B$88,BD53+BC54-BL53)))</f>
        <v>174.79999999999987</v>
      </c>
      <c r="BE54" s="13">
        <f>BD54*VLOOKUP('Données projet'!$B$11,Paramètres!$A$1:$I$89,3,0)*VLOOKUP('Données projet'!$B$11,Paramètres!$A$1:$I$89,5,0)</f>
        <v>149.97839999999991</v>
      </c>
      <c r="BF54" s="13">
        <f t="shared" si="37"/>
        <v>38.573676902204156</v>
      </c>
      <c r="BG54" s="20">
        <f t="shared" si="7"/>
        <v>328.39486727133874</v>
      </c>
      <c r="BH54" s="59">
        <f t="shared" si="8"/>
        <v>621.72820060467211</v>
      </c>
      <c r="BI54" s="59">
        <f ca="1">AVERAGE(OFFSET($BH$3,0,0,'Données projet'!$E$11+1,1))-AVERAGE(OFFSET($H$3,0,0,'Données projet'!$E$11+1,1))</f>
        <v>310.4018929413723</v>
      </c>
      <c r="BJ54" s="59">
        <f t="shared" si="38"/>
        <v>127.5231137583819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3.288970170919689</v>
      </c>
      <c r="BR54" s="21">
        <f>EXP(-LN(2)/2)*BR53+(1-EXP(-LN(2)/2))/(LN(2)/2)*BL54*BO54*VLOOKUP('Données projet'!$B$11,Paramètres!$A$1:$I$89,3,0)*0.475*44/12</f>
        <v>6.166679160896988E-3</v>
      </c>
      <c r="BS54" s="22">
        <f t="shared" si="9"/>
        <v>3.2951368500805862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293.80000000000013</v>
      </c>
      <c r="BZ54" s="13">
        <f>BY54*VLOOKUP('Données projet'!$B$12,Paramètres!$A$1:$I$89,3,0)*VLOOKUP('Données projet'!$B$12,Paramètres!$A$1:$I$89,5,0)</f>
        <v>160.41480000000007</v>
      </c>
      <c r="CA54" s="13">
        <f t="shared" si="39"/>
        <v>40.936060601587023</v>
      </c>
      <c r="CB54" s="20">
        <f t="shared" si="10"/>
        <v>350.68608221443083</v>
      </c>
      <c r="CC54" s="59">
        <f t="shared" si="11"/>
        <v>644.01941554776408</v>
      </c>
      <c r="CD54" s="59">
        <f ca="1">AVERAGE(OFFSET($CC$3,0,0,'Données projet'!$E$12+1,1))-AVERAGE(OFFSET($H$3,0,0,'Données projet'!$E$12+1,1))</f>
        <v>210.04871822652808</v>
      </c>
      <c r="CE54" s="59">
        <f t="shared" si="40"/>
        <v>250.17540614049324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4.8168545646514813</v>
      </c>
      <c r="CL54" s="21">
        <f>EXP(-LN(2)/25)*CL53+(1-EXP(-LN(2)/25))/(LN(2)/25)*Calculateur!CG54*Calculateur!CI54*VLOOKUP('Données projet'!$B$12,Paramètres!$A$1:$I$89,3,0)*0.475*44/12</f>
        <v>15.547449165475456</v>
      </c>
      <c r="CM54" s="21">
        <f>EXP(-LN(2)/2)*CM53+(1-EXP(-LN(2)/2))/(LN(2)/2)*CG54*CJ54*VLOOKUP('Données projet'!$B$12,Paramètres!$A$1:$I$89,3,0)*0.475*44/12</f>
        <v>1.4883692272579793E-2</v>
      </c>
      <c r="CN54" s="22">
        <f t="shared" si="12"/>
        <v>20.379187422399518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6.8</v>
      </c>
      <c r="N55" s="13">
        <f>IF('Données projet'!$A$36&gt;35,N54+M55-V54,IF(A55&lt;'Données projet'!$A$36,$K$205^A55,IF(A55='Données projet'!$A$36,'Données projet'!$B$36,N54+M55-V54)))</f>
        <v>255.59999999999985</v>
      </c>
      <c r="O55" s="13">
        <f>N55*VLOOKUP('Données projet'!$B$9,Paramètres!$A$1:$I$89,3,0)*VLOOKUP('Données projet'!$B$9,Paramètres!$A$1:$I$89,5,0)</f>
        <v>187.4059199999999</v>
      </c>
      <c r="P55" s="13">
        <f t="shared" si="33"/>
        <v>46.965980543441781</v>
      </c>
      <c r="Q55" s="20">
        <f t="shared" si="53"/>
        <v>408.19772677982763</v>
      </c>
      <c r="R55" s="59">
        <f t="shared" si="0"/>
        <v>701.53106011316095</v>
      </c>
      <c r="S55" s="59">
        <f ca="1">AVERAGE(OFFSET($R$3,0,0,'Données projet'!$E$9+1,1))-AVERAGE(OFFSET($H$3,0,0,'Données projet'!$E$9+1,1))</f>
        <v>234.09142087023463</v>
      </c>
      <c r="T55" s="59">
        <f t="shared" si="34"/>
        <v>278.990685815294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1.5780370945662909</v>
      </c>
      <c r="AA55" s="21">
        <f>EXP(-LN(2)/25)*AA54+(1-EXP(-LN(2)/25))/(LN(2)/25)*Calculateur!V55*Calculateur!X55*VLOOKUP('Données projet'!$B$9,Paramètres!$A$1:$I$89,3,0)*0.475*44/12</f>
        <v>8.33648205938103</v>
      </c>
      <c r="AB55" s="21">
        <f>EXP(-LN(2)/2)*AB54+(1-EXP(-LN(2)/2))/(LN(2)/2)*V55*Y55*VLOOKUP('Données projet'!$B$9,Paramètres!$A$1:$I$89,3,0)*0.475*44/12</f>
        <v>1.0817197168730797E-2</v>
      </c>
      <c r="AC55" s="22">
        <f t="shared" si="3"/>
        <v>9.9253363511160515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20.507692307692299</v>
      </c>
      <c r="AI55" s="13">
        <f>IF('Données projet'!$A$62&gt;35,AI54+AH55-AQ54,IF(A55&lt;'Données projet'!$A$62,$AF$205^A55,IF(A55='Données projet'!$A$62,'Données projet'!$B$62,AI54+AH55-AQ54)))</f>
        <v>525.78461538461511</v>
      </c>
      <c r="AJ55" s="13">
        <f>AI55*VLOOKUP('Données projet'!$B$10,Paramètres!$A$1:$I$89,3,0)*VLOOKUP('Données projet'!$B$10,Paramètres!$A$1:$I$89,5,0)</f>
        <v>293.91359999999986</v>
      </c>
      <c r="AK55" s="13">
        <f t="shared" si="35"/>
        <v>69.899002171586702</v>
      </c>
      <c r="AL55" s="20">
        <f t="shared" si="4"/>
        <v>633.64028211551329</v>
      </c>
      <c r="AM55" s="59">
        <f t="shared" si="5"/>
        <v>926.97361544884666</v>
      </c>
      <c r="AN55" s="59">
        <f ca="1">AVERAGE(OFFSET($AM$3,0,0,'Données projet'!$E$10+1,1))-AVERAGE(OFFSET($H$3,0,0,'Données projet'!$E$10+1,1))</f>
        <v>255.5374979188561</v>
      </c>
      <c r="AO55" s="59">
        <f t="shared" si="36"/>
        <v>343.10418468620901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1.998689660869069</v>
      </c>
      <c r="AV55" s="21">
        <f>EXP(-LN(2)/25)*AV54+(1-EXP(-LN(2)/25))/(LN(2)/25)*Calculateur!AQ55*Calculateur!AS55*VLOOKUP('Données projet'!$B$10,Paramètres!$A$1:$I$89,3,0)*0.475*44/12</f>
        <v>8.672285005906037</v>
      </c>
      <c r="AW55" s="21">
        <f>EXP(-LN(2)/2)*AW54+(1-EXP(-LN(2)/2))/(LN(2)/2)*AQ55*AT55*VLOOKUP('Données projet'!$B$10,Paramètres!$A$1:$I$89,3,0)*0.475*44/12</f>
        <v>8.2649027317093068E-4</v>
      </c>
      <c r="AX55" s="21">
        <f t="shared" si="6"/>
        <v>10.671801157048277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10.8</v>
      </c>
      <c r="BD55" s="12">
        <f>IF('Données projet'!$A$88&gt;35,BD54+BC55-BL54,IF(A55&lt;'Données projet'!$A$88,$BA$205^A55,IF(A55='Données projet'!$A$88,'Données projet'!$B$88,BD54+BC55-BL54)))</f>
        <v>185.59999999999988</v>
      </c>
      <c r="BE55" s="13">
        <f>BD55*VLOOKUP('Données projet'!$B$11,Paramètres!$A$1:$I$89,3,0)*VLOOKUP('Données projet'!$B$11,Paramètres!$A$1:$I$89,5,0)</f>
        <v>159.24479999999991</v>
      </c>
      <c r="BF55" s="13">
        <f t="shared" si="37"/>
        <v>40.672131063901716</v>
      </c>
      <c r="BG55" s="20">
        <f t="shared" si="7"/>
        <v>348.18865493629534</v>
      </c>
      <c r="BH55" s="59">
        <f t="shared" si="8"/>
        <v>641.52198826962865</v>
      </c>
      <c r="BI55" s="59">
        <f ca="1">AVERAGE(OFFSET($BH$3,0,0,'Données projet'!$E$11+1,1))-AVERAGE(OFFSET($H$3,0,0,'Données projet'!$E$11+1,1))</f>
        <v>310.4018929413723</v>
      </c>
      <c r="BJ55" s="59">
        <f t="shared" si="38"/>
        <v>127.5231137583819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3.1990331086364661</v>
      </c>
      <c r="BR55" s="21">
        <f>EXP(-LN(2)/2)*BR54+(1-EXP(-LN(2)/2))/(LN(2)/2)*BL55*BO55*VLOOKUP('Données projet'!$B$11,Paramètres!$A$1:$I$89,3,0)*0.475*44/12</f>
        <v>4.360500652072029E-3</v>
      </c>
      <c r="BS55" s="22">
        <f t="shared" si="9"/>
        <v>3.203393609288538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303.60000000000014</v>
      </c>
      <c r="BZ55" s="13">
        <f>BY55*VLOOKUP('Données projet'!$B$12,Paramètres!$A$1:$I$89,3,0)*VLOOKUP('Données projet'!$B$12,Paramètres!$A$1:$I$89,5,0)</f>
        <v>165.76560000000009</v>
      </c>
      <c r="CA55" s="13">
        <f t="shared" si="39"/>
        <v>42.140271125684301</v>
      </c>
      <c r="CB55" s="20">
        <f t="shared" si="10"/>
        <v>362.10272554390031</v>
      </c>
      <c r="CC55" s="59">
        <f t="shared" si="11"/>
        <v>655.43605887723356</v>
      </c>
      <c r="CD55" s="59">
        <f ca="1">AVERAGE(OFFSET($CC$3,0,0,'Données projet'!$E$12+1,1))-AVERAGE(OFFSET($H$3,0,0,'Données projet'!$E$12+1,1))</f>
        <v>210.04871822652808</v>
      </c>
      <c r="CE55" s="59">
        <f t="shared" si="40"/>
        <v>250.17540614049324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4.722398984629848</v>
      </c>
      <c r="CL55" s="21">
        <f>EXP(-LN(2)/25)*CL54+(1-EXP(-LN(2)/25))/(LN(2)/25)*Calculateur!CG55*Calculateur!CI55*VLOOKUP('Données projet'!$B$12,Paramètres!$A$1:$I$89,3,0)*0.475*44/12</f>
        <v>15.122303350440712</v>
      </c>
      <c r="CM55" s="21">
        <f>EXP(-LN(2)/2)*CM54+(1-EXP(-LN(2)/2))/(LN(2)/2)*CG55*CJ55*VLOOKUP('Données projet'!$B$12,Paramètres!$A$1:$I$89,3,0)*0.475*44/12</f>
        <v>1.0524359735034988E-2</v>
      </c>
      <c r="CN55" s="22">
        <f t="shared" si="12"/>
        <v>19.855226694805594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6.8</v>
      </c>
      <c r="N56" s="13">
        <f>IF('Données projet'!$A$36&gt;35,N55+M56-V55,IF(A56&lt;'Données projet'!$A$36,$K$205^A56,IF(A56='Données projet'!$A$36,'Données projet'!$B$36,N55+M56-V55)))</f>
        <v>262.39999999999986</v>
      </c>
      <c r="O56" s="13">
        <f>N56*VLOOKUP('Données projet'!$B$9,Paramètres!$A$1:$I$89,3,0)*VLOOKUP('Données projet'!$B$9,Paramètres!$A$1:$I$89,5,0)</f>
        <v>192.39167999999989</v>
      </c>
      <c r="P56" s="13">
        <f t="shared" si="33"/>
        <v>48.068333764993156</v>
      </c>
      <c r="Q56" s="20">
        <f t="shared" si="53"/>
        <v>418.80119064069623</v>
      </c>
      <c r="R56" s="59">
        <f t="shared" si="0"/>
        <v>712.13452397402955</v>
      </c>
      <c r="S56" s="59">
        <f ca="1">AVERAGE(OFFSET($R$3,0,0,'Données projet'!$E$9+1,1))-AVERAGE(OFFSET($H$3,0,0,'Données projet'!$E$9+1,1))</f>
        <v>234.09142087023463</v>
      </c>
      <c r="T56" s="59">
        <f t="shared" si="34"/>
        <v>278.990685815294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1.547092749649434</v>
      </c>
      <c r="AA56" s="21">
        <f>EXP(-LN(2)/25)*AA55+(1-EXP(-LN(2)/25))/(LN(2)/25)*Calculateur!V56*Calculateur!X56*VLOOKUP('Données projet'!$B$9,Paramètres!$A$1:$I$89,3,0)*0.475*44/12</f>
        <v>8.1085205190707175</v>
      </c>
      <c r="AB56" s="21">
        <f>EXP(-LN(2)/2)*AB55+(1-EXP(-LN(2)/2))/(LN(2)/2)*V56*Y56*VLOOKUP('Données projet'!$B$9,Paramètres!$A$1:$I$89,3,0)*0.475*44/12</f>
        <v>7.6489134714414694E-3</v>
      </c>
      <c r="AC56" s="22">
        <f t="shared" si="3"/>
        <v>9.6632621821915929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20.507692307692299</v>
      </c>
      <c r="AI56" s="13">
        <f>IF('Données projet'!$A$62&gt;35,AI55+AH56-AQ55,IF(A56&lt;'Données projet'!$A$62,$AF$205^A56,IF(A56='Données projet'!$A$62,'Données projet'!$B$62,AI55+AH56-AQ55)))</f>
        <v>546.29230769230742</v>
      </c>
      <c r="AJ56" s="13">
        <f>AI56*VLOOKUP('Données projet'!$B$10,Paramètres!$A$1:$I$89,3,0)*VLOOKUP('Données projet'!$B$10,Paramètres!$A$1:$I$89,5,0)</f>
        <v>305.37739999999985</v>
      </c>
      <c r="AK56" s="13">
        <f t="shared" si="35"/>
        <v>72.302604807906476</v>
      </c>
      <c r="AL56" s="20">
        <f t="shared" si="4"/>
        <v>657.79267504043685</v>
      </c>
      <c r="AM56" s="59">
        <f t="shared" si="5"/>
        <v>951.12600837377022</v>
      </c>
      <c r="AN56" s="59">
        <f ca="1">AVERAGE(OFFSET($AM$3,0,0,'Données projet'!$E$10+1,1))-AVERAGE(OFFSET($H$3,0,0,'Données projet'!$E$10+1,1))</f>
        <v>255.5374979188561</v>
      </c>
      <c r="AO56" s="59">
        <f t="shared" si="36"/>
        <v>343.10418468620901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1.9594965756997456</v>
      </c>
      <c r="AV56" s="21">
        <f>EXP(-LN(2)/25)*AV55+(1-EXP(-LN(2)/25))/(LN(2)/25)*Calculateur!AQ56*Calculateur!AS56*VLOOKUP('Données projet'!$B$10,Paramètres!$A$1:$I$89,3,0)*0.475*44/12</f>
        <v>8.4351409163638884</v>
      </c>
      <c r="AW56" s="21">
        <f>EXP(-LN(2)/2)*AW55+(1-EXP(-LN(2)/2))/(LN(2)/2)*AQ56*AT56*VLOOKUP('Données projet'!$B$10,Paramètres!$A$1:$I$89,3,0)*0.475*44/12</f>
        <v>5.8441687674388716E-4</v>
      </c>
      <c r="AX56" s="21">
        <f t="shared" si="6"/>
        <v>10.395221908940378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10.8</v>
      </c>
      <c r="BD56" s="12">
        <f>IF('Données projet'!$A$88&gt;35,BD55+BC56-BL55,IF(A56&lt;'Données projet'!$A$88,$BA$205^A56,IF(A56='Données projet'!$A$88,'Données projet'!$B$88,BD55+BC56-BL55)))</f>
        <v>196.39999999999989</v>
      </c>
      <c r="BE56" s="13">
        <f>BD56*VLOOKUP('Données projet'!$B$11,Paramètres!$A$1:$I$89,3,0)*VLOOKUP('Données projet'!$B$11,Paramètres!$A$1:$I$89,5,0)</f>
        <v>168.51119999999995</v>
      </c>
      <c r="BF56" s="13">
        <f t="shared" si="37"/>
        <v>42.756411401172556</v>
      </c>
      <c r="BG56" s="20">
        <f t="shared" si="7"/>
        <v>367.95775652370872</v>
      </c>
      <c r="BH56" s="59">
        <f t="shared" si="8"/>
        <v>661.29108985704204</v>
      </c>
      <c r="BI56" s="59">
        <f ca="1">AVERAGE(OFFSET($BH$3,0,0,'Données projet'!$E$11+1,1))-AVERAGE(OFFSET($H$3,0,0,'Données projet'!$E$11+1,1))</f>
        <v>310.4018929413723</v>
      </c>
      <c r="BJ56" s="59">
        <f t="shared" si="38"/>
        <v>127.5231137583819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3.1115553800509623</v>
      </c>
      <c r="BR56" s="21">
        <f>EXP(-LN(2)/2)*BR55+(1-EXP(-LN(2)/2))/(LN(2)/2)*BL56*BO56*VLOOKUP('Données projet'!$B$11,Paramètres!$A$1:$I$89,3,0)*0.475*44/12</f>
        <v>3.083339580448494E-3</v>
      </c>
      <c r="BS56" s="22">
        <f t="shared" si="9"/>
        <v>3.1146387196314107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313.40000000000015</v>
      </c>
      <c r="BZ56" s="13">
        <f>BY56*VLOOKUP('Données projet'!$B$12,Paramètres!$A$1:$I$89,3,0)*VLOOKUP('Données projet'!$B$12,Paramètres!$A$1:$I$89,5,0)</f>
        <v>171.11640000000011</v>
      </c>
      <c r="CA56" s="13">
        <f t="shared" si="39"/>
        <v>43.339964715636555</v>
      </c>
      <c r="CB56" s="20">
        <f t="shared" si="10"/>
        <v>373.51150187973388</v>
      </c>
      <c r="CC56" s="59">
        <f t="shared" si="11"/>
        <v>666.8448352130672</v>
      </c>
      <c r="CD56" s="59">
        <f ca="1">AVERAGE(OFFSET($CC$3,0,0,'Données projet'!$E$12+1,1))-AVERAGE(OFFSET($H$3,0,0,'Données projet'!$E$12+1,1))</f>
        <v>210.04871822652808</v>
      </c>
      <c r="CE56" s="59">
        <f t="shared" si="40"/>
        <v>250.17540614049324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4.6297956209202233</v>
      </c>
      <c r="CL56" s="21">
        <f>EXP(-LN(2)/25)*CL55+(1-EXP(-LN(2)/25))/(LN(2)/25)*Calculateur!CG56*Calculateur!CI56*VLOOKUP('Données projet'!$B$12,Paramètres!$A$1:$I$89,3,0)*0.475*44/12</f>
        <v>14.70878317007554</v>
      </c>
      <c r="CM56" s="21">
        <f>EXP(-LN(2)/2)*CM55+(1-EXP(-LN(2)/2))/(LN(2)/2)*CG56*CJ56*VLOOKUP('Données projet'!$B$12,Paramètres!$A$1:$I$89,3,0)*0.475*44/12</f>
        <v>7.4418461362898971E-3</v>
      </c>
      <c r="CN56" s="22">
        <f t="shared" si="12"/>
        <v>19.34602063713205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6.8</v>
      </c>
      <c r="N57" s="13">
        <f>IF('Données projet'!$A$36&gt;35,N56+M57-V56,IF(A57&lt;'Données projet'!$A$36,$K$205^A57,IF(A57='Données projet'!$A$36,'Données projet'!$B$36,N56+M57-V56)))</f>
        <v>269.19999999999987</v>
      </c>
      <c r="O57" s="13">
        <f>N57*VLOOKUP('Données projet'!$B$9,Paramètres!$A$1:$I$89,3,0)*VLOOKUP('Données projet'!$B$9,Paramètres!$A$1:$I$89,5,0)</f>
        <v>197.37743999999989</v>
      </c>
      <c r="P57" s="13">
        <f t="shared" si="33"/>
        <v>49.167366395757924</v>
      </c>
      <c r="Q57" s="20">
        <f t="shared" si="53"/>
        <v>429.39887113927813</v>
      </c>
      <c r="R57" s="59">
        <f t="shared" si="0"/>
        <v>722.73220447261144</v>
      </c>
      <c r="S57" s="59">
        <f ca="1">AVERAGE(OFFSET($R$3,0,0,'Données projet'!$E$9+1,1))-AVERAGE(OFFSET($H$3,0,0,'Données projet'!$E$9+1,1))</f>
        <v>234.09142087023463</v>
      </c>
      <c r="T57" s="59">
        <f t="shared" si="34"/>
        <v>278.990685815294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1.5167552044622099</v>
      </c>
      <c r="AA57" s="21">
        <f>EXP(-LN(2)/25)*AA56+(1-EXP(-LN(2)/25))/(LN(2)/25)*Calculateur!V57*Calculateur!X57*VLOOKUP('Données projet'!$B$9,Paramètres!$A$1:$I$89,3,0)*0.475*44/12</f>
        <v>7.8867925990681673</v>
      </c>
      <c r="AB57" s="21">
        <f>EXP(-LN(2)/2)*AB56+(1-EXP(-LN(2)/2))/(LN(2)/2)*V57*Y57*VLOOKUP('Données projet'!$B$9,Paramètres!$A$1:$I$89,3,0)*0.475*44/12</f>
        <v>5.4085985843653995E-3</v>
      </c>
      <c r="AC57" s="22">
        <f t="shared" si="3"/>
        <v>9.4089564021147432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566.79999999999995</v>
      </c>
      <c r="AG57" s="12">
        <f>VLOOKUP(A57,'Données projet'!$A$61:$I$81,9,0)</f>
        <v>20.507692307692299</v>
      </c>
      <c r="AH57" s="12">
        <f t="array" ref="AH57">INDEX(AG:AG,MIN(IF(ISNUMBER(AG57:AG253),ROW(AG57:AG253),"")))</f>
        <v>20.507692307692299</v>
      </c>
      <c r="AI57" s="13">
        <f>IF('Données projet'!$A$62&gt;35,AI56+AH57-AQ56,IF(A57&lt;'Données projet'!$A$62,$AF$205^A57,IF(A57='Données projet'!$A$62,'Données projet'!$B$62,AI56+AH57-AQ56)))</f>
        <v>566.79999999999973</v>
      </c>
      <c r="AJ57" s="13">
        <f>AI57*VLOOKUP('Données projet'!$B$10,Paramètres!$A$1:$I$89,3,0)*VLOOKUP('Données projet'!$B$10,Paramètres!$A$1:$I$89,5,0)</f>
        <v>316.84119999999984</v>
      </c>
      <c r="AK57" s="13">
        <f t="shared" si="35"/>
        <v>74.695724902330795</v>
      </c>
      <c r="AL57" s="20">
        <f t="shared" si="4"/>
        <v>681.92681087155916</v>
      </c>
      <c r="AM57" s="59">
        <f t="shared" si="5"/>
        <v>975.26014420489241</v>
      </c>
      <c r="AN57" s="59">
        <f ca="1">AVERAGE(OFFSET($AM$3,0,0,'Données projet'!$E$10+1,1))-AVERAGE(OFFSET($H$3,0,0,'Données projet'!$E$10+1,1))</f>
        <v>255.5374979188561</v>
      </c>
      <c r="AO57" s="59">
        <f t="shared" si="36"/>
        <v>343.10418468620901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566.79999999999995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1.9210720430251711</v>
      </c>
      <c r="AV57" s="21">
        <f>EXP(-LN(2)/25)*AV56+(1-EXP(-LN(2)/25))/(LN(2)/25)*Calculateur!AQ57*Calculateur!AS57*VLOOKUP('Données projet'!$B$10,Paramètres!$A$1:$I$89,3,0)*0.475*44/12</f>
        <v>8.2044815444211352</v>
      </c>
      <c r="AW57" s="21">
        <f>EXP(-LN(2)/2)*AW56+(1-EXP(-LN(2)/2))/(LN(2)/2)*AQ57*AT57*VLOOKUP('Données projet'!$B$10,Paramètres!$A$1:$I$89,3,0)*0.475*44/12</f>
        <v>4.1324513658546534E-4</v>
      </c>
      <c r="AX57" s="21">
        <f t="shared" si="6"/>
        <v>10.125966832582892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10.8</v>
      </c>
      <c r="BD57" s="12">
        <f>IF('Données projet'!$A$88&gt;35,BD56+BC57-BL56,IF(A57&lt;'Données projet'!$A$88,$BA$205^A57,IF(A57='Données projet'!$A$88,'Données projet'!$B$88,BD56+BC57-BL56)))</f>
        <v>207.1999999999999</v>
      </c>
      <c r="BE57" s="13">
        <f>BD57*VLOOKUP('Données projet'!$B$11,Paramètres!$A$1:$I$89,3,0)*VLOOKUP('Données projet'!$B$11,Paramètres!$A$1:$I$89,5,0)</f>
        <v>177.77759999999992</v>
      </c>
      <c r="BF57" s="13">
        <f t="shared" si="37"/>
        <v>44.827386173754917</v>
      </c>
      <c r="BG57" s="20">
        <f t="shared" si="7"/>
        <v>387.70368425262296</v>
      </c>
      <c r="BH57" s="59">
        <f t="shared" si="8"/>
        <v>681.03701758595628</v>
      </c>
      <c r="BI57" s="59">
        <f ca="1">AVERAGE(OFFSET($BH$3,0,0,'Données projet'!$E$11+1,1))-AVERAGE(OFFSET($H$3,0,0,'Données projet'!$E$11+1,1))</f>
        <v>310.4018929413723</v>
      </c>
      <c r="BJ57" s="59">
        <f t="shared" si="38"/>
        <v>127.5231137583819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3.0264697345538827</v>
      </c>
      <c r="BR57" s="21">
        <f>EXP(-LN(2)/2)*BR56+(1-EXP(-LN(2)/2))/(LN(2)/2)*BL57*BO57*VLOOKUP('Données projet'!$B$11,Paramètres!$A$1:$I$89,3,0)*0.475*44/12</f>
        <v>2.1802503260360145E-3</v>
      </c>
      <c r="BS57" s="22">
        <f t="shared" si="9"/>
        <v>3.0286499848799187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323.20000000000016</v>
      </c>
      <c r="BZ57" s="13">
        <f>BY57*VLOOKUP('Données projet'!$B$12,Paramètres!$A$1:$I$89,3,0)*VLOOKUP('Données projet'!$B$12,Paramètres!$A$1:$I$89,5,0)</f>
        <v>176.46720000000008</v>
      </c>
      <c r="CA57" s="13">
        <f t="shared" si="39"/>
        <v>44.535298821989436</v>
      </c>
      <c r="CB57" s="20">
        <f t="shared" si="10"/>
        <v>384.91268544829836</v>
      </c>
      <c r="CC57" s="59">
        <f t="shared" si="11"/>
        <v>678.24601878163162</v>
      </c>
      <c r="CD57" s="59">
        <f ca="1">AVERAGE(OFFSET($CC$3,0,0,'Données projet'!$E$12+1,1))-AVERAGE(OFFSET($H$3,0,0,'Données projet'!$E$12+1,1))</f>
        <v>210.04871822652808</v>
      </c>
      <c r="CE57" s="59">
        <f t="shared" si="40"/>
        <v>250.17540614049324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4.53900815269047</v>
      </c>
      <c r="CL57" s="21">
        <f>EXP(-LN(2)/25)*CL56+(1-EXP(-LN(2)/25))/(LN(2)/25)*Calculateur!CG57*Calculateur!CI57*VLOOKUP('Données projet'!$B$12,Paramètres!$A$1:$I$89,3,0)*0.475*44/12</f>
        <v>14.306570720788535</v>
      </c>
      <c r="CM57" s="21">
        <f>EXP(-LN(2)/2)*CM56+(1-EXP(-LN(2)/2))/(LN(2)/2)*CG57*CJ57*VLOOKUP('Données projet'!$B$12,Paramètres!$A$1:$I$89,3,0)*0.475*44/12</f>
        <v>5.262179867517495E-3</v>
      </c>
      <c r="CN57" s="22">
        <f t="shared" si="12"/>
        <v>18.850841053346524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6.8</v>
      </c>
      <c r="N58" s="13">
        <f>IF('Données projet'!$A$36&gt;35,N57+M58-V57,IF(A58&lt;'Données projet'!$A$36,$K$205^A58,IF(A58='Données projet'!$A$36,'Données projet'!$B$36,N57+M58-V57)))</f>
        <v>275.99999999999989</v>
      </c>
      <c r="O58" s="13">
        <f>N58*VLOOKUP('Données projet'!$B$9,Paramètres!$A$1:$I$89,3,0)*VLOOKUP('Données projet'!$B$9,Paramètres!$A$1:$I$89,5,0)</f>
        <v>202.36319999999992</v>
      </c>
      <c r="P58" s="13">
        <f t="shared" si="33"/>
        <v>50.263171959975132</v>
      </c>
      <c r="Q58" s="20">
        <f t="shared" si="53"/>
        <v>439.9909311636232</v>
      </c>
      <c r="R58" s="59">
        <f t="shared" si="0"/>
        <v>733.32426449695652</v>
      </c>
      <c r="S58" s="59">
        <f ca="1">AVERAGE(OFFSET($R$3,0,0,'Données projet'!$E$9+1,1))-AVERAGE(OFFSET($H$3,0,0,'Données projet'!$E$9+1,1))</f>
        <v>234.09142087023463</v>
      </c>
      <c r="T58" s="59">
        <f t="shared" si="34"/>
        <v>278.990685815294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1.4870125600320319</v>
      </c>
      <c r="AA58" s="21">
        <f>EXP(-LN(2)/25)*AA57+(1-EXP(-LN(2)/25))/(LN(2)/25)*Calculateur!V58*Calculateur!X58*VLOOKUP('Données projet'!$B$9,Paramètres!$A$1:$I$89,3,0)*0.475*44/12</f>
        <v>7.6711278406982508</v>
      </c>
      <c r="AB58" s="21">
        <f>EXP(-LN(2)/2)*AB57+(1-EXP(-LN(2)/2))/(LN(2)/2)*V58*Y58*VLOOKUP('Données projet'!$B$9,Paramètres!$A$1:$I$89,3,0)*0.475*44/12</f>
        <v>3.8244567357207356E-3</v>
      </c>
      <c r="AC58" s="22">
        <f t="shared" si="3"/>
        <v>9.1619648574660033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-2.2737367544323206E-13</v>
      </c>
      <c r="AJ58" s="13">
        <f>AI58*VLOOKUP('Données projet'!$B$10,Paramètres!$A$1:$I$89,3,0)*VLOOKUP('Données projet'!$B$10,Paramètres!$A$1:$I$89,5,0)</f>
        <v>-1.2710188457276673E-13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255.5374979188561</v>
      </c>
      <c r="AO58" s="59">
        <f t="shared" si="36"/>
        <v>343.10418468620901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1.8834009919996941</v>
      </c>
      <c r="AV58" s="21">
        <f>EXP(-LN(2)/25)*AV57+(1-EXP(-LN(2)/25))/(LN(2)/25)*Calculateur!AQ58*Calculateur!AS58*VLOOKUP('Données projet'!$B$10,Paramètres!$A$1:$I$89,3,0)*0.475*44/12</f>
        <v>7.9801295651340061</v>
      </c>
      <c r="AW58" s="21">
        <f>EXP(-LN(2)/2)*AW57+(1-EXP(-LN(2)/2))/(LN(2)/2)*AQ58*AT58*VLOOKUP('Données projet'!$B$10,Paramètres!$A$1:$I$89,3,0)*0.475*44/12</f>
        <v>2.9220843837194358E-4</v>
      </c>
      <c r="AX58" s="21">
        <f t="shared" si="6"/>
        <v>9.8638227655720723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10.8</v>
      </c>
      <c r="BD58" s="12">
        <f>IF('Données projet'!$A$88&gt;35,BD57+BC58-BL57,IF(A58&lt;'Données projet'!$A$88,$BA$205^A58,IF(A58='Données projet'!$A$88,'Données projet'!$B$88,BD57+BC58-BL57)))</f>
        <v>217.99999999999991</v>
      </c>
      <c r="BE58" s="13">
        <f>BD58*VLOOKUP('Données projet'!$B$11,Paramètres!$A$1:$I$89,3,0)*VLOOKUP('Données projet'!$B$11,Paramètres!$A$1:$I$89,5,0)</f>
        <v>187.04399999999995</v>
      </c>
      <c r="BF58" s="13">
        <f t="shared" si="37"/>
        <v>46.885828015531139</v>
      </c>
      <c r="BG58" s="20">
        <f t="shared" si="7"/>
        <v>407.42778379371663</v>
      </c>
      <c r="BH58" s="59">
        <f t="shared" si="8"/>
        <v>700.76111712704994</v>
      </c>
      <c r="BI58" s="59">
        <f ca="1">AVERAGE(OFFSET($BH$3,0,0,'Données projet'!$E$11+1,1))-AVERAGE(OFFSET($H$3,0,0,'Données projet'!$E$11+1,1))</f>
        <v>310.4018929413723</v>
      </c>
      <c r="BJ58" s="59">
        <f t="shared" si="38"/>
        <v>127.5231137583819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2.9437107605073805</v>
      </c>
      <c r="BR58" s="21">
        <f>EXP(-LN(2)/2)*BR57+(1-EXP(-LN(2)/2))/(LN(2)/2)*BL58*BO58*VLOOKUP('Données projet'!$B$11,Paramètres!$A$1:$I$89,3,0)*0.475*44/12</f>
        <v>1.541669790224247E-3</v>
      </c>
      <c r="BS58" s="22">
        <f t="shared" si="9"/>
        <v>2.9452524302976046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333.00000000000017</v>
      </c>
      <c r="BZ58" s="13">
        <f>BY58*VLOOKUP('Données projet'!$B$12,Paramètres!$A$1:$I$89,3,0)*VLOOKUP('Données projet'!$B$12,Paramètres!$A$1:$I$89,5,0)</f>
        <v>181.8180000000001</v>
      </c>
      <c r="CA58" s="13">
        <f t="shared" si="39"/>
        <v>45.726420804334332</v>
      </c>
      <c r="CB58" s="20">
        <f t="shared" si="10"/>
        <v>396.30653290088247</v>
      </c>
      <c r="CC58" s="59">
        <f t="shared" si="11"/>
        <v>689.63986623421579</v>
      </c>
      <c r="CD58" s="59">
        <f ca="1">AVERAGE(OFFSET($CC$3,0,0,'Données projet'!$E$12+1,1))-AVERAGE(OFFSET($H$3,0,0,'Données projet'!$E$12+1,1))</f>
        <v>210.04871822652808</v>
      </c>
      <c r="CE58" s="59">
        <f t="shared" si="40"/>
        <v>250.17540614049324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4.4500009713378139</v>
      </c>
      <c r="CL58" s="21">
        <f>EXP(-LN(2)/25)*CL57+(1-EXP(-LN(2)/25))/(LN(2)/25)*Calculateur!CG58*Calculateur!CI58*VLOOKUP('Données projet'!$B$12,Paramètres!$A$1:$I$89,3,0)*0.475*44/12</f>
        <v>13.915356792078716</v>
      </c>
      <c r="CM58" s="21">
        <f>EXP(-LN(2)/2)*CM57+(1-EXP(-LN(2)/2))/(LN(2)/2)*CG58*CJ58*VLOOKUP('Données projet'!$B$12,Paramètres!$A$1:$I$89,3,0)*0.475*44/12</f>
        <v>3.7209230681449494E-3</v>
      </c>
      <c r="CN58" s="22">
        <f t="shared" si="12"/>
        <v>18.369078686484674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6.8</v>
      </c>
      <c r="N59" s="13">
        <f>IF('Données projet'!$A$36&gt;35,N58+M59-V58,IF(A59&lt;'Données projet'!$A$36,$K$205^A59,IF(A59='Données projet'!$A$36,'Données projet'!$B$36,N58+M59-V58)))</f>
        <v>282.7999999999999</v>
      </c>
      <c r="O59" s="13">
        <f>N59*VLOOKUP('Données projet'!$B$9,Paramètres!$A$1:$I$89,3,0)*VLOOKUP('Données projet'!$B$9,Paramètres!$A$1:$I$89,5,0)</f>
        <v>207.34895999999992</v>
      </c>
      <c r="P59" s="13">
        <f t="shared" si="33"/>
        <v>51.355839110732845</v>
      </c>
      <c r="Q59" s="20">
        <f t="shared" si="53"/>
        <v>450.57752511785958</v>
      </c>
      <c r="R59" s="59">
        <f t="shared" si="0"/>
        <v>743.91085845119289</v>
      </c>
      <c r="S59" s="59">
        <f ca="1">AVERAGE(OFFSET($R$3,0,0,'Données projet'!$E$9+1,1))-AVERAGE(OFFSET($H$3,0,0,'Données projet'!$E$9+1,1))</f>
        <v>234.09142087023463</v>
      </c>
      <c r="T59" s="59">
        <f t="shared" si="34"/>
        <v>278.990685815294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1.4578531507179078</v>
      </c>
      <c r="AA59" s="21">
        <f>EXP(-LN(2)/25)*AA58+(1-EXP(-LN(2)/25))/(LN(2)/25)*Calculateur!V59*Calculateur!X59*VLOOKUP('Données projet'!$B$9,Paramètres!$A$1:$I$89,3,0)*0.475*44/12</f>
        <v>7.4613604464872765</v>
      </c>
      <c r="AB59" s="21">
        <f>EXP(-LN(2)/2)*AB58+(1-EXP(-LN(2)/2))/(LN(2)/2)*V59*Y59*VLOOKUP('Données projet'!$B$9,Paramètres!$A$1:$I$89,3,0)*0.475*44/12</f>
        <v>2.7042992921827002E-3</v>
      </c>
      <c r="AC59" s="22">
        <f t="shared" si="3"/>
        <v>8.9219178964973676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-2.2737367544323206E-13</v>
      </c>
      <c r="AJ59" s="13">
        <f>AI59*VLOOKUP('Données projet'!$B$10,Paramètres!$A$1:$I$89,3,0)*VLOOKUP('Données projet'!$B$10,Paramètres!$A$1:$I$89,5,0)</f>
        <v>-1.2710188457276673E-13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255.5374979188561</v>
      </c>
      <c r="AO59" s="59">
        <f t="shared" si="36"/>
        <v>343.10418468620901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1.8464686473077545</v>
      </c>
      <c r="AV59" s="21">
        <f>EXP(-LN(2)/25)*AV58+(1-EXP(-LN(2)/25))/(LN(2)/25)*Calculateur!AQ59*Calculateur!AS59*VLOOKUP('Données projet'!$B$10,Paramètres!$A$1:$I$89,3,0)*0.475*44/12</f>
        <v>7.7619125025186415</v>
      </c>
      <c r="AW59" s="21">
        <f>EXP(-LN(2)/2)*AW58+(1-EXP(-LN(2)/2))/(LN(2)/2)*AQ59*AT59*VLOOKUP('Données projet'!$B$10,Paramètres!$A$1:$I$89,3,0)*0.475*44/12</f>
        <v>2.0662256829273267E-4</v>
      </c>
      <c r="AX59" s="21">
        <f t="shared" si="6"/>
        <v>9.6085877723946886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228.79999999999993</v>
      </c>
      <c r="BE59" s="13">
        <f>BD59*VLOOKUP('Données projet'!$B$11,Paramètres!$A$1:$I$89,3,0)*VLOOKUP('Données projet'!$B$11,Paramètres!$A$1:$I$89,5,0)</f>
        <v>196.31039999999996</v>
      </c>
      <c r="BF59" s="13">
        <f t="shared" si="37"/>
        <v>48.932428681108973</v>
      </c>
      <c r="BG59" s="20">
        <f t="shared" si="7"/>
        <v>427.13125995293143</v>
      </c>
      <c r="BH59" s="59">
        <f t="shared" si="8"/>
        <v>720.46459328626474</v>
      </c>
      <c r="BI59" s="59">
        <f ca="1">AVERAGE(OFFSET($BH$3,0,0,'Données projet'!$E$11+1,1))-AVERAGE(OFFSET($H$3,0,0,'Données projet'!$E$11+1,1))</f>
        <v>310.4018929413723</v>
      </c>
      <c r="BJ59" s="59">
        <f t="shared" si="38"/>
        <v>127.5231137583819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2.8632148349582853</v>
      </c>
      <c r="BR59" s="21">
        <f>EXP(-LN(2)/2)*BR58+(1-EXP(-LN(2)/2))/(LN(2)/2)*BL59*BO59*VLOOKUP('Données projet'!$B$11,Paramètres!$A$1:$I$89,3,0)*0.475*44/12</f>
        <v>1.0901251630180072E-3</v>
      </c>
      <c r="BS59" s="22">
        <f t="shared" si="9"/>
        <v>2.8643049601213035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342.80000000000018</v>
      </c>
      <c r="BZ59" s="13">
        <f>BY59*VLOOKUP('Données projet'!$B$12,Paramètres!$A$1:$I$89,3,0)*VLOOKUP('Données projet'!$B$12,Paramètres!$A$1:$I$89,5,0)</f>
        <v>187.16880000000012</v>
      </c>
      <c r="CA59" s="13">
        <f t="shared" si="39"/>
        <v>46.913468855747631</v>
      </c>
      <c r="CB59" s="20">
        <f t="shared" si="10"/>
        <v>407.6932849237607</v>
      </c>
      <c r="CC59" s="59">
        <f t="shared" si="11"/>
        <v>701.02661825709401</v>
      </c>
      <c r="CD59" s="59">
        <f ca="1">AVERAGE(OFFSET($CC$3,0,0,'Données projet'!$E$12+1,1))-AVERAGE(OFFSET($H$3,0,0,'Données projet'!$E$12+1,1))</f>
        <v>210.04871822652808</v>
      </c>
      <c r="CE59" s="59">
        <f t="shared" si="40"/>
        <v>250.17540614049324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4.3627391665224637</v>
      </c>
      <c r="CL59" s="21">
        <f>EXP(-LN(2)/25)*CL58+(1-EXP(-LN(2)/25))/(LN(2)/25)*Calculateur!CG59*Calculateur!CI59*VLOOKUP('Données projet'!$B$12,Paramètres!$A$1:$I$89,3,0)*0.475*44/12</f>
        <v>13.534840628822515</v>
      </c>
      <c r="CM59" s="21">
        <f>EXP(-LN(2)/2)*CM58+(1-EXP(-LN(2)/2))/(LN(2)/2)*CG59*CJ59*VLOOKUP('Données projet'!$B$12,Paramètres!$A$1:$I$89,3,0)*0.475*44/12</f>
        <v>2.6310899337587479E-3</v>
      </c>
      <c r="CN59" s="22">
        <f t="shared" si="12"/>
        <v>17.900210885278735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6.8</v>
      </c>
      <c r="N60" s="13">
        <f>IF('Données projet'!$A$36&gt;35,N59+M60-V59,IF(A60&lt;'Données projet'!$A$36,$K$205^A60,IF(A60='Données projet'!$A$36,'Données projet'!$B$36,N59+M60-V59)))</f>
        <v>289.59999999999991</v>
      </c>
      <c r="O60" s="13">
        <f>N60*VLOOKUP('Données projet'!$B$9,Paramètres!$A$1:$I$89,3,0)*VLOOKUP('Données projet'!$B$9,Paramètres!$A$1:$I$89,5,0)</f>
        <v>212.33471999999992</v>
      </c>
      <c r="P60" s="13">
        <f t="shared" si="33"/>
        <v>52.445451994617102</v>
      </c>
      <c r="Q60" s="20">
        <f t="shared" si="53"/>
        <v>461.15879955729133</v>
      </c>
      <c r="R60" s="59">
        <f t="shared" si="0"/>
        <v>754.49213289062459</v>
      </c>
      <c r="S60" s="59">
        <f ca="1">AVERAGE(OFFSET($R$3,0,0,'Données projet'!$E$9+1,1))-AVERAGE(OFFSET($H$3,0,0,'Données projet'!$E$9+1,1))</f>
        <v>234.09142087023463</v>
      </c>
      <c r="T60" s="59">
        <f t="shared" si="34"/>
        <v>278.990685815294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1.4292655396349501</v>
      </c>
      <c r="AA60" s="21">
        <f>EXP(-LN(2)/25)*AA59+(1-EXP(-LN(2)/25))/(LN(2)/25)*Calculateur!V60*Calculateur!X60*VLOOKUP('Données projet'!$B$9,Paramètres!$A$1:$I$89,3,0)*0.475*44/12</f>
        <v>7.257329152702189</v>
      </c>
      <c r="AB60" s="21">
        <f>EXP(-LN(2)/2)*AB59+(1-EXP(-LN(2)/2))/(LN(2)/2)*V60*Y60*VLOOKUP('Données projet'!$B$9,Paramètres!$A$1:$I$89,3,0)*0.475*44/12</f>
        <v>1.912228367860368E-3</v>
      </c>
      <c r="AC60" s="22">
        <f t="shared" si="3"/>
        <v>8.6885069207049987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-2.2737367544323206E-13</v>
      </c>
      <c r="AJ60" s="13">
        <f>AI60*VLOOKUP('Données projet'!$B$10,Paramètres!$A$1:$I$89,3,0)*VLOOKUP('Données projet'!$B$10,Paramètres!$A$1:$I$89,5,0)</f>
        <v>-1.2710188457276673E-13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255.5374979188561</v>
      </c>
      <c r="AO60" s="59">
        <f t="shared" si="36"/>
        <v>343.10418468620901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1.8102605233687179</v>
      </c>
      <c r="AV60" s="21">
        <f>EXP(-LN(2)/25)*AV59+(1-EXP(-LN(2)/25))/(LN(2)/25)*Calculateur!AQ60*Calculateur!AS60*VLOOKUP('Données projet'!$B$10,Paramètres!$A$1:$I$89,3,0)*0.475*44/12</f>
        <v>7.5496625969560309</v>
      </c>
      <c r="AW60" s="21">
        <f>EXP(-LN(2)/2)*AW59+(1-EXP(-LN(2)/2))/(LN(2)/2)*AQ60*AT60*VLOOKUP('Données projet'!$B$10,Paramètres!$A$1:$I$89,3,0)*0.475*44/12</f>
        <v>1.4610421918597179E-4</v>
      </c>
      <c r="AX60" s="21">
        <f t="shared" si="6"/>
        <v>9.3600692245439348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239.59999999999994</v>
      </c>
      <c r="BE60" s="13">
        <f>BD60*VLOOKUP('Données projet'!$B$11,Paramètres!$A$1:$I$89,3,0)*VLOOKUP('Données projet'!$B$11,Paramètres!$A$1:$I$89,5,0)</f>
        <v>205.57679999999996</v>
      </c>
      <c r="BF60" s="13">
        <f t="shared" si="37"/>
        <v>50.967810929232002</v>
      </c>
      <c r="BG60" s="20">
        <f t="shared" si="7"/>
        <v>446.81519736841233</v>
      </c>
      <c r="BH60" s="59">
        <f t="shared" si="8"/>
        <v>740.14853070174559</v>
      </c>
      <c r="BI60" s="59">
        <f ca="1">AVERAGE(OFFSET($BH$3,0,0,'Données projet'!$E$11+1,1))-AVERAGE(OFFSET($H$3,0,0,'Données projet'!$E$11+1,1))</f>
        <v>310.4018929413723</v>
      </c>
      <c r="BJ60" s="59">
        <f t="shared" si="38"/>
        <v>127.5231137583819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2.7849200747264269</v>
      </c>
      <c r="BR60" s="21">
        <f>EXP(-LN(2)/2)*BR59+(1-EXP(-LN(2)/2))/(LN(2)/2)*BL60*BO60*VLOOKUP('Données projet'!$B$11,Paramètres!$A$1:$I$89,3,0)*0.475*44/12</f>
        <v>7.708348951121235E-4</v>
      </c>
      <c r="BS60" s="22">
        <f t="shared" si="9"/>
        <v>2.7856909096215392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352.60000000000019</v>
      </c>
      <c r="BZ60" s="13">
        <f>BY60*VLOOKUP('Données projet'!$B$12,Paramètres!$A$1:$I$89,3,0)*VLOOKUP('Données projet'!$B$12,Paramètres!$A$1:$I$89,5,0)</f>
        <v>192.51960000000011</v>
      </c>
      <c r="CA60" s="13">
        <f t="shared" si="39"/>
        <v>48.096572818546932</v>
      </c>
      <c r="CB60" s="20">
        <f t="shared" si="10"/>
        <v>419.0731676589694</v>
      </c>
      <c r="CC60" s="59">
        <f t="shared" si="11"/>
        <v>712.40650099230265</v>
      </c>
      <c r="CD60" s="59">
        <f ca="1">AVERAGE(OFFSET($CC$3,0,0,'Données projet'!$E$12+1,1))-AVERAGE(OFFSET($H$3,0,0,'Données projet'!$E$12+1,1))</f>
        <v>210.04871822652808</v>
      </c>
      <c r="CE60" s="59">
        <f t="shared" si="40"/>
        <v>250.17540614049324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4.2771885124750968</v>
      </c>
      <c r="CL60" s="21">
        <f>EXP(-LN(2)/25)*CL59+(1-EXP(-LN(2)/25))/(LN(2)/25)*Calculateur!CG60*Calculateur!CI60*VLOOKUP('Données projet'!$B$12,Paramètres!$A$1:$I$89,3,0)*0.475*44/12</f>
        <v>13.164729700061029</v>
      </c>
      <c r="CM60" s="21">
        <f>EXP(-LN(2)/2)*CM59+(1-EXP(-LN(2)/2))/(LN(2)/2)*CG60*CJ60*VLOOKUP('Données projet'!$B$12,Paramètres!$A$1:$I$89,3,0)*0.475*44/12</f>
        <v>1.8604615340724749E-3</v>
      </c>
      <c r="CN60" s="22">
        <f t="shared" si="12"/>
        <v>17.443778674070199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6.8</v>
      </c>
      <c r="N61" s="13">
        <f>IF('Données projet'!$A$36&gt;35,N60+M61-V60,IF(A61&lt;'Données projet'!$A$36,$K$205^A61,IF(A61='Données projet'!$A$36,'Données projet'!$B$36,N60+M61-V60)))</f>
        <v>296.39999999999992</v>
      </c>
      <c r="O61" s="13">
        <f>N61*VLOOKUP('Données projet'!$B$9,Paramètres!$A$1:$I$89,3,0)*VLOOKUP('Données projet'!$B$9,Paramètres!$A$1:$I$89,5,0)</f>
        <v>217.32047999999995</v>
      </c>
      <c r="P61" s="13">
        <f t="shared" si="33"/>
        <v>53.532090581147429</v>
      </c>
      <c r="Q61" s="20">
        <f t="shared" si="53"/>
        <v>471.73489376216497</v>
      </c>
      <c r="R61" s="59">
        <f t="shared" si="0"/>
        <v>765.06822709549829</v>
      </c>
      <c r="S61" s="59">
        <f ca="1">AVERAGE(OFFSET($R$3,0,0,'Données projet'!$E$9+1,1))-AVERAGE(OFFSET($H$3,0,0,'Données projet'!$E$9+1,1))</f>
        <v>234.09142087023463</v>
      </c>
      <c r="T61" s="59">
        <f t="shared" si="34"/>
        <v>278.990685815294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1.4012385141686081</v>
      </c>
      <c r="AA61" s="21">
        <f>EXP(-LN(2)/25)*AA60+(1-EXP(-LN(2)/25))/(LN(2)/25)*Calculateur!V61*Calculateur!X61*VLOOKUP('Données projet'!$B$9,Paramètres!$A$1:$I$89,3,0)*0.475*44/12</f>
        <v>7.0588771053751946</v>
      </c>
      <c r="AB61" s="21">
        <f>EXP(-LN(2)/2)*AB60+(1-EXP(-LN(2)/2))/(LN(2)/2)*V61*Y61*VLOOKUP('Données projet'!$B$9,Paramètres!$A$1:$I$89,3,0)*0.475*44/12</f>
        <v>1.3521496460913503E-3</v>
      </c>
      <c r="AC61" s="22">
        <f t="shared" si="3"/>
        <v>8.4614677691898947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-2.2737367544323206E-13</v>
      </c>
      <c r="AJ61" s="13">
        <f>AI61*VLOOKUP('Données projet'!$B$10,Paramètres!$A$1:$I$89,3,0)*VLOOKUP('Données projet'!$B$10,Paramètres!$A$1:$I$89,5,0)</f>
        <v>-1.2710188457276673E-13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255.5374979188561</v>
      </c>
      <c r="AO61" s="59">
        <f t="shared" si="36"/>
        <v>343.10418468620901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1.7747624186553508</v>
      </c>
      <c r="AV61" s="21">
        <f>EXP(-LN(2)/25)*AV60+(1-EXP(-LN(2)/25))/(LN(2)/25)*Calculateur!AQ61*Calculateur!AS61*VLOOKUP('Données projet'!$B$10,Paramètres!$A$1:$I$89,3,0)*0.475*44/12</f>
        <v>7.3432166762227675</v>
      </c>
      <c r="AW61" s="21">
        <f>EXP(-LN(2)/2)*AW60+(1-EXP(-LN(2)/2))/(LN(2)/2)*AQ61*AT61*VLOOKUP('Données projet'!$B$10,Paramètres!$A$1:$I$89,3,0)*0.475*44/12</f>
        <v>1.0331128414636634E-4</v>
      </c>
      <c r="AX61" s="21">
        <f t="shared" si="6"/>
        <v>9.1180824061622641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250.39999999999995</v>
      </c>
      <c r="BE61" s="13">
        <f>BD61*VLOOKUP('Données projet'!$B$11,Paramètres!$A$1:$I$89,3,0)*VLOOKUP('Données projet'!$B$11,Paramètres!$A$1:$I$89,5,0)</f>
        <v>214.84319999999997</v>
      </c>
      <c r="BF61" s="13">
        <f t="shared" si="37"/>
        <v>52.992538203061436</v>
      </c>
      <c r="BG61" s="20">
        <f t="shared" si="7"/>
        <v>466.4805773703319</v>
      </c>
      <c r="BH61" s="59">
        <f t="shared" si="8"/>
        <v>759.81391070366521</v>
      </c>
      <c r="BI61" s="59">
        <f ca="1">AVERAGE(OFFSET($BH$3,0,0,'Données projet'!$E$11+1,1))-AVERAGE(OFFSET($H$3,0,0,'Données projet'!$E$11+1,1))</f>
        <v>310.4018929413723</v>
      </c>
      <c r="BJ61" s="59">
        <f t="shared" si="38"/>
        <v>127.5231137583819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2.7087662888304509</v>
      </c>
      <c r="BR61" s="21">
        <f>EXP(-LN(2)/2)*BR60+(1-EXP(-LN(2)/2))/(LN(2)/2)*BL61*BO61*VLOOKUP('Données projet'!$B$11,Paramètres!$A$1:$I$89,3,0)*0.475*44/12</f>
        <v>5.4506258150900362E-4</v>
      </c>
      <c r="BS61" s="22">
        <f t="shared" si="9"/>
        <v>2.70931135141196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362.4000000000002</v>
      </c>
      <c r="BZ61" s="13">
        <f>BY61*VLOOKUP('Données projet'!$B$12,Paramètres!$A$1:$I$89,3,0)*VLOOKUP('Données projet'!$B$12,Paramètres!$A$1:$I$89,5,0)</f>
        <v>197.8704000000001</v>
      </c>
      <c r="CA61" s="13">
        <f t="shared" si="39"/>
        <v>49.275854906806309</v>
      </c>
      <c r="CB61" s="20">
        <f t="shared" si="10"/>
        <v>430.44639396268781</v>
      </c>
      <c r="CC61" s="59">
        <f t="shared" si="11"/>
        <v>723.77972729602106</v>
      </c>
      <c r="CD61" s="59">
        <f ca="1">AVERAGE(OFFSET($CC$3,0,0,'Données projet'!$E$12+1,1))-AVERAGE(OFFSET($H$3,0,0,'Données projet'!$E$12+1,1))</f>
        <v>210.04871822652808</v>
      </c>
      <c r="CE61" s="59">
        <f t="shared" si="40"/>
        <v>250.17540614049324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4.1933154545728524</v>
      </c>
      <c r="CL61" s="21">
        <f>EXP(-LN(2)/25)*CL60+(1-EXP(-LN(2)/25))/(LN(2)/25)*Calculateur!CG61*Calculateur!CI61*VLOOKUP('Données projet'!$B$12,Paramètres!$A$1:$I$89,3,0)*0.475*44/12</f>
        <v>12.804739474109814</v>
      </c>
      <c r="CM61" s="21">
        <f>EXP(-LN(2)/2)*CM60+(1-EXP(-LN(2)/2))/(LN(2)/2)*CG61*CJ61*VLOOKUP('Données projet'!$B$12,Paramètres!$A$1:$I$89,3,0)*0.475*44/12</f>
        <v>1.3155449668793742E-3</v>
      </c>
      <c r="CN61" s="22">
        <f t="shared" si="12"/>
        <v>16.999370473649545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6.8</v>
      </c>
      <c r="N62" s="13">
        <f>IF('Données projet'!$A$36&gt;35,N61+M62-V61,IF(A62&lt;'Données projet'!$A$36,$K$205^A62,IF(A62='Données projet'!$A$36,'Données projet'!$B$36,N61+M62-V61)))</f>
        <v>303.19999999999993</v>
      </c>
      <c r="O62" s="13">
        <f>N62*VLOOKUP('Données projet'!$B$9,Paramètres!$A$1:$I$89,3,0)*VLOOKUP('Données projet'!$B$9,Paramètres!$A$1:$I$89,5,0)</f>
        <v>222.30623999999995</v>
      </c>
      <c r="P62" s="13">
        <f t="shared" si="33"/>
        <v>54.615830961128815</v>
      </c>
      <c r="Q62" s="20">
        <f t="shared" si="53"/>
        <v>482.3059402572992</v>
      </c>
      <c r="R62" s="59">
        <f t="shared" si="0"/>
        <v>775.63927359063246</v>
      </c>
      <c r="S62" s="59">
        <f ca="1">AVERAGE(OFFSET($R$3,0,0,'Données projet'!$E$9+1,1))-AVERAGE(OFFSET($H$3,0,0,'Données projet'!$E$9+1,1))</f>
        <v>234.09142087023463</v>
      </c>
      <c r="T62" s="59">
        <f t="shared" si="34"/>
        <v>278.990685815294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1.3737610815768635</v>
      </c>
      <c r="AA62" s="21">
        <f>EXP(-LN(2)/25)*AA61+(1-EXP(-LN(2)/25))/(LN(2)/25)*Calculateur!V62*Calculateur!X62*VLOOKUP('Données projet'!$B$9,Paramètres!$A$1:$I$89,3,0)*0.475*44/12</f>
        <v>6.8658517397184964</v>
      </c>
      <c r="AB62" s="21">
        <f>EXP(-LN(2)/2)*AB61+(1-EXP(-LN(2)/2))/(LN(2)/2)*V62*Y62*VLOOKUP('Données projet'!$B$9,Paramètres!$A$1:$I$89,3,0)*0.475*44/12</f>
        <v>9.5611418393018422E-4</v>
      </c>
      <c r="AC62" s="22">
        <f t="shared" si="3"/>
        <v>8.2405689354792901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-2.2737367544323206E-13</v>
      </c>
      <c r="AJ62" s="13">
        <f>AI62*VLOOKUP('Données projet'!$B$10,Paramètres!$A$1:$I$89,3,0)*VLOOKUP('Données projet'!$B$10,Paramètres!$A$1:$I$89,5,0)</f>
        <v>-1.2710188457276673E-13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255.5374979188561</v>
      </c>
      <c r="AO62" s="59">
        <f t="shared" si="36"/>
        <v>343.10418468620901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1.7399604101237069</v>
      </c>
      <c r="AV62" s="21">
        <f>EXP(-LN(2)/25)*AV61+(1-EXP(-LN(2)/25))/(LN(2)/25)*Calculateur!AQ62*Calculateur!AS62*VLOOKUP('Données projet'!$B$10,Paramètres!$A$1:$I$89,3,0)*0.475*44/12</f>
        <v>7.1424160300484738</v>
      </c>
      <c r="AW62" s="21">
        <f>EXP(-LN(2)/2)*AW61+(1-EXP(-LN(2)/2))/(LN(2)/2)*AQ62*AT62*VLOOKUP('Données projet'!$B$10,Paramètres!$A$1:$I$89,3,0)*0.475*44/12</f>
        <v>7.3052109592985895E-5</v>
      </c>
      <c r="AX62" s="21">
        <f t="shared" si="6"/>
        <v>8.8824494922817738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261.19999999999993</v>
      </c>
      <c r="BE62" s="13">
        <f>BD62*VLOOKUP('Données projet'!$B$11,Paramètres!$A$1:$I$89,3,0)*VLOOKUP('Données projet'!$B$11,Paramètres!$A$1:$I$89,5,0)</f>
        <v>224.10959999999997</v>
      </c>
      <c r="BF62" s="13">
        <f t="shared" si="37"/>
        <v>55.00712259326616</v>
      </c>
      <c r="BG62" s="20">
        <f t="shared" si="7"/>
        <v>486.12829184993842</v>
      </c>
      <c r="BH62" s="59">
        <f t="shared" si="8"/>
        <v>779.46162518327174</v>
      </c>
      <c r="BI62" s="59">
        <f ca="1">AVERAGE(OFFSET($BH$3,0,0,'Données projet'!$E$11+1,1))-AVERAGE(OFFSET($H$3,0,0,'Données projet'!$E$11+1,1))</f>
        <v>310.4018929413723</v>
      </c>
      <c r="BJ62" s="59">
        <f t="shared" si="38"/>
        <v>127.5231137583819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2.6346949322145541</v>
      </c>
      <c r="BR62" s="21">
        <f>EXP(-LN(2)/2)*BR61+(1-EXP(-LN(2)/2))/(LN(2)/2)*BL62*BO62*VLOOKUP('Données projet'!$B$11,Paramètres!$A$1:$I$89,3,0)*0.475*44/12</f>
        <v>3.8541744755606175E-4</v>
      </c>
      <c r="BS62" s="22">
        <f t="shared" si="9"/>
        <v>2.6350803496621102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372.20000000000022</v>
      </c>
      <c r="BZ62" s="13">
        <f>BY62*VLOOKUP('Données projet'!$B$12,Paramètres!$A$1:$I$89,3,0)*VLOOKUP('Données projet'!$B$12,Paramètres!$A$1:$I$89,5,0)</f>
        <v>203.22120000000012</v>
      </c>
      <c r="CA62" s="13">
        <f t="shared" si="39"/>
        <v>50.451430348521406</v>
      </c>
      <c r="CB62" s="20">
        <f t="shared" si="10"/>
        <v>441.81316452367497</v>
      </c>
      <c r="CC62" s="59">
        <f t="shared" si="11"/>
        <v>735.14649785700828</v>
      </c>
      <c r="CD62" s="59">
        <f ca="1">AVERAGE(OFFSET($CC$3,0,0,'Données projet'!$E$12+1,1))-AVERAGE(OFFSET($H$3,0,0,'Données projet'!$E$12+1,1))</f>
        <v>210.04871822652808</v>
      </c>
      <c r="CE62" s="59">
        <f t="shared" si="40"/>
        <v>250.17540614049324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4.1110870961785571</v>
      </c>
      <c r="CL62" s="21">
        <f>EXP(-LN(2)/25)*CL61+(1-EXP(-LN(2)/25))/(LN(2)/25)*Calculateur!CG62*Calculateur!CI62*VLOOKUP('Données projet'!$B$12,Paramètres!$A$1:$I$89,3,0)*0.475*44/12</f>
        <v>12.454593199818298</v>
      </c>
      <c r="CM62" s="21">
        <f>EXP(-LN(2)/2)*CM61+(1-EXP(-LN(2)/2))/(LN(2)/2)*CG62*CJ62*VLOOKUP('Données projet'!$B$12,Paramètres!$A$1:$I$89,3,0)*0.475*44/12</f>
        <v>9.3023076703623757E-4</v>
      </c>
      <c r="CN62" s="22">
        <f t="shared" si="12"/>
        <v>16.566610526763892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310</v>
      </c>
      <c r="L63" s="12">
        <f>VLOOKUP(A63,'Données projet'!$A$35:$I$55,9,0)</f>
        <v>6.8</v>
      </c>
      <c r="M63" s="12">
        <f t="array" ref="M63">INDEX(L:L,MIN(IF(ISNUMBER(L63:L259),ROW(L63:L259),"")))</f>
        <v>6.8</v>
      </c>
      <c r="N63" s="13">
        <f>IF('Données projet'!$A$36&gt;35,N62+M63-V62,IF(A63&lt;'Données projet'!$A$36,$K$205^A63,IF(A63='Données projet'!$A$36,'Données projet'!$B$36,N62+M63-V62)))</f>
        <v>309.99999999999994</v>
      </c>
      <c r="O63" s="13">
        <f>N63*VLOOKUP('Données projet'!$B$9,Paramètres!$A$1:$I$89,3,0)*VLOOKUP('Données projet'!$B$9,Paramètres!$A$1:$I$89,5,0)</f>
        <v>227.29199999999994</v>
      </c>
      <c r="P63" s="13">
        <f t="shared" si="33"/>
        <v>55.6967456174837</v>
      </c>
      <c r="Q63" s="20">
        <f t="shared" si="53"/>
        <v>492.87206528378402</v>
      </c>
      <c r="R63" s="59">
        <f t="shared" si="0"/>
        <v>786.20539861711734</v>
      </c>
      <c r="S63" s="59">
        <f ca="1">AVERAGE(OFFSET($R$3,0,0,'Données projet'!$E$9+1,1))-AVERAGE(OFFSET($H$3,0,0,'Données projet'!$E$9+1,1))</f>
        <v>234.09142087023463</v>
      </c>
      <c r="T63" s="59">
        <f t="shared" si="34"/>
        <v>278.990685815294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30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1.3468224646786642</v>
      </c>
      <c r="AA63" s="21">
        <f>EXP(-LN(2)/25)*AA62+(1-EXP(-LN(2)/25))/(LN(2)/25)*Calculateur!V63*Calculateur!X63*VLOOKUP('Données projet'!$B$9,Paramètres!$A$1:$I$89,3,0)*0.475*44/12</f>
        <v>6.6781046628364429</v>
      </c>
      <c r="AB63" s="21">
        <f>EXP(-LN(2)/2)*AB62+(1-EXP(-LN(2)/2))/(LN(2)/2)*V63*Y63*VLOOKUP('Données projet'!$B$9,Paramètres!$A$1:$I$89,3,0)*0.475*44/12</f>
        <v>6.7607482304567527E-4</v>
      </c>
      <c r="AC63" s="22">
        <f t="shared" si="3"/>
        <v>8.0256032023381536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-2.2737367544323206E-13</v>
      </c>
      <c r="AJ63" s="13">
        <f>AI63*VLOOKUP('Données projet'!$B$10,Paramètres!$A$1:$I$89,3,0)*VLOOKUP('Données projet'!$B$10,Paramètres!$A$1:$I$89,5,0)</f>
        <v>-1.2710188457276673E-13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255.5374979188561</v>
      </c>
      <c r="AO63" s="59">
        <f t="shared" si="36"/>
        <v>343.10418468620901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1.7058408477522393</v>
      </c>
      <c r="AV63" s="21">
        <f>EXP(-LN(2)/25)*AV62+(1-EXP(-LN(2)/25))/(LN(2)/25)*Calculateur!AQ63*Calculateur!AS63*VLOOKUP('Données projet'!$B$10,Paramètres!$A$1:$I$89,3,0)*0.475*44/12</f>
        <v>6.9471062881034635</v>
      </c>
      <c r="AW63" s="21">
        <f>EXP(-LN(2)/2)*AW62+(1-EXP(-LN(2)/2))/(LN(2)/2)*AQ63*AT63*VLOOKUP('Données projet'!$B$10,Paramètres!$A$1:$I$89,3,0)*0.475*44/12</f>
        <v>5.1655642073183168E-5</v>
      </c>
      <c r="AX63" s="21">
        <f t="shared" si="6"/>
        <v>8.652998791497776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272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271.99999999999994</v>
      </c>
      <c r="BE63" s="13">
        <f>BD63*VLOOKUP('Données projet'!$B$11,Paramètres!$A$1:$I$89,3,0)*VLOOKUP('Données projet'!$B$11,Paramètres!$A$1:$I$89,5,0)</f>
        <v>233.376</v>
      </c>
      <c r="BF63" s="13">
        <f t="shared" si="37"/>
        <v>57.012031446990107</v>
      </c>
      <c r="BG63" s="20">
        <f t="shared" si="7"/>
        <v>505.75915477017446</v>
      </c>
      <c r="BH63" s="59">
        <f t="shared" si="8"/>
        <v>799.09248810350778</v>
      </c>
      <c r="BI63" s="59">
        <f ca="1">AVERAGE(OFFSET($BH$3,0,0,'Données projet'!$E$11+1,1))-AVERAGE(OFFSET($H$3,0,0,'Données projet'!$E$11+1,1))</f>
        <v>310.4018929413723</v>
      </c>
      <c r="BJ63" s="59">
        <f t="shared" si="38"/>
        <v>127.5231137583819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69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2.5626490607405623</v>
      </c>
      <c r="BR63" s="21">
        <f>EXP(-LN(2)/2)*BR62+(1-EXP(-LN(2)/2))/(LN(2)/2)*BL63*BO63*VLOOKUP('Données projet'!$B$11,Paramètres!$A$1:$I$89,3,0)*0.475*44/12</f>
        <v>2.7253129075450181E-4</v>
      </c>
      <c r="BS63" s="22">
        <f t="shared" si="9"/>
        <v>2.5629215920313166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382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382.00000000000023</v>
      </c>
      <c r="BZ63" s="13">
        <f>BY63*VLOOKUP('Données projet'!$B$12,Paramètres!$A$1:$I$89,3,0)*VLOOKUP('Données projet'!$B$12,Paramètres!$A$1:$I$89,5,0)</f>
        <v>208.57200000000012</v>
      </c>
      <c r="CA63" s="13">
        <f t="shared" si="39"/>
        <v>51.623407958239042</v>
      </c>
      <c r="CB63" s="20">
        <f t="shared" si="10"/>
        <v>453.17366886059989</v>
      </c>
      <c r="CC63" s="59">
        <f t="shared" si="11"/>
        <v>746.5070021939332</v>
      </c>
      <c r="CD63" s="59">
        <f ca="1">AVERAGE(OFFSET($CC$3,0,0,'Données projet'!$E$12+1,1))-AVERAGE(OFFSET($H$3,0,0,'Données projet'!$E$12+1,1))</f>
        <v>210.04871822652808</v>
      </c>
      <c r="CE63" s="59">
        <f t="shared" si="40"/>
        <v>250.17540614049324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4.030471185738028</v>
      </c>
      <c r="CL63" s="21">
        <f>EXP(-LN(2)/25)*CL62+(1-EXP(-LN(2)/25))/(LN(2)/25)*Calculateur!CG63*Calculateur!CI63*VLOOKUP('Données projet'!$B$12,Paramètres!$A$1:$I$89,3,0)*0.475*44/12</f>
        <v>12.114021693810676</v>
      </c>
      <c r="CM63" s="21">
        <f>EXP(-LN(2)/2)*CM62+(1-EXP(-LN(2)/2))/(LN(2)/2)*CG63*CJ63*VLOOKUP('Données projet'!$B$12,Paramètres!$A$1:$I$89,3,0)*0.475*44/12</f>
        <v>6.577724834396872E-4</v>
      </c>
      <c r="CN63" s="22">
        <f t="shared" si="12"/>
        <v>16.145150652032143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4.9000000000000004</v>
      </c>
      <c r="N64" s="13">
        <f>IF('Données projet'!$A$36&gt;35,N63+M64-V63,IF(A64&lt;'Données projet'!$A$36,$K$205^A64,IF(A64='Données projet'!$A$36,'Données projet'!$B$36,N63+M64-V63)))</f>
        <v>284.89999999999992</v>
      </c>
      <c r="O64" s="13">
        <f>N64*VLOOKUP('Données projet'!$B$9,Paramètres!$A$1:$I$89,3,0)*VLOOKUP('Données projet'!$B$9,Paramètres!$A$1:$I$89,5,0)</f>
        <v>208.88867999999994</v>
      </c>
      <c r="P64" s="13">
        <f t="shared" si="33"/>
        <v>51.692659373318428</v>
      </c>
      <c r="Q64" s="20">
        <f t="shared" si="53"/>
        <v>453.84583274186275</v>
      </c>
      <c r="R64" s="59">
        <f t="shared" si="0"/>
        <v>747.17916607519601</v>
      </c>
      <c r="S64" s="59">
        <f ca="1">AVERAGE(OFFSET($R$3,0,0,'Données projet'!$E$9+1,1))-AVERAGE(OFFSET($H$3,0,0,'Données projet'!$E$9+1,1))</f>
        <v>234.09142087023463</v>
      </c>
      <c r="T64" s="59">
        <f t="shared" si="34"/>
        <v>278.990685815294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1.3204120976269045</v>
      </c>
      <c r="AA64" s="21">
        <f>EXP(-LN(2)/25)*AA63+(1-EXP(-LN(2)/25))/(LN(2)/25)*Calculateur!V64*Calculateur!X64*VLOOKUP('Données projet'!$B$9,Paramètres!$A$1:$I$89,3,0)*0.475*44/12</f>
        <v>6.4954915396449193</v>
      </c>
      <c r="AB64" s="21">
        <f>EXP(-LN(2)/2)*AB63+(1-EXP(-LN(2)/2))/(LN(2)/2)*V64*Y64*VLOOKUP('Données projet'!$B$9,Paramètres!$A$1:$I$89,3,0)*0.475*44/12</f>
        <v>4.7805709196509217E-4</v>
      </c>
      <c r="AC64" s="22">
        <f t="shared" si="3"/>
        <v>7.8163816943637885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-1.2710188457276673E-13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255.5374979188561</v>
      </c>
      <c r="AO64" s="59">
        <f t="shared" si="36"/>
        <v>343.10418468620901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1.6723903491879981</v>
      </c>
      <c r="AV64" s="21">
        <f>EXP(-LN(2)/25)*AV63+(1-EXP(-LN(2)/25))/(LN(2)/25)*Calculateur!AQ64*Calculateur!AS64*VLOOKUP('Données projet'!$B$10,Paramètres!$A$1:$I$89,3,0)*0.475*44/12</f>
        <v>6.7571373013228326</v>
      </c>
      <c r="AW64" s="21">
        <f>EXP(-LN(2)/2)*AW63+(1-EXP(-LN(2)/2))/(LN(2)/2)*AQ64*AT64*VLOOKUP('Données projet'!$B$10,Paramètres!$A$1:$I$89,3,0)*0.475*44/12</f>
        <v>3.6526054796492948E-5</v>
      </c>
      <c r="AX64" s="21">
        <f t="shared" si="6"/>
        <v>8.4295641765656271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10.7</v>
      </c>
      <c r="BD64" s="12">
        <f>IF('Données projet'!$A$88&gt;35,BD63+BC64-BL63,IF(A64&lt;'Données projet'!$A$88,$BA$205^A64,IF(A64='Données projet'!$A$88,'Données projet'!$B$88,BD63+BC64-BL63)))</f>
        <v>213.69999999999993</v>
      </c>
      <c r="BE64" s="13">
        <f>BD64*VLOOKUP('Données projet'!$B$11,Paramètres!$A$1:$I$89,3,0)*VLOOKUP('Données projet'!$B$11,Paramètres!$A$1:$I$89,5,0)</f>
        <v>183.35459999999995</v>
      </c>
      <c r="BF64" s="13">
        <f t="shared" si="37"/>
        <v>46.067718904183039</v>
      </c>
      <c r="BG64" s="20">
        <f t="shared" si="7"/>
        <v>399.57720542478529</v>
      </c>
      <c r="BH64" s="59">
        <f t="shared" si="8"/>
        <v>692.91053875811861</v>
      </c>
      <c r="BI64" s="59">
        <f ca="1">AVERAGE(OFFSET($BH$3,0,0,'Données projet'!$E$11+1,1))-AVERAGE(OFFSET($H$3,0,0,'Données projet'!$E$11+1,1))</f>
        <v>310.4018929413723</v>
      </c>
      <c r="BJ64" s="59">
        <f t="shared" si="38"/>
        <v>127.5231137583819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2.4925732874107545</v>
      </c>
      <c r="BR64" s="21">
        <f>EXP(-LN(2)/2)*BR63+(1-EXP(-LN(2)/2))/(LN(2)/2)*BL64*BO64*VLOOKUP('Données projet'!$B$11,Paramètres!$A$1:$I$89,3,0)*0.475*44/12</f>
        <v>1.9270872377803088E-4</v>
      </c>
      <c r="BS64" s="22">
        <f t="shared" si="9"/>
        <v>2.4927659961345325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334.50000000000023</v>
      </c>
      <c r="BZ64" s="13">
        <f>BY64*VLOOKUP('Données projet'!$B$12,Paramètres!$A$1:$I$89,3,0)*VLOOKUP('Données projet'!$B$12,Paramètres!$A$1:$I$89,5,0)</f>
        <v>182.63700000000014</v>
      </c>
      <c r="CA64" s="13">
        <f t="shared" si="39"/>
        <v>45.908372564566413</v>
      </c>
      <c r="CB64" s="20">
        <f t="shared" si="10"/>
        <v>398.04985721662001</v>
      </c>
      <c r="CC64" s="59">
        <f t="shared" si="11"/>
        <v>691.38319054995327</v>
      </c>
      <c r="CD64" s="59">
        <f ca="1">AVERAGE(OFFSET($CC$3,0,0,'Données projet'!$E$12+1,1))-AVERAGE(OFFSET($H$3,0,0,'Données projet'!$E$12+1,1))</f>
        <v>210.04871822652808</v>
      </c>
      <c r="CE64" s="59">
        <f t="shared" si="40"/>
        <v>250.17540614049324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3.9514361041303872</v>
      </c>
      <c r="CL64" s="21">
        <f>EXP(-LN(2)/25)*CL63+(1-EXP(-LN(2)/25))/(LN(2)/25)*Calculateur!CG64*Calculateur!CI64*VLOOKUP('Données projet'!$B$12,Paramètres!$A$1:$I$89,3,0)*0.475*44/12</f>
        <v>11.782763133544709</v>
      </c>
      <c r="CM64" s="21">
        <f>EXP(-LN(2)/2)*CM63+(1-EXP(-LN(2)/2))/(LN(2)/2)*CG64*CJ64*VLOOKUP('Données projet'!$B$12,Paramètres!$A$1:$I$89,3,0)*0.475*44/12</f>
        <v>4.651153835181189E-4</v>
      </c>
      <c r="CN64" s="22">
        <f t="shared" si="12"/>
        <v>15.734664353058614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4.9000000000000004</v>
      </c>
      <c r="N65" s="13">
        <f>IF('Données projet'!$A$36&gt;35,N64+M65-V64,IF(A65&lt;'Données projet'!$A$36,$K$205^A65,IF(A65='Données projet'!$A$36,'Données projet'!$B$36,N64+M65-V64)))</f>
        <v>289.7999999999999</v>
      </c>
      <c r="O65" s="13">
        <f>N65*VLOOKUP('Données projet'!$B$9,Paramètres!$A$1:$I$89,3,0)*VLOOKUP('Données projet'!$B$9,Paramètres!$A$1:$I$89,5,0)</f>
        <v>212.48135999999991</v>
      </c>
      <c r="P65" s="13">
        <f t="shared" si="33"/>
        <v>52.477454024498286</v>
      </c>
      <c r="Q65" s="20">
        <f t="shared" si="53"/>
        <v>461.46993442600098</v>
      </c>
      <c r="R65" s="59">
        <f t="shared" si="0"/>
        <v>754.80326775933429</v>
      </c>
      <c r="S65" s="59">
        <f ca="1">AVERAGE(OFFSET($R$3,0,0,'Données projet'!$E$9+1,1))-AVERAGE(OFFSET($H$3,0,0,'Données projet'!$E$9+1,1))</f>
        <v>234.09142087023463</v>
      </c>
      <c r="T65" s="59">
        <f t="shared" si="34"/>
        <v>278.990685815294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1.2945196217642965</v>
      </c>
      <c r="AA65" s="21">
        <f>EXP(-LN(2)/25)*AA64+(1-EXP(-LN(2)/25))/(LN(2)/25)*Calculateur!V65*Calculateur!X65*VLOOKUP('Données projet'!$B$9,Paramètres!$A$1:$I$89,3,0)*0.475*44/12</f>
        <v>6.3178719819102742</v>
      </c>
      <c r="AB65" s="21">
        <f>EXP(-LN(2)/2)*AB64+(1-EXP(-LN(2)/2))/(LN(2)/2)*V65*Y65*VLOOKUP('Données projet'!$B$9,Paramètres!$A$1:$I$89,3,0)*0.475*44/12</f>
        <v>3.3803741152283769E-4</v>
      </c>
      <c r="AC65" s="22">
        <f t="shared" si="3"/>
        <v>7.6127296410860934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-1.2710188457276673E-13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255.5374979188561</v>
      </c>
      <c r="AO65" s="59">
        <f t="shared" si="36"/>
        <v>343.10418468620901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1.6395957944978121</v>
      </c>
      <c r="AV65" s="21">
        <f>EXP(-LN(2)/25)*AV64+(1-EXP(-LN(2)/25))/(LN(2)/25)*Calculateur!AQ65*Calculateur!AS65*VLOOKUP('Données projet'!$B$10,Paramètres!$A$1:$I$89,3,0)*0.475*44/12</f>
        <v>6.5723630264757524</v>
      </c>
      <c r="AW65" s="21">
        <f>EXP(-LN(2)/2)*AW64+(1-EXP(-LN(2)/2))/(LN(2)/2)*AQ65*AT65*VLOOKUP('Données projet'!$B$10,Paramètres!$A$1:$I$89,3,0)*0.475*44/12</f>
        <v>2.5827821036591584E-5</v>
      </c>
      <c r="AX65" s="21">
        <f t="shared" si="6"/>
        <v>8.2119846487946013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10.7</v>
      </c>
      <c r="BD65" s="12">
        <f>IF('Données projet'!$A$88&gt;35,BD64+BC65-BL64,IF(A65&lt;'Données projet'!$A$88,$BA$205^A65,IF(A65='Données projet'!$A$88,'Données projet'!$B$88,BD64+BC65-BL64)))</f>
        <v>224.39999999999992</v>
      </c>
      <c r="BE65" s="13">
        <f>BD65*VLOOKUP('Données projet'!$B$11,Paramètres!$A$1:$I$89,3,0)*VLOOKUP('Données projet'!$B$11,Paramètres!$A$1:$I$89,5,0)</f>
        <v>192.53519999999997</v>
      </c>
      <c r="BF65" s="13">
        <f t="shared" si="37"/>
        <v>48.100016456123079</v>
      </c>
      <c r="BG65" s="20">
        <f t="shared" si="7"/>
        <v>419.10633532774767</v>
      </c>
      <c r="BH65" s="59">
        <f t="shared" si="8"/>
        <v>712.43966866108099</v>
      </c>
      <c r="BI65" s="59">
        <f ca="1">AVERAGE(OFFSET($BH$3,0,0,'Données projet'!$E$11+1,1))-AVERAGE(OFFSET($H$3,0,0,'Données projet'!$E$11+1,1))</f>
        <v>310.4018929413723</v>
      </c>
      <c r="BJ65" s="59">
        <f t="shared" si="38"/>
        <v>127.5231137583819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2.424413739787775</v>
      </c>
      <c r="BR65" s="21">
        <f>EXP(-LN(2)/2)*BR64+(1-EXP(-LN(2)/2))/(LN(2)/2)*BL65*BO65*VLOOKUP('Données projet'!$B$11,Paramètres!$A$1:$I$89,3,0)*0.475*44/12</f>
        <v>1.3626564537725091E-4</v>
      </c>
      <c r="BS65" s="22">
        <f t="shared" si="9"/>
        <v>2.4245500054331521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343.00000000000023</v>
      </c>
      <c r="BZ65" s="13">
        <f>BY65*VLOOKUP('Données projet'!$B$12,Paramètres!$A$1:$I$89,3,0)*VLOOKUP('Données projet'!$B$12,Paramètres!$A$1:$I$89,5,0)</f>
        <v>187.27800000000013</v>
      </c>
      <c r="CA65" s="13">
        <f t="shared" si="39"/>
        <v>46.937652831145158</v>
      </c>
      <c r="CB65" s="20">
        <f t="shared" si="10"/>
        <v>407.92559534757805</v>
      </c>
      <c r="CC65" s="59">
        <f t="shared" si="11"/>
        <v>701.25892868091137</v>
      </c>
      <c r="CD65" s="59">
        <f ca="1">AVERAGE(OFFSET($CC$3,0,0,'Données projet'!$E$12+1,1))-AVERAGE(OFFSET($H$3,0,0,'Données projet'!$E$12+1,1))</f>
        <v>210.04871822652808</v>
      </c>
      <c r="CE65" s="59">
        <f t="shared" si="40"/>
        <v>250.17540614049324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3.8739508522664323</v>
      </c>
      <c r="CL65" s="21">
        <f>EXP(-LN(2)/25)*CL64+(1-EXP(-LN(2)/25))/(LN(2)/25)*Calculateur!CG65*Calculateur!CI65*VLOOKUP('Données projet'!$B$12,Paramètres!$A$1:$I$89,3,0)*0.475*44/12</f>
        <v>11.460562856029345</v>
      </c>
      <c r="CM65" s="21">
        <f>EXP(-LN(2)/2)*CM64+(1-EXP(-LN(2)/2))/(LN(2)/2)*CG65*CJ65*VLOOKUP('Données projet'!$B$12,Paramètres!$A$1:$I$89,3,0)*0.475*44/12</f>
        <v>3.2888624171984365E-4</v>
      </c>
      <c r="CN65" s="22">
        <f t="shared" si="12"/>
        <v>15.334842594537497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4.9000000000000004</v>
      </c>
      <c r="N66" s="13">
        <f>IF('Données projet'!$A$36&gt;35,N65+M66-V65,IF(A66&lt;'Données projet'!$A$36,$K$205^A66,IF(A66='Données projet'!$A$36,'Données projet'!$B$36,N65+M66-V65)))</f>
        <v>294.69999999999987</v>
      </c>
      <c r="O66" s="13">
        <f>N66*VLOOKUP('Données projet'!$B$9,Paramètres!$A$1:$I$89,3,0)*VLOOKUP('Données projet'!$B$9,Paramètres!$A$1:$I$89,5,0)</f>
        <v>216.07403999999988</v>
      </c>
      <c r="P66" s="13">
        <f t="shared" si="33"/>
        <v>53.260705550025733</v>
      </c>
      <c r="Q66" s="20">
        <f t="shared" si="53"/>
        <v>469.09134849962794</v>
      </c>
      <c r="R66" s="59">
        <f t="shared" si="0"/>
        <v>762.42468183296126</v>
      </c>
      <c r="S66" s="59">
        <f ca="1">AVERAGE(OFFSET($R$3,0,0,'Données projet'!$E$9+1,1))-AVERAGE(OFFSET($H$3,0,0,'Données projet'!$E$9+1,1))</f>
        <v>234.09142087023463</v>
      </c>
      <c r="T66" s="59">
        <f t="shared" si="34"/>
        <v>278.990685815294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1.2691348815605035</v>
      </c>
      <c r="AA66" s="21">
        <f>EXP(-LN(2)/25)*AA65+(1-EXP(-LN(2)/25))/(LN(2)/25)*Calculateur!V66*Calculateur!X66*VLOOKUP('Données projet'!$B$9,Paramètres!$A$1:$I$89,3,0)*0.475*44/12</f>
        <v>6.1451094403224902</v>
      </c>
      <c r="AB66" s="21">
        <f>EXP(-LN(2)/2)*AB65+(1-EXP(-LN(2)/2))/(LN(2)/2)*V66*Y66*VLOOKUP('Données projet'!$B$9,Paramètres!$A$1:$I$89,3,0)*0.475*44/12</f>
        <v>2.3902854598254614E-4</v>
      </c>
      <c r="AC66" s="22">
        <f t="shared" si="3"/>
        <v>7.4144833504289753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-1.2710188457276673E-13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255.5374979188561</v>
      </c>
      <c r="AO66" s="59">
        <f t="shared" si="36"/>
        <v>343.10418468620901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1.6074443210223974</v>
      </c>
      <c r="AV66" s="21">
        <f>EXP(-LN(2)/25)*AV65+(1-EXP(-LN(2)/25))/(LN(2)/25)*Calculateur!AQ66*Calculateur!AS66*VLOOKUP('Données projet'!$B$10,Paramètres!$A$1:$I$89,3,0)*0.475*44/12</f>
        <v>6.3926414138912229</v>
      </c>
      <c r="AW66" s="21">
        <f>EXP(-LN(2)/2)*AW65+(1-EXP(-LN(2)/2))/(LN(2)/2)*AQ66*AT66*VLOOKUP('Données projet'!$B$10,Paramètres!$A$1:$I$89,3,0)*0.475*44/12</f>
        <v>1.8263027398246474E-5</v>
      </c>
      <c r="AX66" s="21">
        <f t="shared" si="6"/>
        <v>8.000103997941018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10.7</v>
      </c>
      <c r="BD66" s="12">
        <f>IF('Données projet'!$A$88&gt;35,BD65+BC66-BL65,IF(A66&lt;'Données projet'!$A$88,$BA$205^A66,IF(A66='Données projet'!$A$88,'Données projet'!$B$88,BD65+BC66-BL65)))</f>
        <v>235.09999999999991</v>
      </c>
      <c r="BE66" s="13">
        <f>BD66*VLOOKUP('Données projet'!$B$11,Paramètres!$A$1:$I$89,3,0)*VLOOKUP('Données projet'!$B$11,Paramètres!$A$1:$I$89,5,0)</f>
        <v>201.71579999999992</v>
      </c>
      <c r="BF66" s="13">
        <f t="shared" si="37"/>
        <v>50.121060955977455</v>
      </c>
      <c r="BG66" s="20">
        <f t="shared" si="7"/>
        <v>438.61586616499397</v>
      </c>
      <c r="BH66" s="59">
        <f t="shared" si="8"/>
        <v>731.94919949832729</v>
      </c>
      <c r="BI66" s="59">
        <f ca="1">AVERAGE(OFFSET($BH$3,0,0,'Données projet'!$E$11+1,1))-AVERAGE(OFFSET($H$3,0,0,'Données projet'!$E$11+1,1))</f>
        <v>310.4018929413723</v>
      </c>
      <c r="BJ66" s="59">
        <f t="shared" si="38"/>
        <v>127.5231137583819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2.3581180185789008</v>
      </c>
      <c r="BR66" s="21">
        <f>EXP(-LN(2)/2)*BR65+(1-EXP(-LN(2)/2))/(LN(2)/2)*BL66*BO66*VLOOKUP('Données projet'!$B$11,Paramètres!$A$1:$I$89,3,0)*0.475*44/12</f>
        <v>9.6354361889015438E-5</v>
      </c>
      <c r="BS66" s="22">
        <f t="shared" si="9"/>
        <v>2.3582143729407896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351.50000000000023</v>
      </c>
      <c r="BZ66" s="13">
        <f>BY66*VLOOKUP('Données projet'!$B$12,Paramètres!$A$1:$I$89,3,0)*VLOOKUP('Données projet'!$B$12,Paramètres!$A$1:$I$89,5,0)</f>
        <v>191.91900000000012</v>
      </c>
      <c r="CA66" s="13">
        <f t="shared" si="39"/>
        <v>47.963968046563231</v>
      </c>
      <c r="CB66" s="20">
        <f t="shared" si="10"/>
        <v>417.79616934776453</v>
      </c>
      <c r="CC66" s="59">
        <f t="shared" si="11"/>
        <v>711.12950268109785</v>
      </c>
      <c r="CD66" s="59">
        <f ca="1">AVERAGE(OFFSET($CC$3,0,0,'Données projet'!$E$12+1,1))-AVERAGE(OFFSET($H$3,0,0,'Données projet'!$E$12+1,1))</f>
        <v>210.04871822652808</v>
      </c>
      <c r="CE66" s="59">
        <f t="shared" si="40"/>
        <v>250.17540614049324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3.7979850389301926</v>
      </c>
      <c r="CL66" s="21">
        <f>EXP(-LN(2)/25)*CL65+(1-EXP(-LN(2)/25))/(LN(2)/25)*Calculateur!CG66*Calculateur!CI66*VLOOKUP('Données projet'!$B$12,Paramètres!$A$1:$I$89,3,0)*0.475*44/12</f>
        <v>11.147173162046416</v>
      </c>
      <c r="CM66" s="21">
        <f>EXP(-LN(2)/2)*CM65+(1-EXP(-LN(2)/2))/(LN(2)/2)*CG66*CJ66*VLOOKUP('Données projet'!$B$12,Paramètres!$A$1:$I$89,3,0)*0.475*44/12</f>
        <v>2.3255769175905947E-4</v>
      </c>
      <c r="CN66" s="22">
        <f t="shared" si="12"/>
        <v>14.945390758668369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4.9000000000000004</v>
      </c>
      <c r="N67" s="13">
        <f>IF('Données projet'!$A$36&gt;35,N66+M67-V66,IF(A67&lt;'Données projet'!$A$36,$K$205^A67,IF(A67='Données projet'!$A$36,'Données projet'!$B$36,N66+M67-V66)))</f>
        <v>299.59999999999985</v>
      </c>
      <c r="O67" s="13">
        <f>N67*VLOOKUP('Données projet'!$B$9,Paramètres!$A$1:$I$89,3,0)*VLOOKUP('Données projet'!$B$9,Paramètres!$A$1:$I$89,5,0)</f>
        <v>219.66671999999988</v>
      </c>
      <c r="P67" s="13">
        <f t="shared" si="33"/>
        <v>54.042442569081146</v>
      </c>
      <c r="Q67" s="20">
        <f t="shared" ref="Q67:Q98" si="54">(O67+P67)*0.475*44/12</f>
        <v>476.71012480781616</v>
      </c>
      <c r="R67" s="59">
        <f t="shared" ref="R67:R130" si="55">Q67+(I67+J67)*44/12</f>
        <v>770.04345814114947</v>
      </c>
      <c r="S67" s="59">
        <f ca="1">AVERAGE(OFFSET($R$3,0,0,'Données projet'!$E$9+1,1))-AVERAGE(OFFSET($H$3,0,0,'Données projet'!$E$9+1,1))</f>
        <v>234.09142087023463</v>
      </c>
      <c r="T67" s="59">
        <f t="shared" si="34"/>
        <v>278.990685815294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1.2442479206289441</v>
      </c>
      <c r="AA67" s="21">
        <f>EXP(-LN(2)/25)*AA66+(1-EXP(-LN(2)/25))/(LN(2)/25)*Calculateur!V67*Calculateur!X67*VLOOKUP('Données projet'!$B$9,Paramètres!$A$1:$I$89,3,0)*0.475*44/12</f>
        <v>5.9770710995196108</v>
      </c>
      <c r="AB67" s="21">
        <f>EXP(-LN(2)/2)*AB66+(1-EXP(-LN(2)/2))/(LN(2)/2)*V67*Y67*VLOOKUP('Données projet'!$B$9,Paramètres!$A$1:$I$89,3,0)*0.475*44/12</f>
        <v>1.6901870576141887E-4</v>
      </c>
      <c r="AC67" s="22">
        <f t="shared" si="3"/>
        <v>7.2214880388543161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-1.2710188457276673E-13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255.5374979188561</v>
      </c>
      <c r="AO67" s="59">
        <f t="shared" si="36"/>
        <v>343.10418468620901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1.5759233183313732</v>
      </c>
      <c r="AV67" s="21">
        <f>EXP(-LN(2)/25)*AV66+(1-EXP(-LN(2)/25))/(LN(2)/25)*Calculateur!AQ67*Calculateur!AS67*VLOOKUP('Données projet'!$B$10,Paramètres!$A$1:$I$89,3,0)*0.475*44/12</f>
        <v>6.2178342982539663</v>
      </c>
      <c r="AW67" s="21">
        <f>EXP(-LN(2)/2)*AW66+(1-EXP(-LN(2)/2))/(LN(2)/2)*AQ67*AT67*VLOOKUP('Données projet'!$B$10,Paramètres!$A$1:$I$89,3,0)*0.475*44/12</f>
        <v>1.2913910518295792E-5</v>
      </c>
      <c r="AX67" s="21">
        <f t="shared" si="6"/>
        <v>7.7937705304958582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10.7</v>
      </c>
      <c r="BD67" s="12">
        <f>IF('Données projet'!$A$88&gt;35,BD66+BC67-BL66,IF(A67&lt;'Données projet'!$A$88,$BA$205^A67,IF(A67='Données projet'!$A$88,'Données projet'!$B$88,BD66+BC67-BL66)))</f>
        <v>245.7999999999999</v>
      </c>
      <c r="BE67" s="13">
        <f>BD67*VLOOKUP('Données projet'!$B$11,Paramètres!$A$1:$I$89,3,0)*VLOOKUP('Données projet'!$B$11,Paramètres!$A$1:$I$89,5,0)</f>
        <v>210.89639999999991</v>
      </c>
      <c r="BF67" s="13">
        <f t="shared" si="37"/>
        <v>52.131423064408864</v>
      </c>
      <c r="BG67" s="20">
        <f t="shared" si="7"/>
        <v>458.1067918371786</v>
      </c>
      <c r="BH67" s="59">
        <f t="shared" si="8"/>
        <v>751.44012517051192</v>
      </c>
      <c r="BI67" s="59">
        <f ca="1">AVERAGE(OFFSET($BH$3,0,0,'Données projet'!$E$11+1,1))-AVERAGE(OFFSET($H$3,0,0,'Données projet'!$E$11+1,1))</f>
        <v>310.4018929413723</v>
      </c>
      <c r="BJ67" s="59">
        <f t="shared" si="38"/>
        <v>127.5231137583819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2.2936351573528238</v>
      </c>
      <c r="BR67" s="21">
        <f>EXP(-LN(2)/2)*BR66+(1-EXP(-LN(2)/2))/(LN(2)/2)*BL67*BO67*VLOOKUP('Données projet'!$B$11,Paramètres!$A$1:$I$89,3,0)*0.475*44/12</f>
        <v>6.8132822688625453E-5</v>
      </c>
      <c r="BS67" s="22">
        <f t="shared" si="9"/>
        <v>2.2937032901755123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360.00000000000023</v>
      </c>
      <c r="BZ67" s="13">
        <f>BY67*VLOOKUP('Données projet'!$B$12,Paramètres!$A$1:$I$89,3,0)*VLOOKUP('Données projet'!$B$12,Paramètres!$A$1:$I$89,5,0)</f>
        <v>196.56000000000014</v>
      </c>
      <c r="CA67" s="13">
        <f t="shared" si="39"/>
        <v>48.987398161128134</v>
      </c>
      <c r="CB67" s="20">
        <f t="shared" si="10"/>
        <v>427.66171846396509</v>
      </c>
      <c r="CC67" s="59">
        <f t="shared" si="11"/>
        <v>720.9950517972984</v>
      </c>
      <c r="CD67" s="59">
        <f ca="1">AVERAGE(OFFSET($CC$3,0,0,'Données projet'!$E$12+1,1))-AVERAGE(OFFSET($H$3,0,0,'Données projet'!$E$12+1,1))</f>
        <v>210.04871822652808</v>
      </c>
      <c r="CE67" s="59">
        <f t="shared" si="40"/>
        <v>250.17540614049324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3.7235088688589055</v>
      </c>
      <c r="CL67" s="21">
        <f>EXP(-LN(2)/25)*CL66+(1-EXP(-LN(2)/25))/(LN(2)/25)*Calculateur!CG67*Calculateur!CI67*VLOOKUP('Données projet'!$B$12,Paramètres!$A$1:$I$89,3,0)*0.475*44/12</f>
        <v>10.842353125725896</v>
      </c>
      <c r="CM67" s="21">
        <f>EXP(-LN(2)/2)*CM66+(1-EXP(-LN(2)/2))/(LN(2)/2)*CG67*CJ67*VLOOKUP('Données projet'!$B$12,Paramètres!$A$1:$I$89,3,0)*0.475*44/12</f>
        <v>1.6444312085992185E-4</v>
      </c>
      <c r="CN67" s="22">
        <f t="shared" si="12"/>
        <v>14.566026437705663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4.9000000000000004</v>
      </c>
      <c r="N68" s="13">
        <f>IF('Données projet'!$A$36&gt;35,N67+M68-V67,IF(A68&lt;'Données projet'!$A$36,$K$205^A68,IF(A68='Données projet'!$A$36,'Données projet'!$B$36,N67+M68-V67)))</f>
        <v>304.49999999999983</v>
      </c>
      <c r="O68" s="13">
        <f>N68*VLOOKUP('Données projet'!$B$9,Paramètres!$A$1:$I$89,3,0)*VLOOKUP('Données projet'!$B$9,Paramètres!$A$1:$I$89,5,0)</f>
        <v>223.25939999999989</v>
      </c>
      <c r="P68" s="13">
        <f t="shared" si="33"/>
        <v>54.822692711030363</v>
      </c>
      <c r="Q68" s="20">
        <f t="shared" si="54"/>
        <v>484.32631147171105</v>
      </c>
      <c r="R68" s="59">
        <f t="shared" si="55"/>
        <v>777.65964480504431</v>
      </c>
      <c r="S68" s="59">
        <f ca="1">AVERAGE(OFFSET($R$3,0,0,'Données projet'!$E$9+1,1))-AVERAGE(OFFSET($H$3,0,0,'Données projet'!$E$9+1,1))</f>
        <v>234.09142087023463</v>
      </c>
      <c r="T68" s="59">
        <f t="shared" si="34"/>
        <v>278.990685815294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1.2198489778217052</v>
      </c>
      <c r="AA68" s="21">
        <f>EXP(-LN(2)/25)*AA67+(1-EXP(-LN(2)/25))/(LN(2)/25)*Calculateur!V68*Calculateur!X68*VLOOKUP('Données projet'!$B$9,Paramètres!$A$1:$I$89,3,0)*0.475*44/12</f>
        <v>5.8136277759827388</v>
      </c>
      <c r="AB68" s="21">
        <f>EXP(-LN(2)/2)*AB67+(1-EXP(-LN(2)/2))/(LN(2)/2)*V68*Y68*VLOOKUP('Données projet'!$B$9,Paramètres!$A$1:$I$89,3,0)*0.475*44/12</f>
        <v>1.1951427299127308E-4</v>
      </c>
      <c r="AC68" s="22">
        <f t="shared" ref="AC68:AC131" si="57">SUM(Z68:AB68)</f>
        <v>7.0335962680774351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-1.2710188457276673E-13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255.5374979188561</v>
      </c>
      <c r="AO68" s="59">
        <f t="shared" si="36"/>
        <v>343.10418468620901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1.5450204232772067</v>
      </c>
      <c r="AV68" s="21">
        <f>EXP(-LN(2)/25)*AV67+(1-EXP(-LN(2)/25))/(LN(2)/25)*Calculateur!AQ68*Calculateur!AS68*VLOOKUP('Données projet'!$B$10,Paramètres!$A$1:$I$89,3,0)*0.475*44/12</f>
        <v>6.0478072923865165</v>
      </c>
      <c r="AW68" s="21">
        <f>EXP(-LN(2)/2)*AW67+(1-EXP(-LN(2)/2))/(LN(2)/2)*AQ68*AT68*VLOOKUP('Données projet'!$B$10,Paramètres!$A$1:$I$89,3,0)*0.475*44/12</f>
        <v>9.1315136991232369E-6</v>
      </c>
      <c r="AX68" s="21">
        <f t="shared" ref="AX68:AX131" si="60">SUM(AU68:AW68)</f>
        <v>7.5928368471774226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10.7</v>
      </c>
      <c r="BD68" s="12">
        <f>IF('Données projet'!$A$88&gt;35,BD67+BC68-BL67,IF(A68&lt;'Données projet'!$A$88,$BA$205^A68,IF(A68='Données projet'!$A$88,'Données projet'!$B$88,BD67+BC68-BL67)))</f>
        <v>256.49999999999989</v>
      </c>
      <c r="BE68" s="13">
        <f>BD68*VLOOKUP('Données projet'!$B$11,Paramètres!$A$1:$I$89,3,0)*VLOOKUP('Données projet'!$B$11,Paramètres!$A$1:$I$89,5,0)</f>
        <v>220.07699999999994</v>
      </c>
      <c r="BF68" s="13">
        <f t="shared" si="37"/>
        <v>54.131620949294785</v>
      </c>
      <c r="BG68" s="20">
        <f t="shared" ref="BG68:BG131" si="61">(BE68+BF68)*0.475*44/12</f>
        <v>477.58001482002169</v>
      </c>
      <c r="BH68" s="59">
        <f t="shared" ref="BH68:BH131" si="62">BG68+(AY68+AZ68)*44/12</f>
        <v>770.91334815335495</v>
      </c>
      <c r="BI68" s="59">
        <f ca="1">AVERAGE(OFFSET($BH$3,0,0,'Données projet'!$E$11+1,1))-AVERAGE(OFFSET($H$3,0,0,'Données projet'!$E$11+1,1))</f>
        <v>310.4018929413723</v>
      </c>
      <c r="BJ68" s="59">
        <f t="shared" si="38"/>
        <v>127.5231137583819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2.2309155833579801</v>
      </c>
      <c r="BR68" s="21">
        <f>EXP(-LN(2)/2)*BR67+(1-EXP(-LN(2)/2))/(LN(2)/2)*BL68*BO68*VLOOKUP('Données projet'!$B$11,Paramètres!$A$1:$I$89,3,0)*0.475*44/12</f>
        <v>4.8177180944507719E-5</v>
      </c>
      <c r="BS68" s="22">
        <f t="shared" ref="BS68:BS131" si="63">SUM(BP68:BR68)</f>
        <v>2.2309637605389248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368.50000000000023</v>
      </c>
      <c r="BZ68" s="13">
        <f>BY68*VLOOKUP('Données projet'!$B$12,Paramètres!$A$1:$I$89,3,0)*VLOOKUP('Données projet'!$B$12,Paramètres!$A$1:$I$89,5,0)</f>
        <v>201.20100000000014</v>
      </c>
      <c r="CA68" s="13">
        <f t="shared" si="39"/>
        <v>50.008019134354747</v>
      </c>
      <c r="CB68" s="20">
        <f t="shared" ref="CB68:CB131" si="64">(BZ68+CA68)*0.475*44/12</f>
        <v>437.52237499233479</v>
      </c>
      <c r="CC68" s="59">
        <f t="shared" ref="CC68:CC131" si="65">CB68+(BT68+BU68)*44/12</f>
        <v>730.85570832566805</v>
      </c>
      <c r="CD68" s="59">
        <f ca="1">AVERAGE(OFFSET($CC$3,0,0,'Données projet'!$E$12+1,1))-AVERAGE(OFFSET($H$3,0,0,'Données projet'!$E$12+1,1))</f>
        <v>210.04871822652808</v>
      </c>
      <c r="CE68" s="59">
        <f t="shared" si="40"/>
        <v>250.17540614049324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3.6504931310567383</v>
      </c>
      <c r="CL68" s="21">
        <f>EXP(-LN(2)/25)*CL67+(1-EXP(-LN(2)/25))/(LN(2)/25)*Calculateur!CG68*Calculateur!CI68*VLOOKUP('Données projet'!$B$12,Paramètres!$A$1:$I$89,3,0)*0.475*44/12</f>
        <v>10.545868409328351</v>
      </c>
      <c r="CM68" s="21">
        <f>EXP(-LN(2)/2)*CM67+(1-EXP(-LN(2)/2))/(LN(2)/2)*CG68*CJ68*VLOOKUP('Données projet'!$B$12,Paramètres!$A$1:$I$89,3,0)*0.475*44/12</f>
        <v>1.1627884587952976E-4</v>
      </c>
      <c r="CN68" s="22">
        <f t="shared" ref="CN68:CN131" si="66">SUM(CK68:CM68)</f>
        <v>14.196477819230969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4.9000000000000004</v>
      </c>
      <c r="N69" s="13">
        <f>IF('Données projet'!$A$36&gt;35,N68+M69-V68,IF(A69&lt;'Données projet'!$A$36,$K$205^A69,IF(A69='Données projet'!$A$36,'Données projet'!$B$36,N68+M69-V68)))</f>
        <v>309.39999999999981</v>
      </c>
      <c r="O69" s="13">
        <f>N69*VLOOKUP('Données projet'!$B$9,Paramètres!$A$1:$I$89,3,0)*VLOOKUP('Données projet'!$B$9,Paramètres!$A$1:$I$89,5,0)</f>
        <v>226.85207999999983</v>
      </c>
      <c r="P69" s="13">
        <f t="shared" ref="P69:P132" si="87">EXP(-1.0587+0.8836*LN(O69)+0.284)</f>
        <v>55.601482665025273</v>
      </c>
      <c r="Q69" s="20">
        <f t="shared" si="54"/>
        <v>491.93995497491869</v>
      </c>
      <c r="R69" s="59">
        <f t="shared" si="55"/>
        <v>785.27328830825195</v>
      </c>
      <c r="S69" s="59">
        <f ca="1">AVERAGE(OFFSET($R$3,0,0,'Données projet'!$E$9+1,1))-AVERAGE(OFFSET($H$3,0,0,'Données projet'!$E$9+1,1))</f>
        <v>234.09142087023463</v>
      </c>
      <c r="T69" s="59">
        <f t="shared" ref="T69:T132" si="88">$T$3</f>
        <v>278.990685815294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1.1959284834010306</v>
      </c>
      <c r="AA69" s="21">
        <f>EXP(-LN(2)/25)*AA68+(1-EXP(-LN(2)/25))/(LN(2)/25)*Calculateur!V69*Calculateur!X69*VLOOKUP('Données projet'!$B$9,Paramètres!$A$1:$I$89,3,0)*0.475*44/12</f>
        <v>5.6546538187230935</v>
      </c>
      <c r="AB69" s="21">
        <f>EXP(-LN(2)/2)*AB68+(1-EXP(-LN(2)/2))/(LN(2)/2)*V69*Y69*VLOOKUP('Données projet'!$B$9,Paramètres!$A$1:$I$89,3,0)*0.475*44/12</f>
        <v>8.4509352880709449E-5</v>
      </c>
      <c r="AC69" s="22">
        <f t="shared" si="57"/>
        <v>6.8506668114770051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-1.2710188457276673E-13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255.5374979188561</v>
      </c>
      <c r="AO69" s="59">
        <f t="shared" ref="AO69:AO132" si="90">$AO$3</f>
        <v>343.10418468620901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1.5147235151461476</v>
      </c>
      <c r="AV69" s="21">
        <f>EXP(-LN(2)/25)*AV68+(1-EXP(-LN(2)/25))/(LN(2)/25)*Calculateur!AQ69*Calculateur!AS69*VLOOKUP('Données projet'!$B$10,Paramètres!$A$1:$I$89,3,0)*0.475*44/12</f>
        <v>5.8824296839358441</v>
      </c>
      <c r="AW69" s="21">
        <f>EXP(-LN(2)/2)*AW68+(1-EXP(-LN(2)/2))/(LN(2)/2)*AQ69*AT69*VLOOKUP('Données projet'!$B$10,Paramètres!$A$1:$I$89,3,0)*0.475*44/12</f>
        <v>6.456955259147896E-6</v>
      </c>
      <c r="AX69" s="21">
        <f t="shared" si="60"/>
        <v>7.3971596560372506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10.7</v>
      </c>
      <c r="BD69" s="12">
        <f>IF('Données projet'!$A$88&gt;35,BD68+BC69-BL68,IF(A69&lt;'Données projet'!$A$88,$BA$205^A69,IF(A69='Données projet'!$A$88,'Données projet'!$B$88,BD68+BC69-BL68)))</f>
        <v>267.19999999999987</v>
      </c>
      <c r="BE69" s="13">
        <f>BD69*VLOOKUP('Données projet'!$B$11,Paramètres!$A$1:$I$89,3,0)*VLOOKUP('Données projet'!$B$11,Paramètres!$A$1:$I$89,5,0)</f>
        <v>229.25759999999994</v>
      </c>
      <c r="BF69" s="13">
        <f t="shared" ref="BF69:BF132" si="91">EXP(-1.0587+0.8836*LN(BE69)+0.284)</f>
        <v>56.122127101541757</v>
      </c>
      <c r="BG69" s="20">
        <f t="shared" si="61"/>
        <v>497.036358035185</v>
      </c>
      <c r="BH69" s="59">
        <f t="shared" si="62"/>
        <v>790.36969136851826</v>
      </c>
      <c r="BI69" s="59">
        <f ca="1">AVERAGE(OFFSET($BH$3,0,0,'Données projet'!$E$11+1,1))-AVERAGE(OFFSET($H$3,0,0,'Données projet'!$E$11+1,1))</f>
        <v>310.4018929413723</v>
      </c>
      <c r="BJ69" s="59">
        <f t="shared" ref="BJ69:BJ132" si="92">$BJ$3</f>
        <v>127.5231137583819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2.1699110794123047</v>
      </c>
      <c r="BR69" s="21">
        <f>EXP(-LN(2)/2)*BR68+(1-EXP(-LN(2)/2))/(LN(2)/2)*BL69*BO69*VLOOKUP('Données projet'!$B$11,Paramètres!$A$1:$I$89,3,0)*0.475*44/12</f>
        <v>3.4066411344312726E-5</v>
      </c>
      <c r="BS69" s="22">
        <f t="shared" si="63"/>
        <v>2.1699451458236489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377.00000000000023</v>
      </c>
      <c r="BZ69" s="13">
        <f>BY69*VLOOKUP('Données projet'!$B$12,Paramètres!$A$1:$I$89,3,0)*VLOOKUP('Données projet'!$B$12,Paramètres!$A$1:$I$89,5,0)</f>
        <v>205.84200000000013</v>
      </c>
      <c r="CA69" s="13">
        <f t="shared" ref="CA69:CA132" si="93">EXP(-1.0587+0.8836*LN(BZ69)+0.284)</f>
        <v>51.02590322155848</v>
      </c>
      <c r="CB69" s="20">
        <f t="shared" si="64"/>
        <v>447.37826477754788</v>
      </c>
      <c r="CC69" s="59">
        <f t="shared" si="65"/>
        <v>740.71159811088114</v>
      </c>
      <c r="CD69" s="59">
        <f ca="1">AVERAGE(OFFSET($CC$3,0,0,'Données projet'!$E$12+1,1))-AVERAGE(OFFSET($H$3,0,0,'Données projet'!$E$12+1,1))</f>
        <v>210.04871822652808</v>
      </c>
      <c r="CE69" s="59">
        <f t="shared" ref="CE69:CE132" si="94">$CE$3</f>
        <v>250.17540614049324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3.5789091873376688</v>
      </c>
      <c r="CL69" s="21">
        <f>EXP(-LN(2)/25)*CL68+(1-EXP(-LN(2)/25))/(LN(2)/25)*Calculateur!CG69*Calculateur!CI69*VLOOKUP('Données projet'!$B$12,Paramètres!$A$1:$I$89,3,0)*0.475*44/12</f>
        <v>10.25749108309215</v>
      </c>
      <c r="CM69" s="21">
        <f>EXP(-LN(2)/2)*CM68+(1-EXP(-LN(2)/2))/(LN(2)/2)*CG69*CJ69*VLOOKUP('Données projet'!$B$12,Paramètres!$A$1:$I$89,3,0)*0.475*44/12</f>
        <v>8.222156042996094E-5</v>
      </c>
      <c r="CN69" s="22">
        <f t="shared" si="66"/>
        <v>13.836482491990248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4.9000000000000004</v>
      </c>
      <c r="N70" s="13">
        <f>IF('Données projet'!$A$36&gt;35,N69+M70-V69,IF(A70&lt;'Données projet'!$A$36,$K$205^A70,IF(A70='Données projet'!$A$36,'Données projet'!$B$36,N69+M70-V69)))</f>
        <v>314.29999999999978</v>
      </c>
      <c r="O70" s="13">
        <f>N70*VLOOKUP('Données projet'!$B$9,Paramètres!$A$1:$I$89,3,0)*VLOOKUP('Données projet'!$B$9,Paramètres!$A$1:$I$89,5,0)</f>
        <v>230.44475999999983</v>
      </c>
      <c r="P70" s="13">
        <f t="shared" si="87"/>
        <v>56.378838226372416</v>
      </c>
      <c r="Q70" s="20">
        <f t="shared" si="54"/>
        <v>499.55110024426494</v>
      </c>
      <c r="R70" s="59">
        <f t="shared" si="55"/>
        <v>792.8844335775982</v>
      </c>
      <c r="S70" s="59">
        <f ca="1">AVERAGE(OFFSET($R$3,0,0,'Données projet'!$E$9+1,1))-AVERAGE(OFFSET($H$3,0,0,'Données projet'!$E$9+1,1))</f>
        <v>234.09142087023463</v>
      </c>
      <c r="T70" s="59">
        <f t="shared" si="88"/>
        <v>278.990685815294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1.1724770552858848</v>
      </c>
      <c r="AA70" s="21">
        <f>EXP(-LN(2)/25)*AA69+(1-EXP(-LN(2)/25))/(LN(2)/25)*Calculateur!V70*Calculateur!X70*VLOOKUP('Données projet'!$B$9,Paramètres!$A$1:$I$89,3,0)*0.475*44/12</f>
        <v>5.5000270126847903</v>
      </c>
      <c r="AB70" s="21">
        <f>EXP(-LN(2)/2)*AB69+(1-EXP(-LN(2)/2))/(LN(2)/2)*V70*Y70*VLOOKUP('Données projet'!$B$9,Paramètres!$A$1:$I$89,3,0)*0.475*44/12</f>
        <v>5.9757136495636548E-5</v>
      </c>
      <c r="AC70" s="22">
        <f t="shared" si="57"/>
        <v>6.6725638251071713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-1.2710188457276673E-13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255.5374979188561</v>
      </c>
      <c r="AO70" s="59">
        <f t="shared" si="90"/>
        <v>343.10418468620901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1.4850207109042493</v>
      </c>
      <c r="AV70" s="21">
        <f>EXP(-LN(2)/25)*AV69+(1-EXP(-LN(2)/25))/(LN(2)/25)*Calculateur!AQ70*Calculateur!AS70*VLOOKUP('Données projet'!$B$10,Paramètres!$A$1:$I$89,3,0)*0.475*44/12</f>
        <v>5.7215743348850863</v>
      </c>
      <c r="AW70" s="21">
        <f>EXP(-LN(2)/2)*AW69+(1-EXP(-LN(2)/2))/(LN(2)/2)*AQ70*AT70*VLOOKUP('Données projet'!$B$10,Paramètres!$A$1:$I$89,3,0)*0.475*44/12</f>
        <v>4.5657568495616185E-6</v>
      </c>
      <c r="AX70" s="21">
        <f t="shared" si="60"/>
        <v>7.206599611546185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10.7</v>
      </c>
      <c r="BD70" s="12">
        <f>IF('Données projet'!$A$88&gt;35,BD69+BC70-BL69,IF(A70&lt;'Données projet'!$A$88,$BA$205^A70,IF(A70='Données projet'!$A$88,'Données projet'!$B$88,BD69+BC70-BL69)))</f>
        <v>277.89999999999986</v>
      </c>
      <c r="BE70" s="13">
        <f>BD70*VLOOKUP('Données projet'!$B$11,Paramètres!$A$1:$I$89,3,0)*VLOOKUP('Données projet'!$B$11,Paramètres!$A$1:$I$89,5,0)</f>
        <v>238.43819999999991</v>
      </c>
      <c r="BF70" s="13">
        <f t="shared" si="91"/>
        <v>58.103374028412105</v>
      </c>
      <c r="BG70" s="20">
        <f t="shared" si="61"/>
        <v>516.47657476615097</v>
      </c>
      <c r="BH70" s="59">
        <f t="shared" si="62"/>
        <v>809.80990809948435</v>
      </c>
      <c r="BI70" s="59">
        <f ca="1">AVERAGE(OFFSET($BH$3,0,0,'Données projet'!$E$11+1,1))-AVERAGE(OFFSET($H$3,0,0,'Données projet'!$E$11+1,1))</f>
        <v>310.4018929413723</v>
      </c>
      <c r="BJ70" s="59">
        <f t="shared" si="92"/>
        <v>127.5231137583819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2.1105747468351108</v>
      </c>
      <c r="BR70" s="21">
        <f>EXP(-LN(2)/2)*BR69+(1-EXP(-LN(2)/2))/(LN(2)/2)*BL70*BO70*VLOOKUP('Données projet'!$B$11,Paramètres!$A$1:$I$89,3,0)*0.475*44/12</f>
        <v>2.4088590472253859E-5</v>
      </c>
      <c r="BS70" s="22">
        <f t="shared" si="63"/>
        <v>2.1105988354255829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385.50000000000023</v>
      </c>
      <c r="BZ70" s="13">
        <f>BY70*VLOOKUP('Données projet'!$B$12,Paramètres!$A$1:$I$89,3,0)*VLOOKUP('Données projet'!$B$12,Paramètres!$A$1:$I$89,5,0)</f>
        <v>210.48300000000012</v>
      </c>
      <c r="CA70" s="13">
        <f t="shared" si="93"/>
        <v>52.041119233873296</v>
      </c>
      <c r="CB70" s="20">
        <f t="shared" si="64"/>
        <v>457.22950766566288</v>
      </c>
      <c r="CC70" s="59">
        <f t="shared" si="65"/>
        <v>750.56284099899619</v>
      </c>
      <c r="CD70" s="59">
        <f ca="1">AVERAGE(OFFSET($CC$3,0,0,'Données projet'!$E$12+1,1))-AVERAGE(OFFSET($H$3,0,0,'Données projet'!$E$12+1,1))</f>
        <v>210.04871822652808</v>
      </c>
      <c r="CE70" s="59">
        <f t="shared" si="94"/>
        <v>250.17540614049324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3.5087289610930359</v>
      </c>
      <c r="CL70" s="21">
        <f>EXP(-LN(2)/25)*CL69+(1-EXP(-LN(2)/25))/(LN(2)/25)*Calculateur!CG70*Calculateur!CI70*VLOOKUP('Données projet'!$B$12,Paramètres!$A$1:$I$89,3,0)*0.475*44/12</f>
        <v>9.9769994500069821</v>
      </c>
      <c r="CM70" s="21">
        <f>EXP(-LN(2)/2)*CM69+(1-EXP(-LN(2)/2))/(LN(2)/2)*CG70*CJ70*VLOOKUP('Données projet'!$B$12,Paramètres!$A$1:$I$89,3,0)*0.475*44/12</f>
        <v>5.8139422939764889E-5</v>
      </c>
      <c r="CN70" s="22">
        <f t="shared" si="66"/>
        <v>13.485786550522958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4.9000000000000004</v>
      </c>
      <c r="N71" s="13">
        <f>IF('Données projet'!$A$36&gt;35,N70+M71-V70,IF(A71&lt;'Données projet'!$A$36,$K$205^A71,IF(A71='Données projet'!$A$36,'Données projet'!$B$36,N70+M71-V70)))</f>
        <v>319.19999999999976</v>
      </c>
      <c r="O71" s="13">
        <f>N71*VLOOKUP('Données projet'!$B$9,Paramètres!$A$1:$I$89,3,0)*VLOOKUP('Données projet'!$B$9,Paramètres!$A$1:$I$89,5,0)</f>
        <v>234.03743999999983</v>
      </c>
      <c r="P71" s="13">
        <f t="shared" si="87"/>
        <v>57.154784339928689</v>
      </c>
      <c r="Q71" s="20">
        <f t="shared" si="54"/>
        <v>507.15979072537556</v>
      </c>
      <c r="R71" s="59">
        <f t="shared" si="55"/>
        <v>800.49312405870887</v>
      </c>
      <c r="S71" s="59">
        <f ca="1">AVERAGE(OFFSET($R$3,0,0,'Données projet'!$E$9+1,1))-AVERAGE(OFFSET($H$3,0,0,'Données projet'!$E$9+1,1))</f>
        <v>234.09142087023463</v>
      </c>
      <c r="T71" s="59">
        <f t="shared" si="88"/>
        <v>278.990685815294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1.1494854953721181</v>
      </c>
      <c r="AA71" s="21">
        <f>EXP(-LN(2)/25)*AA70+(1-EXP(-LN(2)/25))/(LN(2)/25)*Calculateur!V71*Calculateur!X71*VLOOKUP('Données projet'!$B$9,Paramètres!$A$1:$I$89,3,0)*0.475*44/12</f>
        <v>5.3496284847890747</v>
      </c>
      <c r="AB71" s="21">
        <f>EXP(-LN(2)/2)*AB70+(1-EXP(-LN(2)/2))/(LN(2)/2)*V71*Y71*VLOOKUP('Données projet'!$B$9,Paramètres!$A$1:$I$89,3,0)*0.475*44/12</f>
        <v>4.2254676440354731E-5</v>
      </c>
      <c r="AC71" s="22">
        <f t="shared" si="57"/>
        <v>6.4991562348376331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-1.2710188457276673E-13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255.5374979188561</v>
      </c>
      <c r="AO71" s="59">
        <f t="shared" si="90"/>
        <v>343.10418468620901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1.455900360536613</v>
      </c>
      <c r="AV71" s="21">
        <f>EXP(-LN(2)/25)*AV70+(1-EXP(-LN(2)/25))/(LN(2)/25)*Calculateur!AQ71*Calculateur!AS71*VLOOKUP('Données projet'!$B$10,Paramètres!$A$1:$I$89,3,0)*0.475*44/12</f>
        <v>5.5651175838131364</v>
      </c>
      <c r="AW71" s="21">
        <f>EXP(-LN(2)/2)*AW70+(1-EXP(-LN(2)/2))/(LN(2)/2)*AQ71*AT71*VLOOKUP('Données projet'!$B$10,Paramètres!$A$1:$I$89,3,0)*0.475*44/12</f>
        <v>3.228477629573948E-6</v>
      </c>
      <c r="AX71" s="21">
        <f t="shared" si="60"/>
        <v>7.0210211728273784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10.7</v>
      </c>
      <c r="BD71" s="12">
        <f>IF('Données projet'!$A$88&gt;35,BD70+BC71-BL70,IF(A71&lt;'Données projet'!$A$88,$BA$205^A71,IF(A71='Données projet'!$A$88,'Données projet'!$B$88,BD70+BC71-BL70)))</f>
        <v>288.59999999999985</v>
      </c>
      <c r="BE71" s="13">
        <f>BD71*VLOOKUP('Données projet'!$B$11,Paramètres!$A$1:$I$89,3,0)*VLOOKUP('Données projet'!$B$11,Paramètres!$A$1:$I$89,5,0)</f>
        <v>247.61879999999991</v>
      </c>
      <c r="BF71" s="13">
        <f t="shared" si="91"/>
        <v>60.075759045345485</v>
      </c>
      <c r="BG71" s="20">
        <f t="shared" si="61"/>
        <v>535.90135700397661</v>
      </c>
      <c r="BH71" s="59">
        <f t="shared" si="62"/>
        <v>829.23469033730998</v>
      </c>
      <c r="BI71" s="59">
        <f ca="1">AVERAGE(OFFSET($BH$3,0,0,'Données projet'!$E$11+1,1))-AVERAGE(OFFSET($H$3,0,0,'Données projet'!$E$11+1,1))</f>
        <v>310.4018929413723</v>
      </c>
      <c r="BJ71" s="59">
        <f t="shared" si="92"/>
        <v>127.5231137583819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2.0528609693926025</v>
      </c>
      <c r="BR71" s="21">
        <f>EXP(-LN(2)/2)*BR70+(1-EXP(-LN(2)/2))/(LN(2)/2)*BL71*BO71*VLOOKUP('Données projet'!$B$11,Paramètres!$A$1:$I$89,3,0)*0.475*44/12</f>
        <v>1.7033205672156363E-5</v>
      </c>
      <c r="BS71" s="22">
        <f t="shared" si="63"/>
        <v>2.0528780025982747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394.00000000000023</v>
      </c>
      <c r="BZ71" s="13">
        <f>BY71*VLOOKUP('Données projet'!$B$12,Paramètres!$A$1:$I$89,3,0)*VLOOKUP('Données projet'!$B$12,Paramètres!$A$1:$I$89,5,0)</f>
        <v>215.12400000000014</v>
      </c>
      <c r="CA71" s="13">
        <f t="shared" si="93"/>
        <v>53.053732774689799</v>
      </c>
      <c r="CB71" s="20">
        <f t="shared" si="64"/>
        <v>467.07621791591828</v>
      </c>
      <c r="CC71" s="59">
        <f t="shared" si="65"/>
        <v>760.40955124925154</v>
      </c>
      <c r="CD71" s="59">
        <f ca="1">AVERAGE(OFFSET($CC$3,0,0,'Données projet'!$E$12+1,1))-AVERAGE(OFFSET($H$3,0,0,'Données projet'!$E$12+1,1))</f>
        <v>210.04871822652808</v>
      </c>
      <c r="CE71" s="59">
        <f t="shared" si="94"/>
        <v>250.17540614049324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3.4399249262793492</v>
      </c>
      <c r="CL71" s="21">
        <f>EXP(-LN(2)/25)*CL70+(1-EXP(-LN(2)/25))/(LN(2)/25)*Calculateur!CG71*Calculateur!CI71*VLOOKUP('Données projet'!$B$12,Paramètres!$A$1:$I$89,3,0)*0.475*44/12</f>
        <v>9.7041778753789423</v>
      </c>
      <c r="CM71" s="21">
        <f>EXP(-LN(2)/2)*CM70+(1-EXP(-LN(2)/2))/(LN(2)/2)*CG71*CJ71*VLOOKUP('Données projet'!$B$12,Paramètres!$A$1:$I$89,3,0)*0.475*44/12</f>
        <v>4.1110780214980477E-5</v>
      </c>
      <c r="CN71" s="22">
        <f t="shared" si="66"/>
        <v>13.144143912438507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4.9000000000000004</v>
      </c>
      <c r="N72" s="13">
        <f>IF('Données projet'!$A$36&gt;35,N71+M72-V71,IF(A72&lt;'Données projet'!$A$36,$K$205^A72,IF(A72='Données projet'!$A$36,'Données projet'!$B$36,N71+M72-V71)))</f>
        <v>324.09999999999974</v>
      </c>
      <c r="O72" s="13">
        <f>N72*VLOOKUP('Données projet'!$B$9,Paramètres!$A$1:$I$89,3,0)*VLOOKUP('Données projet'!$B$9,Paramètres!$A$1:$I$89,5,0)</f>
        <v>237.63011999999978</v>
      </c>
      <c r="P72" s="13">
        <f t="shared" si="87"/>
        <v>57.929345140756112</v>
      </c>
      <c r="Q72" s="20">
        <f t="shared" si="54"/>
        <v>514.76606845348317</v>
      </c>
      <c r="R72" s="59">
        <f t="shared" si="55"/>
        <v>808.09940178681654</v>
      </c>
      <c r="S72" s="59">
        <f ca="1">AVERAGE(OFFSET($R$3,0,0,'Données projet'!$E$9+1,1))-AVERAGE(OFFSET($H$3,0,0,'Données projet'!$E$9+1,1))</f>
        <v>234.09142087023463</v>
      </c>
      <c r="T72" s="59">
        <f t="shared" si="88"/>
        <v>278.990685815294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1.1269447859247934</v>
      </c>
      <c r="AA72" s="21">
        <f>EXP(-LN(2)/25)*AA71+(1-EXP(-LN(2)/25))/(LN(2)/25)*Calculateur!V72*Calculateur!X72*VLOOKUP('Données projet'!$B$9,Paramètres!$A$1:$I$89,3,0)*0.475*44/12</f>
        <v>5.2033426125477824</v>
      </c>
      <c r="AB72" s="21">
        <f>EXP(-LN(2)/2)*AB71+(1-EXP(-LN(2)/2))/(LN(2)/2)*V72*Y72*VLOOKUP('Données projet'!$B$9,Paramètres!$A$1:$I$89,3,0)*0.475*44/12</f>
        <v>2.9878568247818281E-5</v>
      </c>
      <c r="AC72" s="22">
        <f t="shared" si="57"/>
        <v>6.330317277040824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-1.2710188457276673E-13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255.5374979188561</v>
      </c>
      <c r="AO72" s="59">
        <f t="shared" si="90"/>
        <v>343.10418468620901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1.427351042478026</v>
      </c>
      <c r="AV72" s="21">
        <f>EXP(-LN(2)/25)*AV71+(1-EXP(-LN(2)/25))/(LN(2)/25)*Calculateur!AQ72*Calculateur!AS72*VLOOKUP('Données projet'!$B$10,Paramètres!$A$1:$I$89,3,0)*0.475*44/12</f>
        <v>5.4129391508269515</v>
      </c>
      <c r="AW72" s="21">
        <f>EXP(-LN(2)/2)*AW71+(1-EXP(-LN(2)/2))/(LN(2)/2)*AQ72*AT72*VLOOKUP('Données projet'!$B$10,Paramètres!$A$1:$I$89,3,0)*0.475*44/12</f>
        <v>2.2828784247808092E-6</v>
      </c>
      <c r="AX72" s="21">
        <f t="shared" si="60"/>
        <v>6.8402924761834027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10.7</v>
      </c>
      <c r="BD72" s="12">
        <f>IF('Données projet'!$A$88&gt;35,BD71+BC72-BL71,IF(A72&lt;'Données projet'!$A$88,$BA$205^A72,IF(A72='Données projet'!$A$88,'Données projet'!$B$88,BD71+BC72-BL71)))</f>
        <v>299.29999999999984</v>
      </c>
      <c r="BE72" s="13">
        <f>BD72*VLOOKUP('Données projet'!$B$11,Paramètres!$A$1:$I$89,3,0)*VLOOKUP('Données projet'!$B$11,Paramètres!$A$1:$I$89,5,0)</f>
        <v>256.79939999999988</v>
      </c>
      <c r="BF72" s="13">
        <f t="shared" si="91"/>
        <v>62.039648337165382</v>
      </c>
      <c r="BG72" s="20">
        <f t="shared" si="61"/>
        <v>555.31134252056279</v>
      </c>
      <c r="BH72" s="59">
        <f t="shared" si="62"/>
        <v>848.64467585389616</v>
      </c>
      <c r="BI72" s="59">
        <f ca="1">AVERAGE(OFFSET($BH$3,0,0,'Données projet'!$E$11+1,1))-AVERAGE(OFFSET($H$3,0,0,'Données projet'!$E$11+1,1))</f>
        <v>310.4018929413723</v>
      </c>
      <c r="BJ72" s="59">
        <f t="shared" si="92"/>
        <v>127.5231137583819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1.9967253782292953</v>
      </c>
      <c r="BR72" s="21">
        <f>EXP(-LN(2)/2)*BR71+(1-EXP(-LN(2)/2))/(LN(2)/2)*BL72*BO72*VLOOKUP('Données projet'!$B$11,Paramètres!$A$1:$I$89,3,0)*0.475*44/12</f>
        <v>1.204429523612693E-5</v>
      </c>
      <c r="BS72" s="22">
        <f t="shared" si="63"/>
        <v>1.9967374225245313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402.50000000000023</v>
      </c>
      <c r="BZ72" s="13">
        <f>BY72*VLOOKUP('Données projet'!$B$12,Paramètres!$A$1:$I$89,3,0)*VLOOKUP('Données projet'!$B$12,Paramètres!$A$1:$I$89,5,0)</f>
        <v>219.76500000000013</v>
      </c>
      <c r="CA72" s="13">
        <f t="shared" si="93"/>
        <v>54.063806455114872</v>
      </c>
      <c r="CB72" s="20">
        <f t="shared" si="64"/>
        <v>476.91850457599202</v>
      </c>
      <c r="CC72" s="59">
        <f t="shared" si="65"/>
        <v>770.25183790932533</v>
      </c>
      <c r="CD72" s="59">
        <f ca="1">AVERAGE(OFFSET($CC$3,0,0,'Données projet'!$E$12+1,1))-AVERAGE(OFFSET($H$3,0,0,'Données projet'!$E$12+1,1))</f>
        <v>210.04871822652808</v>
      </c>
      <c r="CE72" s="59">
        <f t="shared" si="94"/>
        <v>250.17540614049324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3.3724700966220413</v>
      </c>
      <c r="CL72" s="21">
        <f>EXP(-LN(2)/25)*CL71+(1-EXP(-LN(2)/25))/(LN(2)/25)*Calculateur!CG72*Calculateur!CI72*VLOOKUP('Données projet'!$B$12,Paramètres!$A$1:$I$89,3,0)*0.475*44/12</f>
        <v>9.4388166210561693</v>
      </c>
      <c r="CM72" s="21">
        <f>EXP(-LN(2)/2)*CM71+(1-EXP(-LN(2)/2))/(LN(2)/2)*CG72*CJ72*VLOOKUP('Données projet'!$B$12,Paramètres!$A$1:$I$89,3,0)*0.475*44/12</f>
        <v>2.9069711469882448E-5</v>
      </c>
      <c r="CN72" s="22">
        <f t="shared" si="66"/>
        <v>12.811315787389681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329</v>
      </c>
      <c r="L73" s="12">
        <f>VLOOKUP(A73,'Données projet'!$A$35:$I$55,9,0)</f>
        <v>4.9000000000000004</v>
      </c>
      <c r="M73" s="12">
        <f t="array" ref="M73">INDEX(L:L,MIN(IF(ISNUMBER(L73:L269),ROW(L73:L269),"")))</f>
        <v>4.9000000000000004</v>
      </c>
      <c r="N73" s="13">
        <f>IF('Données projet'!$A$36&gt;35,N72+M73-V72,IF(A73&lt;'Données projet'!$A$36,$K$205^A73,IF(A73='Données projet'!$A$36,'Données projet'!$B$36,N72+M73-V72)))</f>
        <v>328.99999999999972</v>
      </c>
      <c r="O73" s="13">
        <f>N73*VLOOKUP('Données projet'!$B$9,Paramètres!$A$1:$I$89,3,0)*VLOOKUP('Données projet'!$B$9,Paramètres!$A$1:$I$89,5,0)</f>
        <v>241.22279999999978</v>
      </c>
      <c r="P73" s="13">
        <f t="shared" si="87"/>
        <v>58.702543992248778</v>
      </c>
      <c r="Q73" s="20">
        <f t="shared" si="54"/>
        <v>522.36997411983293</v>
      </c>
      <c r="R73" s="59">
        <f t="shared" si="55"/>
        <v>815.70330745316619</v>
      </c>
      <c r="S73" s="59">
        <f ca="1">AVERAGE(OFFSET($R$3,0,0,'Données projet'!$E$9+1,1))-AVERAGE(OFFSET($H$3,0,0,'Données projet'!$E$9+1,1))</f>
        <v>234.09142087023463</v>
      </c>
      <c r="T73" s="59">
        <f t="shared" si="88"/>
        <v>278.990685815294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26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1.1048460860412557</v>
      </c>
      <c r="AA73" s="21">
        <f>EXP(-LN(2)/25)*AA72+(1-EXP(-LN(2)/25))/(LN(2)/25)*Calculateur!V73*Calculateur!X73*VLOOKUP('Données projet'!$B$9,Paramètres!$A$1:$I$89,3,0)*0.475*44/12</f>
        <v>5.0610569351757677</v>
      </c>
      <c r="AB73" s="21">
        <f>EXP(-LN(2)/2)*AB72+(1-EXP(-LN(2)/2))/(LN(2)/2)*V73*Y73*VLOOKUP('Données projet'!$B$9,Paramètres!$A$1:$I$89,3,0)*0.475*44/12</f>
        <v>2.1127338220177369E-5</v>
      </c>
      <c r="AC73" s="22">
        <f t="shared" si="57"/>
        <v>6.1659241485552432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-1.2710188457276673E-13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255.5374979188561</v>
      </c>
      <c r="AO73" s="59">
        <f t="shared" si="90"/>
        <v>343.10418468620901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1.3993615591332034</v>
      </c>
      <c r="AV73" s="21">
        <f>EXP(-LN(2)/25)*AV72+(1-EXP(-LN(2)/25))/(LN(2)/25)*Calculateur!AQ73*Calculateur!AS73*VLOOKUP('Données projet'!$B$10,Paramètres!$A$1:$I$89,3,0)*0.475*44/12</f>
        <v>5.2649220450934902</v>
      </c>
      <c r="AW73" s="21">
        <f>EXP(-LN(2)/2)*AW72+(1-EXP(-LN(2)/2))/(LN(2)/2)*AQ73*AT73*VLOOKUP('Données projet'!$B$10,Paramètres!$A$1:$I$89,3,0)*0.475*44/12</f>
        <v>1.614238814786974E-6</v>
      </c>
      <c r="AX73" s="21">
        <f t="shared" si="60"/>
        <v>6.6642852184655084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310</v>
      </c>
      <c r="BB73" s="12">
        <f>VLOOKUP(A73,'Données projet'!$A$87:$I$107,9,0)</f>
        <v>10.7</v>
      </c>
      <c r="BC73" s="12">
        <f t="array" ref="BC73">INDEX(BB:BB,MIN(IF(ISNUMBER(BB73:BB269),ROW(BB73:BB269),"")))</f>
        <v>10.7</v>
      </c>
      <c r="BD73" s="12">
        <f>IF('Données projet'!$A$88&gt;35,BD72+BC73-BL72,IF(A73&lt;'Données projet'!$A$88,$BA$205^A73,IF(A73='Données projet'!$A$88,'Données projet'!$B$88,BD72+BC73-BL72)))</f>
        <v>309.99999999999983</v>
      </c>
      <c r="BE73" s="13">
        <f>BD73*VLOOKUP('Données projet'!$B$11,Paramètres!$A$1:$I$89,3,0)*VLOOKUP('Données projet'!$B$11,Paramètres!$A$1:$I$89,5,0)</f>
        <v>265.9799999999999</v>
      </c>
      <c r="BF73" s="13">
        <f t="shared" si="91"/>
        <v>63.995380422211589</v>
      </c>
      <c r="BG73" s="20">
        <f t="shared" si="61"/>
        <v>574.70712090201835</v>
      </c>
      <c r="BH73" s="59">
        <f t="shared" si="62"/>
        <v>868.04045423535172</v>
      </c>
      <c r="BI73" s="59">
        <f ca="1">AVERAGE(OFFSET($BH$3,0,0,'Données projet'!$E$11+1,1))-AVERAGE(OFFSET($H$3,0,0,'Données projet'!$E$11+1,1))</f>
        <v>310.4018929413723</v>
      </c>
      <c r="BJ73" s="59">
        <f t="shared" si="92"/>
        <v>127.5231137583819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72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1.9421248177583912</v>
      </c>
      <c r="BR73" s="21">
        <f>EXP(-LN(2)/2)*BR72+(1-EXP(-LN(2)/2))/(LN(2)/2)*BL73*BO73*VLOOKUP('Données projet'!$B$11,Paramètres!$A$1:$I$89,3,0)*0.475*44/12</f>
        <v>8.5166028360781816E-6</v>
      </c>
      <c r="BS73" s="22">
        <f t="shared" si="63"/>
        <v>1.9421333343612273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411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411.00000000000023</v>
      </c>
      <c r="BZ73" s="13">
        <f>BY73*VLOOKUP('Données projet'!$B$12,Paramètres!$A$1:$I$89,3,0)*VLOOKUP('Données projet'!$B$12,Paramètres!$A$1:$I$89,5,0)</f>
        <v>224.40600000000012</v>
      </c>
      <c r="CA73" s="13">
        <f t="shared" si="93"/>
        <v>55.071400090717127</v>
      </c>
      <c r="CB73" s="20">
        <f t="shared" si="64"/>
        <v>486.75647182466588</v>
      </c>
      <c r="CC73" s="59">
        <f t="shared" si="65"/>
        <v>780.08980515799919</v>
      </c>
      <c r="CD73" s="59">
        <f ca="1">AVERAGE(OFFSET($CC$3,0,0,'Données projet'!$E$12+1,1))-AVERAGE(OFFSET($H$3,0,0,'Données projet'!$E$12+1,1))</f>
        <v>210.04871822652808</v>
      </c>
      <c r="CE73" s="59">
        <f t="shared" si="94"/>
        <v>250.17540614049324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3.3063380150309296</v>
      </c>
      <c r="CL73" s="21">
        <f>EXP(-LN(2)/25)*CL72+(1-EXP(-LN(2)/25))/(LN(2)/25)*Calculateur!CG73*Calculateur!CI73*VLOOKUP('Données projet'!$B$12,Paramètres!$A$1:$I$89,3,0)*0.475*44/12</f>
        <v>9.1807116841875942</v>
      </c>
      <c r="CM73" s="21">
        <f>EXP(-LN(2)/2)*CM72+(1-EXP(-LN(2)/2))/(LN(2)/2)*CG73*CJ73*VLOOKUP('Données projet'!$B$12,Paramètres!$A$1:$I$89,3,0)*0.475*44/12</f>
        <v>2.0555390107490242E-5</v>
      </c>
      <c r="CN73" s="22">
        <f t="shared" si="66"/>
        <v>12.487070254608632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3.9</v>
      </c>
      <c r="N74" s="13">
        <f>IF('Données projet'!$A$36&gt;35,N73+M74-V73,IF(A74&lt;'Données projet'!$A$36,$K$205^A74,IF(A74='Données projet'!$A$36,'Données projet'!$B$36,N73+M74-V73)))</f>
        <v>306.89999999999969</v>
      </c>
      <c r="O74" s="13">
        <f>N74*VLOOKUP('Données projet'!$B$9,Paramètres!$A$1:$I$89,3,0)*VLOOKUP('Données projet'!$B$9,Paramètres!$A$1:$I$89,5,0)</f>
        <v>225.01907999999978</v>
      </c>
      <c r="P74" s="13">
        <f t="shared" si="87"/>
        <v>55.20432167824503</v>
      </c>
      <c r="Q74" s="20">
        <f t="shared" si="54"/>
        <v>488.05575792294297</v>
      </c>
      <c r="R74" s="59">
        <f t="shared" si="55"/>
        <v>781.38909125627629</v>
      </c>
      <c r="S74" s="59">
        <f ca="1">AVERAGE(OFFSET($R$3,0,0,'Données projet'!$E$9+1,1))-AVERAGE(OFFSET($H$3,0,0,'Données projet'!$E$9+1,1))</f>
        <v>234.09142087023463</v>
      </c>
      <c r="T74" s="59">
        <f t="shared" si="88"/>
        <v>278.990685815294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1.0831807281835582</v>
      </c>
      <c r="AA74" s="21">
        <f>EXP(-LN(2)/25)*AA73+(1-EXP(-LN(2)/25))/(LN(2)/25)*Calculateur!V74*Calculateur!X74*VLOOKUP('Données projet'!$B$9,Paramètres!$A$1:$I$89,3,0)*0.475*44/12</f>
        <v>4.9226620671339694</v>
      </c>
      <c r="AB74" s="21">
        <f>EXP(-LN(2)/2)*AB73+(1-EXP(-LN(2)/2))/(LN(2)/2)*V74*Y74*VLOOKUP('Données projet'!$B$9,Paramètres!$A$1:$I$89,3,0)*0.475*44/12</f>
        <v>1.4939284123909142E-5</v>
      </c>
      <c r="AC74" s="22">
        <f t="shared" si="57"/>
        <v>6.0058577346016513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-1.2710188457276673E-13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255.5374979188561</v>
      </c>
      <c r="AO74" s="59">
        <f t="shared" si="90"/>
        <v>343.10418468620901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1.3719209324848736</v>
      </c>
      <c r="AV74" s="21">
        <f>EXP(-LN(2)/25)*AV73+(1-EXP(-LN(2)/25))/(LN(2)/25)*Calculateur!AQ74*Calculateur!AS74*VLOOKUP('Données projet'!$B$10,Paramètres!$A$1:$I$89,3,0)*0.475*44/12</f>
        <v>5.1209524749001911</v>
      </c>
      <c r="AW74" s="21">
        <f>EXP(-LN(2)/2)*AW73+(1-EXP(-LN(2)/2))/(LN(2)/2)*AQ74*AT74*VLOOKUP('Données projet'!$B$10,Paramètres!$A$1:$I$89,3,0)*0.475*44/12</f>
        <v>1.1414392123904046E-6</v>
      </c>
      <c r="AX74" s="21">
        <f t="shared" si="60"/>
        <v>6.4928745488242772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10.1</v>
      </c>
      <c r="BD74" s="12">
        <f>IF('Données projet'!$A$88&gt;35,BD73+BC74-BL73,IF(A74&lt;'Données projet'!$A$88,$BA$205^A74,IF(A74='Données projet'!$A$88,'Données projet'!$B$88,BD73+BC74-BL73)))</f>
        <v>248.09999999999985</v>
      </c>
      <c r="BE74" s="13">
        <f>BD74*VLOOKUP('Données projet'!$B$11,Paramètres!$A$1:$I$89,3,0)*VLOOKUP('Données projet'!$B$11,Paramètres!$A$1:$I$89,5,0)</f>
        <v>212.86979999999988</v>
      </c>
      <c r="BF74" s="13">
        <f t="shared" si="91"/>
        <v>52.562212940483391</v>
      </c>
      <c r="BG74" s="20">
        <f t="shared" si="61"/>
        <v>462.294089204675</v>
      </c>
      <c r="BH74" s="59">
        <f t="shared" si="62"/>
        <v>755.62742253800832</v>
      </c>
      <c r="BI74" s="59">
        <f ca="1">AVERAGE(OFFSET($BH$3,0,0,'Données projet'!$E$11+1,1))-AVERAGE(OFFSET($H$3,0,0,'Données projet'!$E$11+1,1))</f>
        <v>310.4018929413723</v>
      </c>
      <c r="BJ74" s="59">
        <f t="shared" si="92"/>
        <v>127.5231137583819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1.8890173124848826</v>
      </c>
      <c r="BR74" s="21">
        <f>EXP(-LN(2)/2)*BR73+(1-EXP(-LN(2)/2))/(LN(2)/2)*BL74*BO74*VLOOKUP('Données projet'!$B$11,Paramètres!$A$1:$I$89,3,0)*0.475*44/12</f>
        <v>6.0221476180634648E-6</v>
      </c>
      <c r="BS74" s="22">
        <f t="shared" si="63"/>
        <v>1.8890233346325007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366.4000000000002</v>
      </c>
      <c r="BZ74" s="13">
        <f>BY74*VLOOKUP('Données projet'!$B$12,Paramètres!$A$1:$I$89,3,0)*VLOOKUP('Données projet'!$B$12,Paramètres!$A$1:$I$89,5,0)</f>
        <v>200.05440000000013</v>
      </c>
      <c r="CA74" s="13">
        <f t="shared" si="93"/>
        <v>49.756123009618236</v>
      </c>
      <c r="CB74" s="20">
        <f t="shared" si="64"/>
        <v>435.08666090841865</v>
      </c>
      <c r="CC74" s="59">
        <f t="shared" si="65"/>
        <v>728.41999424175197</v>
      </c>
      <c r="CD74" s="59">
        <f ca="1">AVERAGE(OFFSET($CC$3,0,0,'Données projet'!$E$12+1,1))-AVERAGE(OFFSET($H$3,0,0,'Données projet'!$E$12+1,1))</f>
        <v>210.04871822652808</v>
      </c>
      <c r="CE74" s="59">
        <f t="shared" si="94"/>
        <v>250.17540614049324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3.2415027432232328</v>
      </c>
      <c r="CL74" s="21">
        <f>EXP(-LN(2)/25)*CL73+(1-EXP(-LN(2)/25))/(LN(2)/25)*Calculateur!CG74*Calculateur!CI74*VLOOKUP('Données projet'!$B$12,Paramètres!$A$1:$I$89,3,0)*0.475*44/12</f>
        <v>8.9296646403908397</v>
      </c>
      <c r="CM74" s="21">
        <f>EXP(-LN(2)/2)*CM73+(1-EXP(-LN(2)/2))/(LN(2)/2)*CG74*CJ74*VLOOKUP('Données projet'!$B$12,Paramètres!$A$1:$I$89,3,0)*0.475*44/12</f>
        <v>1.4534855734941227E-5</v>
      </c>
      <c r="CN74" s="22">
        <f t="shared" si="66"/>
        <v>12.171181918469808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3.9</v>
      </c>
      <c r="N75" s="13">
        <f>IF('Données projet'!$A$36&gt;35,N74+M75-V74,IF(A75&lt;'Données projet'!$A$36,$K$205^A75,IF(A75='Données projet'!$A$36,'Données projet'!$B$36,N74+M75-V74)))</f>
        <v>310.79999999999967</v>
      </c>
      <c r="O75" s="13">
        <f>N75*VLOOKUP('Données projet'!$B$9,Paramètres!$A$1:$I$89,3,0)*VLOOKUP('Données projet'!$B$9,Paramètres!$A$1:$I$89,5,0)</f>
        <v>227.87855999999974</v>
      </c>
      <c r="P75" s="13">
        <f t="shared" si="87"/>
        <v>55.823729514114589</v>
      </c>
      <c r="Q75" s="20">
        <f t="shared" si="54"/>
        <v>494.11482090374903</v>
      </c>
      <c r="R75" s="59">
        <f t="shared" si="55"/>
        <v>787.44815423708235</v>
      </c>
      <c r="S75" s="59">
        <f ca="1">AVERAGE(OFFSET($R$3,0,0,'Données projet'!$E$9+1,1))-AVERAGE(OFFSET($H$3,0,0,'Données projet'!$E$9+1,1))</f>
        <v>234.09142087023463</v>
      </c>
      <c r="T75" s="59">
        <f t="shared" si="88"/>
        <v>278.990685815294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1.0619402147788866</v>
      </c>
      <c r="AA75" s="21">
        <f>EXP(-LN(2)/25)*AA74+(1-EXP(-LN(2)/25))/(LN(2)/25)*Calculateur!V75*Calculateur!X75*VLOOKUP('Données projet'!$B$9,Paramètres!$A$1:$I$89,3,0)*0.475*44/12</f>
        <v>4.788051614036644</v>
      </c>
      <c r="AB75" s="21">
        <f>EXP(-LN(2)/2)*AB74+(1-EXP(-LN(2)/2))/(LN(2)/2)*V75*Y75*VLOOKUP('Données projet'!$B$9,Paramètres!$A$1:$I$89,3,0)*0.475*44/12</f>
        <v>1.0563669110088686E-5</v>
      </c>
      <c r="AC75" s="22">
        <f t="shared" si="57"/>
        <v>5.8500023924846412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-1.2710188457276673E-13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255.5374979188561</v>
      </c>
      <c r="AO75" s="59">
        <f t="shared" si="90"/>
        <v>343.10418468620901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1.3450183997879879</v>
      </c>
      <c r="AV75" s="21">
        <f>EXP(-LN(2)/25)*AV74+(1-EXP(-LN(2)/25))/(LN(2)/25)*Calculateur!AQ75*Calculateur!AS75*VLOOKUP('Données projet'!$B$10,Paramètres!$A$1:$I$89,3,0)*0.475*44/12</f>
        <v>4.9809197601748592</v>
      </c>
      <c r="AW75" s="21">
        <f>EXP(-LN(2)/2)*AW74+(1-EXP(-LN(2)/2))/(LN(2)/2)*AQ75*AT75*VLOOKUP('Données projet'!$B$10,Paramètres!$A$1:$I$89,3,0)*0.475*44/12</f>
        <v>8.07119407393487E-7</v>
      </c>
      <c r="AX75" s="21">
        <f t="shared" si="60"/>
        <v>6.325938967082255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10.1</v>
      </c>
      <c r="BD75" s="12">
        <f>IF('Données projet'!$A$88&gt;35,BD74+BC75-BL74,IF(A75&lt;'Données projet'!$A$88,$BA$205^A75,IF(A75='Données projet'!$A$88,'Données projet'!$B$88,BD74+BC75-BL74)))</f>
        <v>258.19999999999987</v>
      </c>
      <c r="BE75" s="13">
        <f>BD75*VLOOKUP('Données projet'!$B$11,Paramètres!$A$1:$I$89,3,0)*VLOOKUP('Données projet'!$B$11,Paramètres!$A$1:$I$89,5,0)</f>
        <v>221.5355999999999</v>
      </c>
      <c r="BF75" s="13">
        <f t="shared" si="91"/>
        <v>54.448505561050183</v>
      </c>
      <c r="BG75" s="20">
        <f t="shared" si="61"/>
        <v>480.67231718549561</v>
      </c>
      <c r="BH75" s="59">
        <f t="shared" si="62"/>
        <v>774.00565051882893</v>
      </c>
      <c r="BI75" s="59">
        <f ca="1">AVERAGE(OFFSET($BH$3,0,0,'Données projet'!$E$11+1,1))-AVERAGE(OFFSET($H$3,0,0,'Données projet'!$E$11+1,1))</f>
        <v>310.4018929413723</v>
      </c>
      <c r="BJ75" s="59">
        <f t="shared" si="92"/>
        <v>127.5231137583819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1.8373620347358803</v>
      </c>
      <c r="BR75" s="21">
        <f>EXP(-LN(2)/2)*BR74+(1-EXP(-LN(2)/2))/(LN(2)/2)*BL75*BO75*VLOOKUP('Données projet'!$B$11,Paramètres!$A$1:$I$89,3,0)*0.475*44/12</f>
        <v>4.2583014180390908E-6</v>
      </c>
      <c r="BS75" s="22">
        <f t="shared" si="63"/>
        <v>1.8373662930372985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373.80000000000018</v>
      </c>
      <c r="BZ75" s="13">
        <f>BY75*VLOOKUP('Données projet'!$B$12,Paramètres!$A$1:$I$89,3,0)*VLOOKUP('Données projet'!$B$12,Paramètres!$A$1:$I$89,5,0)</f>
        <v>204.09480000000011</v>
      </c>
      <c r="CA75" s="13">
        <f t="shared" si="93"/>
        <v>50.643016586252969</v>
      </c>
      <c r="CB75" s="20">
        <f t="shared" si="64"/>
        <v>443.66836388772407</v>
      </c>
      <c r="CC75" s="59">
        <f t="shared" si="65"/>
        <v>737.00169722105738</v>
      </c>
      <c r="CD75" s="59">
        <f ca="1">AVERAGE(OFFSET($CC$3,0,0,'Données projet'!$E$12+1,1))-AVERAGE(OFFSET($H$3,0,0,'Données projet'!$E$12+1,1))</f>
        <v>210.04871822652808</v>
      </c>
      <c r="CE75" s="59">
        <f t="shared" si="94"/>
        <v>250.17540614049324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3.1779388515500742</v>
      </c>
      <c r="CL75" s="21">
        <f>EXP(-LN(2)/25)*CL74+(1-EXP(-LN(2)/25))/(LN(2)/25)*Calculateur!CG75*Calculateur!CI75*VLOOKUP('Données projet'!$B$12,Paramètres!$A$1:$I$89,3,0)*0.475*44/12</f>
        <v>8.6854824912086972</v>
      </c>
      <c r="CM75" s="21">
        <f>EXP(-LN(2)/2)*CM74+(1-EXP(-LN(2)/2))/(LN(2)/2)*CG75*CJ75*VLOOKUP('Données projet'!$B$12,Paramètres!$A$1:$I$89,3,0)*0.475*44/12</f>
        <v>1.0277695053745123E-5</v>
      </c>
      <c r="CN75" s="22">
        <f t="shared" si="66"/>
        <v>11.863431620453825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3.9</v>
      </c>
      <c r="N76" s="13">
        <f>IF('Données projet'!$A$36&gt;35,N75+M76-V75,IF(A76&lt;'Données projet'!$A$36,$K$205^A76,IF(A76='Données projet'!$A$36,'Données projet'!$B$36,N75+M76-V75)))</f>
        <v>314.69999999999965</v>
      </c>
      <c r="O76" s="13">
        <f>N76*VLOOKUP('Données projet'!$B$9,Paramètres!$A$1:$I$89,3,0)*VLOOKUP('Données projet'!$B$9,Paramètres!$A$1:$I$89,5,0)</f>
        <v>230.73803999999973</v>
      </c>
      <c r="P76" s="13">
        <f t="shared" si="87"/>
        <v>56.442233267210653</v>
      </c>
      <c r="Q76" s="20">
        <f t="shared" si="54"/>
        <v>500.17230927372475</v>
      </c>
      <c r="R76" s="59">
        <f t="shared" si="55"/>
        <v>793.50564260705801</v>
      </c>
      <c r="S76" s="59">
        <f ca="1">AVERAGE(OFFSET($R$3,0,0,'Données projet'!$E$9+1,1))-AVERAGE(OFFSET($H$3,0,0,'Données projet'!$E$9+1,1))</f>
        <v>234.09142087023463</v>
      </c>
      <c r="T76" s="59">
        <f t="shared" si="88"/>
        <v>278.990685815294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1.0411162148866466</v>
      </c>
      <c r="AA76" s="21">
        <f>EXP(-LN(2)/25)*AA75+(1-EXP(-LN(2)/25))/(LN(2)/25)*Calculateur!V76*Calculateur!X76*VLOOKUP('Données projet'!$B$9,Paramètres!$A$1:$I$89,3,0)*0.475*44/12</f>
        <v>4.6571220908581212</v>
      </c>
      <c r="AB76" s="21">
        <f>EXP(-LN(2)/2)*AB75+(1-EXP(-LN(2)/2))/(LN(2)/2)*V76*Y76*VLOOKUP('Données projet'!$B$9,Paramètres!$A$1:$I$89,3,0)*0.475*44/12</f>
        <v>7.4696420619545727E-6</v>
      </c>
      <c r="AC76" s="22">
        <f t="shared" si="57"/>
        <v>5.6982457753868303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-1.2710188457276673E-13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255.5374979188561</v>
      </c>
      <c r="AO76" s="59">
        <f t="shared" si="90"/>
        <v>343.10418468620901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1.3186434093483634</v>
      </c>
      <c r="AV76" s="21">
        <f>EXP(-LN(2)/25)*AV75+(1-EXP(-LN(2)/25))/(LN(2)/25)*Calculateur!AQ76*Calculateur!AS76*VLOOKUP('Données projet'!$B$10,Paramètres!$A$1:$I$89,3,0)*0.475*44/12</f>
        <v>4.8447162473976917</v>
      </c>
      <c r="AW76" s="21">
        <f>EXP(-LN(2)/2)*AW75+(1-EXP(-LN(2)/2))/(LN(2)/2)*AQ76*AT76*VLOOKUP('Données projet'!$B$10,Paramètres!$A$1:$I$89,3,0)*0.475*44/12</f>
        <v>5.7071960619520231E-7</v>
      </c>
      <c r="AX76" s="21">
        <f t="shared" si="60"/>
        <v>6.1633602274656605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10.1</v>
      </c>
      <c r="BD76" s="12">
        <f>IF('Données projet'!$A$88&gt;35,BD75+BC76-BL75,IF(A76&lt;'Données projet'!$A$88,$BA$205^A76,IF(A76='Données projet'!$A$88,'Données projet'!$B$88,BD75+BC76-BL75)))</f>
        <v>268.2999999999999</v>
      </c>
      <c r="BE76" s="13">
        <f>BD76*VLOOKUP('Données projet'!$B$11,Paramètres!$A$1:$I$89,3,0)*VLOOKUP('Données projet'!$B$11,Paramètres!$A$1:$I$89,5,0)</f>
        <v>230.20139999999995</v>
      </c>
      <c r="BF76" s="13">
        <f t="shared" si="91"/>
        <v>56.326226701292995</v>
      </c>
      <c r="BG76" s="20">
        <f t="shared" si="61"/>
        <v>499.03561650475189</v>
      </c>
      <c r="BH76" s="59">
        <f t="shared" si="62"/>
        <v>792.3689498380852</v>
      </c>
      <c r="BI76" s="59">
        <f ca="1">AVERAGE(OFFSET($BH$3,0,0,'Données projet'!$E$11+1,1))-AVERAGE(OFFSET($H$3,0,0,'Données projet'!$E$11+1,1))</f>
        <v>310.4018929413723</v>
      </c>
      <c r="BJ76" s="59">
        <f t="shared" si="92"/>
        <v>127.5231137583819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1.7871192732733576</v>
      </c>
      <c r="BR76" s="21">
        <f>EXP(-LN(2)/2)*BR75+(1-EXP(-LN(2)/2))/(LN(2)/2)*BL76*BO76*VLOOKUP('Données projet'!$B$11,Paramètres!$A$1:$I$89,3,0)*0.475*44/12</f>
        <v>3.0110738090317324E-6</v>
      </c>
      <c r="BS76" s="22">
        <f t="shared" si="63"/>
        <v>1.7871222843471666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381.20000000000016</v>
      </c>
      <c r="BZ76" s="13">
        <f>BY76*VLOOKUP('Données projet'!$B$12,Paramètres!$A$1:$I$89,3,0)*VLOOKUP('Données projet'!$B$12,Paramètres!$A$1:$I$89,5,0)</f>
        <v>208.13520000000011</v>
      </c>
      <c r="CA76" s="13">
        <f t="shared" si="93"/>
        <v>51.527868675898425</v>
      </c>
      <c r="CB76" s="20">
        <f t="shared" si="64"/>
        <v>452.24651127718994</v>
      </c>
      <c r="CC76" s="59">
        <f t="shared" si="65"/>
        <v>745.5798446105232</v>
      </c>
      <c r="CD76" s="59">
        <f ca="1">AVERAGE(OFFSET($CC$3,0,0,'Données projet'!$E$12+1,1))-AVERAGE(OFFSET($H$3,0,0,'Données projet'!$E$12+1,1))</f>
        <v>210.04871822652808</v>
      </c>
      <c r="CE76" s="59">
        <f t="shared" si="94"/>
        <v>250.17540614049324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3.1156214090224803</v>
      </c>
      <c r="CL76" s="21">
        <f>EXP(-LN(2)/25)*CL75+(1-EXP(-LN(2)/25))/(LN(2)/25)*Calculateur!CG76*Calculateur!CI76*VLOOKUP('Données projet'!$B$12,Paramètres!$A$1:$I$89,3,0)*0.475*44/12</f>
        <v>8.4479775157369215</v>
      </c>
      <c r="CM76" s="21">
        <f>EXP(-LN(2)/2)*CM75+(1-EXP(-LN(2)/2))/(LN(2)/2)*CG76*CJ76*VLOOKUP('Données projet'!$B$12,Paramètres!$A$1:$I$89,3,0)*0.475*44/12</f>
        <v>7.2674278674706145E-6</v>
      </c>
      <c r="CN76" s="22">
        <f t="shared" si="66"/>
        <v>11.563606192187269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3.9</v>
      </c>
      <c r="N77" s="13">
        <f>IF('Données projet'!$A$36&gt;35,N76+M77-V76,IF(A77&lt;'Données projet'!$A$36,$K$205^A77,IF(A77='Données projet'!$A$36,'Données projet'!$B$36,N76+M77-V76)))</f>
        <v>318.59999999999962</v>
      </c>
      <c r="O77" s="13">
        <f>N77*VLOOKUP('Données projet'!$B$9,Paramètres!$A$1:$I$89,3,0)*VLOOKUP('Données projet'!$B$9,Paramètres!$A$1:$I$89,5,0)</f>
        <v>233.59751999999972</v>
      </c>
      <c r="P77" s="13">
        <f t="shared" si="87"/>
        <v>57.059845437390116</v>
      </c>
      <c r="Q77" s="20">
        <f t="shared" si="54"/>
        <v>506.22824480345389</v>
      </c>
      <c r="R77" s="59">
        <f t="shared" si="55"/>
        <v>799.56157813678715</v>
      </c>
      <c r="S77" s="59">
        <f ca="1">AVERAGE(OFFSET($R$3,0,0,'Données projet'!$E$9+1,1))-AVERAGE(OFFSET($H$3,0,0,'Données projet'!$E$9+1,1))</f>
        <v>234.09142087023463</v>
      </c>
      <c r="T77" s="59">
        <f t="shared" si="88"/>
        <v>278.990685815294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1.0207005609309077</v>
      </c>
      <c r="AA77" s="21">
        <f>EXP(-LN(2)/25)*AA76+(1-EXP(-LN(2)/25))/(LN(2)/25)*Calculateur!V77*Calculateur!X77*VLOOKUP('Données projet'!$B$9,Paramètres!$A$1:$I$89,3,0)*0.475*44/12</f>
        <v>4.5297728423761994</v>
      </c>
      <c r="AB77" s="21">
        <f>EXP(-LN(2)/2)*AB76+(1-EXP(-LN(2)/2))/(LN(2)/2)*V77*Y77*VLOOKUP('Données projet'!$B$9,Paramètres!$A$1:$I$89,3,0)*0.475*44/12</f>
        <v>5.2818345550443439E-6</v>
      </c>
      <c r="AC77" s="22">
        <f t="shared" si="57"/>
        <v>5.5504786851416616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-1.2710188457276673E-13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255.5374979188561</v>
      </c>
      <c r="AO77" s="59">
        <f t="shared" si="90"/>
        <v>343.10418468620901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1.2927856163841045</v>
      </c>
      <c r="AV77" s="21">
        <f>EXP(-LN(2)/25)*AV76+(1-EXP(-LN(2)/25))/(LN(2)/25)*Calculateur!AQ77*Calculateur!AS77*VLOOKUP('Données projet'!$B$10,Paramètres!$A$1:$I$89,3,0)*0.475*44/12</f>
        <v>4.7122372268400472</v>
      </c>
      <c r="AW77" s="21">
        <f>EXP(-LN(2)/2)*AW76+(1-EXP(-LN(2)/2))/(LN(2)/2)*AQ77*AT77*VLOOKUP('Données projet'!$B$10,Paramètres!$A$1:$I$89,3,0)*0.475*44/12</f>
        <v>4.035597036967435E-7</v>
      </c>
      <c r="AX77" s="21">
        <f t="shared" si="60"/>
        <v>6.005023246783856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10.1</v>
      </c>
      <c r="BD77" s="12">
        <f>IF('Données projet'!$A$88&gt;35,BD76+BC77-BL76,IF(A77&lt;'Données projet'!$A$88,$BA$205^A77,IF(A77='Données projet'!$A$88,'Données projet'!$B$88,BD76+BC77-BL76)))</f>
        <v>278.39999999999992</v>
      </c>
      <c r="BE77" s="13">
        <f>BD77*VLOOKUP('Données projet'!$B$11,Paramètres!$A$1:$I$89,3,0)*VLOOKUP('Données projet'!$B$11,Paramètres!$A$1:$I$89,5,0)</f>
        <v>238.86719999999997</v>
      </c>
      <c r="BF77" s="13">
        <f t="shared" si="91"/>
        <v>58.195735973104156</v>
      </c>
      <c r="BG77" s="20">
        <f t="shared" si="61"/>
        <v>517.38461348648957</v>
      </c>
      <c r="BH77" s="59">
        <f t="shared" si="62"/>
        <v>810.71794681982283</v>
      </c>
      <c r="BI77" s="59">
        <f ca="1">AVERAGE(OFFSET($BH$3,0,0,'Données projet'!$E$11+1,1))-AVERAGE(OFFSET($H$3,0,0,'Données projet'!$E$11+1,1))</f>
        <v>310.4018929413723</v>
      </c>
      <c r="BJ77" s="59">
        <f t="shared" si="92"/>
        <v>127.5231137583819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1.7382504027651795</v>
      </c>
      <c r="BR77" s="21">
        <f>EXP(-LN(2)/2)*BR76+(1-EXP(-LN(2)/2))/(LN(2)/2)*BL77*BO77*VLOOKUP('Données projet'!$B$11,Paramètres!$A$1:$I$89,3,0)*0.475*44/12</f>
        <v>2.1291507090195454E-6</v>
      </c>
      <c r="BS77" s="22">
        <f t="shared" si="63"/>
        <v>1.7382525319158886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388.60000000000014</v>
      </c>
      <c r="BZ77" s="13">
        <f>BY77*VLOOKUP('Données projet'!$B$12,Paramètres!$A$1:$I$89,3,0)*VLOOKUP('Données projet'!$B$12,Paramètres!$A$1:$I$89,5,0)</f>
        <v>212.17560000000006</v>
      </c>
      <c r="CA77" s="13">
        <f t="shared" si="93"/>
        <v>52.410723477279205</v>
      </c>
      <c r="CB77" s="20">
        <f t="shared" si="64"/>
        <v>460.82118005626143</v>
      </c>
      <c r="CC77" s="59">
        <f t="shared" si="65"/>
        <v>754.15451338959474</v>
      </c>
      <c r="CD77" s="59">
        <f ca="1">AVERAGE(OFFSET($CC$3,0,0,'Données projet'!$E$12+1,1))-AVERAGE(OFFSET($H$3,0,0,'Données projet'!$E$12+1,1))</f>
        <v>210.04871822652808</v>
      </c>
      <c r="CE77" s="59">
        <f t="shared" si="94"/>
        <v>250.17540614049324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3.0545259735329657</v>
      </c>
      <c r="CL77" s="21">
        <f>EXP(-LN(2)/25)*CL76+(1-EXP(-LN(2)/25))/(LN(2)/25)*Calculateur!CG77*Calculateur!CI77*VLOOKUP('Données projet'!$B$12,Paramètres!$A$1:$I$89,3,0)*0.475*44/12</f>
        <v>8.2169671263092656</v>
      </c>
      <c r="CM77" s="21">
        <f>EXP(-LN(2)/2)*CM76+(1-EXP(-LN(2)/2))/(LN(2)/2)*CG77*CJ77*VLOOKUP('Données projet'!$B$12,Paramètres!$A$1:$I$89,3,0)*0.475*44/12</f>
        <v>5.1388475268725622E-6</v>
      </c>
      <c r="CN77" s="22">
        <f t="shared" si="66"/>
        <v>11.271498238689759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3.9</v>
      </c>
      <c r="N78" s="13">
        <f>IF('Données projet'!$A$36&gt;35,N77+M78-V77,IF(A78&lt;'Données projet'!$A$36,$K$205^A78,IF(A78='Données projet'!$A$36,'Données projet'!$B$36,N77+M78-V77)))</f>
        <v>322.4999999999996</v>
      </c>
      <c r="O78" s="13">
        <f>N78*VLOOKUP('Données projet'!$B$9,Paramètres!$A$1:$I$89,3,0)*VLOOKUP('Données projet'!$B$9,Paramètres!$A$1:$I$89,5,0)</f>
        <v>236.45699999999974</v>
      </c>
      <c r="P78" s="13">
        <f t="shared" si="87"/>
        <v>57.676578200883128</v>
      </c>
      <c r="Q78" s="20">
        <f t="shared" si="54"/>
        <v>512.28264869987095</v>
      </c>
      <c r="R78" s="59">
        <f t="shared" si="55"/>
        <v>805.61598203320432</v>
      </c>
      <c r="S78" s="59">
        <f ca="1">AVERAGE(OFFSET($R$3,0,0,'Données projet'!$E$9+1,1))-AVERAGE(OFFSET($H$3,0,0,'Données projet'!$E$9+1,1))</f>
        <v>234.09142087023463</v>
      </c>
      <c r="T78" s="59">
        <f t="shared" si="88"/>
        <v>278.990685815294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1.0006852454969215</v>
      </c>
      <c r="AA78" s="21">
        <f>EXP(-LN(2)/25)*AA77+(1-EXP(-LN(2)/25))/(LN(2)/25)*Calculateur!V78*Calculateur!X78*VLOOKUP('Données projet'!$B$9,Paramètres!$A$1:$I$89,3,0)*0.475*44/12</f>
        <v>4.4059059657910211</v>
      </c>
      <c r="AB78" s="21">
        <f>EXP(-LN(2)/2)*AB77+(1-EXP(-LN(2)/2))/(LN(2)/2)*V78*Y78*VLOOKUP('Données projet'!$B$9,Paramètres!$A$1:$I$89,3,0)*0.475*44/12</f>
        <v>3.7348210309772868E-6</v>
      </c>
      <c r="AC78" s="22">
        <f t="shared" si="57"/>
        <v>5.4065949461089735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-1.2710188457276673E-13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255.5374979188561</v>
      </c>
      <c r="AO78" s="59">
        <f t="shared" si="90"/>
        <v>343.10418468620901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1.2674348789681782</v>
      </c>
      <c r="AV78" s="21">
        <f>EXP(-LN(2)/25)*AV77+(1-EXP(-LN(2)/25))/(LN(2)/25)*Calculateur!AQ78*Calculateur!AS78*VLOOKUP('Données projet'!$B$10,Paramètres!$A$1:$I$89,3,0)*0.475*44/12</f>
        <v>4.5833808520663206</v>
      </c>
      <c r="AW78" s="21">
        <f>EXP(-LN(2)/2)*AW77+(1-EXP(-LN(2)/2))/(LN(2)/2)*AQ78*AT78*VLOOKUP('Données projet'!$B$10,Paramètres!$A$1:$I$89,3,0)*0.475*44/12</f>
        <v>2.8535980309760115E-7</v>
      </c>
      <c r="AX78" s="21">
        <f t="shared" si="60"/>
        <v>5.8508160163943019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10.1</v>
      </c>
      <c r="BD78" s="12">
        <f>IF('Données projet'!$A$88&gt;35,BD77+BC78-BL77,IF(A78&lt;'Données projet'!$A$88,$BA$205^A78,IF(A78='Données projet'!$A$88,'Données projet'!$B$88,BD77+BC78-BL77)))</f>
        <v>288.49999999999994</v>
      </c>
      <c r="BE78" s="13">
        <f>BD78*VLOOKUP('Données projet'!$B$11,Paramètres!$A$1:$I$89,3,0)*VLOOKUP('Données projet'!$B$11,Paramètres!$A$1:$I$89,5,0)</f>
        <v>247.53299999999999</v>
      </c>
      <c r="BF78" s="13">
        <f t="shared" si="91"/>
        <v>60.057365417030148</v>
      </c>
      <c r="BG78" s="20">
        <f t="shared" si="61"/>
        <v>535.71988643466068</v>
      </c>
      <c r="BH78" s="59">
        <f t="shared" si="62"/>
        <v>829.05321976799405</v>
      </c>
      <c r="BI78" s="59">
        <f ca="1">AVERAGE(OFFSET($BH$3,0,0,'Données projet'!$E$11+1,1))-AVERAGE(OFFSET($H$3,0,0,'Données projet'!$E$11+1,1))</f>
        <v>310.4018929413723</v>
      </c>
      <c r="BJ78" s="59">
        <f t="shared" si="92"/>
        <v>127.5231137583819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1.6907178540909498</v>
      </c>
      <c r="BR78" s="21">
        <f>EXP(-LN(2)/2)*BR77+(1-EXP(-LN(2)/2))/(LN(2)/2)*BL78*BO78*VLOOKUP('Données projet'!$B$11,Paramètres!$A$1:$I$89,3,0)*0.475*44/12</f>
        <v>1.5055369045158662E-6</v>
      </c>
      <c r="BS78" s="22">
        <f t="shared" si="63"/>
        <v>1.6907193596278542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396.00000000000011</v>
      </c>
      <c r="BZ78" s="13">
        <f>BY78*VLOOKUP('Données projet'!$B$12,Paramètres!$A$1:$I$89,3,0)*VLOOKUP('Données projet'!$B$12,Paramètres!$A$1:$I$89,5,0)</f>
        <v>216.21600000000007</v>
      </c>
      <c r="CA78" s="13">
        <f t="shared" si="93"/>
        <v>53.291623409473033</v>
      </c>
      <c r="CB78" s="20">
        <f t="shared" si="64"/>
        <v>469.39244410483235</v>
      </c>
      <c r="CC78" s="59">
        <f t="shared" si="65"/>
        <v>762.72577743816566</v>
      </c>
      <c r="CD78" s="59">
        <f ca="1">AVERAGE(OFFSET($CC$3,0,0,'Données projet'!$E$12+1,1))-AVERAGE(OFFSET($H$3,0,0,'Données projet'!$E$12+1,1))</f>
        <v>210.04871822652808</v>
      </c>
      <c r="CE78" s="59">
        <f t="shared" si="94"/>
        <v>250.17540614049324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2.9946285822688647</v>
      </c>
      <c r="CL78" s="21">
        <f>EXP(-LN(2)/25)*CL77+(1-EXP(-LN(2)/25))/(LN(2)/25)*Calculateur!CG78*Calculateur!CI78*VLOOKUP('Données projet'!$B$12,Paramètres!$A$1:$I$89,3,0)*0.475*44/12</f>
        <v>7.9922737281288176</v>
      </c>
      <c r="CM78" s="21">
        <f>EXP(-LN(2)/2)*CM77+(1-EXP(-LN(2)/2))/(LN(2)/2)*CG78*CJ78*VLOOKUP('Données projet'!$B$12,Paramètres!$A$1:$I$89,3,0)*0.475*44/12</f>
        <v>3.6337139337353081E-6</v>
      </c>
      <c r="CN78" s="22">
        <f t="shared" si="66"/>
        <v>10.986905944111616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3.9</v>
      </c>
      <c r="N79" s="13">
        <f>IF('Données projet'!$A$36&gt;35,N78+M79-V78,IF(A79&lt;'Données projet'!$A$36,$K$205^A79,IF(A79='Données projet'!$A$36,'Données projet'!$B$36,N78+M79-V78)))</f>
        <v>326.39999999999958</v>
      </c>
      <c r="O79" s="13">
        <f>N79*VLOOKUP('Données projet'!$B$9,Paramètres!$A$1:$I$89,3,0)*VLOOKUP('Données projet'!$B$9,Paramètres!$A$1:$I$89,5,0)</f>
        <v>239.31647999999967</v>
      </c>
      <c r="P79" s="13">
        <f t="shared" si="87"/>
        <v>58.292443422481945</v>
      </c>
      <c r="Q79" s="20">
        <f t="shared" si="54"/>
        <v>518.33554162748874</v>
      </c>
      <c r="R79" s="59">
        <f t="shared" si="55"/>
        <v>811.668874960822</v>
      </c>
      <c r="S79" s="59">
        <f ca="1">AVERAGE(OFFSET($R$3,0,0,'Données projet'!$E$9+1,1))-AVERAGE(OFFSET($H$3,0,0,'Données projet'!$E$9+1,1))</f>
        <v>234.09142087023463</v>
      </c>
      <c r="T79" s="59">
        <f t="shared" si="88"/>
        <v>278.990685815294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0.98106241819045881</v>
      </c>
      <c r="AA79" s="21">
        <f>EXP(-LN(2)/25)*AA78+(1-EXP(-LN(2)/25))/(LN(2)/25)*Calculateur!V79*Calculateur!X79*VLOOKUP('Données projet'!$B$9,Paramètres!$A$1:$I$89,3,0)*0.475*44/12</f>
        <v>4.2854262354599406</v>
      </c>
      <c r="AB79" s="21">
        <f>EXP(-LN(2)/2)*AB78+(1-EXP(-LN(2)/2))/(LN(2)/2)*V79*Y79*VLOOKUP('Données projet'!$B$9,Paramètres!$A$1:$I$89,3,0)*0.475*44/12</f>
        <v>2.6409172775221724E-6</v>
      </c>
      <c r="AC79" s="22">
        <f t="shared" si="57"/>
        <v>5.2664912945676772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-1.2710188457276673E-13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255.5374979188561</v>
      </c>
      <c r="AO79" s="59">
        <f t="shared" si="90"/>
        <v>343.10418468620901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1.2425812540505552</v>
      </c>
      <c r="AV79" s="21">
        <f>EXP(-LN(2)/25)*AV78+(1-EXP(-LN(2)/25))/(LN(2)/25)*Calculateur!AQ79*Calculateur!AS79*VLOOKUP('Données projet'!$B$10,Paramètres!$A$1:$I$89,3,0)*0.475*44/12</f>
        <v>4.4580480616370437</v>
      </c>
      <c r="AW79" s="21">
        <f>EXP(-LN(2)/2)*AW78+(1-EXP(-LN(2)/2))/(LN(2)/2)*AQ79*AT79*VLOOKUP('Données projet'!$B$10,Paramètres!$A$1:$I$89,3,0)*0.475*44/12</f>
        <v>2.0177985184837175E-7</v>
      </c>
      <c r="AX79" s="21">
        <f t="shared" si="60"/>
        <v>5.7006295174674504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10.1</v>
      </c>
      <c r="BD79" s="12">
        <f>IF('Données projet'!$A$88&gt;35,BD78+BC79-BL78,IF(A79&lt;'Données projet'!$A$88,$BA$205^A79,IF(A79='Données projet'!$A$88,'Données projet'!$B$88,BD78+BC79-BL78)))</f>
        <v>298.59999999999997</v>
      </c>
      <c r="BE79" s="13">
        <f>BD79*VLOOKUP('Données projet'!$B$11,Paramètres!$A$1:$I$89,3,0)*VLOOKUP('Données projet'!$B$11,Paramètres!$A$1:$I$89,5,0)</f>
        <v>256.19880000000001</v>
      </c>
      <c r="BF79" s="13">
        <f t="shared" si="91"/>
        <v>61.911422506728201</v>
      </c>
      <c r="BG79" s="20">
        <f t="shared" si="61"/>
        <v>554.04197086588488</v>
      </c>
      <c r="BH79" s="59">
        <f t="shared" si="62"/>
        <v>847.37530419921814</v>
      </c>
      <c r="BI79" s="59">
        <f ca="1">AVERAGE(OFFSET($BH$3,0,0,'Données projet'!$E$11+1,1))-AVERAGE(OFFSET($H$3,0,0,'Données projet'!$E$11+1,1))</f>
        <v>310.4018929413723</v>
      </c>
      <c r="BJ79" s="59">
        <f t="shared" si="92"/>
        <v>127.5231137583819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1.644485085459845</v>
      </c>
      <c r="BR79" s="21">
        <f>EXP(-LN(2)/2)*BR78+(1-EXP(-LN(2)/2))/(LN(2)/2)*BL79*BO79*VLOOKUP('Données projet'!$B$11,Paramètres!$A$1:$I$89,3,0)*0.475*44/12</f>
        <v>1.0645753545097727E-6</v>
      </c>
      <c r="BS79" s="22">
        <f t="shared" si="63"/>
        <v>1.6444861500351995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403.40000000000009</v>
      </c>
      <c r="BZ79" s="13">
        <f>BY79*VLOOKUP('Données projet'!$B$12,Paramètres!$A$1:$I$89,3,0)*VLOOKUP('Données projet'!$B$12,Paramètres!$A$1:$I$89,5,0)</f>
        <v>220.25640000000004</v>
      </c>
      <c r="CA79" s="13">
        <f t="shared" si="93"/>
        <v>54.170609215461226</v>
      </c>
      <c r="CB79" s="20">
        <f t="shared" si="64"/>
        <v>477.96037438359508</v>
      </c>
      <c r="CC79" s="59">
        <f t="shared" si="65"/>
        <v>771.29370771692834</v>
      </c>
      <c r="CD79" s="59">
        <f ca="1">AVERAGE(OFFSET($CC$3,0,0,'Données projet'!$E$12+1,1))-AVERAGE(OFFSET($H$3,0,0,'Données projet'!$E$12+1,1))</f>
        <v>210.04871822652808</v>
      </c>
      <c r="CE79" s="59">
        <f t="shared" si="94"/>
        <v>250.17540614049324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2.9359057423136514</v>
      </c>
      <c r="CL79" s="21">
        <f>EXP(-LN(2)/25)*CL78+(1-EXP(-LN(2)/25))/(LN(2)/25)*Calculateur!CG79*Calculateur!CI79*VLOOKUP('Données projet'!$B$12,Paramètres!$A$1:$I$89,3,0)*0.475*44/12</f>
        <v>7.7737245827377262</v>
      </c>
      <c r="CM79" s="21">
        <f>EXP(-LN(2)/2)*CM78+(1-EXP(-LN(2)/2))/(LN(2)/2)*CG79*CJ79*VLOOKUP('Données projet'!$B$12,Paramètres!$A$1:$I$89,3,0)*0.475*44/12</f>
        <v>2.5694237634362815E-6</v>
      </c>
      <c r="CN79" s="22">
        <f t="shared" si="66"/>
        <v>10.709632894475142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3.9</v>
      </c>
      <c r="N80" s="13">
        <f>IF('Données projet'!$A$36&gt;35,N79+M80-V79,IF(A80&lt;'Données projet'!$A$36,$K$205^A80,IF(A80='Données projet'!$A$36,'Données projet'!$B$36,N79+M80-V79)))</f>
        <v>330.29999999999956</v>
      </c>
      <c r="O80" s="13">
        <f>N80*VLOOKUP('Données projet'!$B$9,Paramètres!$A$1:$I$89,3,0)*VLOOKUP('Données projet'!$B$9,Paramètres!$A$1:$I$89,5,0)</f>
        <v>242.17595999999966</v>
      </c>
      <c r="P80" s="13">
        <f t="shared" si="87"/>
        <v>58.907452667130812</v>
      </c>
      <c r="Q80" s="20">
        <f t="shared" si="54"/>
        <v>524.38694372858561</v>
      </c>
      <c r="R80" s="59">
        <f t="shared" si="55"/>
        <v>817.72027706191898</v>
      </c>
      <c r="S80" s="59">
        <f ca="1">AVERAGE(OFFSET($R$3,0,0,'Données projet'!$E$9+1,1))-AVERAGE(OFFSET($H$3,0,0,'Données projet'!$E$9+1,1))</f>
        <v>234.09142087023463</v>
      </c>
      <c r="T80" s="59">
        <f t="shared" si="88"/>
        <v>278.990685815294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0.96182438255873304</v>
      </c>
      <c r="AA80" s="21">
        <f>EXP(-LN(2)/25)*AA79+(1-EXP(-LN(2)/25))/(LN(2)/25)*Calculateur!V80*Calculateur!X80*VLOOKUP('Données projet'!$B$9,Paramètres!$A$1:$I$89,3,0)*0.475*44/12</f>
        <v>4.1682410296905177</v>
      </c>
      <c r="AB80" s="21">
        <f>EXP(-LN(2)/2)*AB79+(1-EXP(-LN(2)/2))/(LN(2)/2)*V80*Y80*VLOOKUP('Données projet'!$B$9,Paramètres!$A$1:$I$89,3,0)*0.475*44/12</f>
        <v>1.8674105154886436E-6</v>
      </c>
      <c r="AC80" s="22">
        <f t="shared" si="57"/>
        <v>5.1300672796597659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-1.2710188457276673E-13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255.5374979188561</v>
      </c>
      <c r="AO80" s="59">
        <f t="shared" si="90"/>
        <v>343.10418468620901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1.2182149935583524</v>
      </c>
      <c r="AV80" s="21">
        <f>EXP(-LN(2)/25)*AV79+(1-EXP(-LN(2)/25))/(LN(2)/25)*Calculateur!AQ80*Calculateur!AS80*VLOOKUP('Données projet'!$B$10,Paramètres!$A$1:$I$89,3,0)*0.475*44/12</f>
        <v>4.3361425029530203</v>
      </c>
      <c r="AW80" s="21">
        <f>EXP(-LN(2)/2)*AW79+(1-EXP(-LN(2)/2))/(LN(2)/2)*AQ80*AT80*VLOOKUP('Données projet'!$B$10,Paramètres!$A$1:$I$89,3,0)*0.475*44/12</f>
        <v>1.4267990154880058E-7</v>
      </c>
      <c r="AX80" s="21">
        <f t="shared" si="60"/>
        <v>5.5543576391912746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10.1</v>
      </c>
      <c r="BD80" s="12">
        <f>IF('Données projet'!$A$88&gt;35,BD79+BC80-BL79,IF(A80&lt;'Données projet'!$A$88,$BA$205^A80,IF(A80='Données projet'!$A$88,'Données projet'!$B$88,BD79+BC80-BL79)))</f>
        <v>308.7</v>
      </c>
      <c r="BE80" s="13">
        <f>BD80*VLOOKUP('Données projet'!$B$11,Paramètres!$A$1:$I$89,3,0)*VLOOKUP('Données projet'!$B$11,Paramètres!$A$1:$I$89,5,0)</f>
        <v>264.8646</v>
      </c>
      <c r="BF80" s="13">
        <f t="shared" si="91"/>
        <v>63.758192735505993</v>
      </c>
      <c r="BG80" s="20">
        <f t="shared" si="61"/>
        <v>572.35136401433954</v>
      </c>
      <c r="BH80" s="59">
        <f t="shared" si="62"/>
        <v>865.68469734767291</v>
      </c>
      <c r="BI80" s="59">
        <f ca="1">AVERAGE(OFFSET($BH$3,0,0,'Données projet'!$E$11+1,1))-AVERAGE(OFFSET($H$3,0,0,'Données projet'!$E$11+1,1))</f>
        <v>310.4018929413723</v>
      </c>
      <c r="BJ80" s="59">
        <f t="shared" si="92"/>
        <v>127.5231137583819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1.5995165543182335</v>
      </c>
      <c r="BR80" s="21">
        <f>EXP(-LN(2)/2)*BR79+(1-EXP(-LN(2)/2))/(LN(2)/2)*BL80*BO80*VLOOKUP('Données projet'!$B$11,Paramètres!$A$1:$I$89,3,0)*0.475*44/12</f>
        <v>7.5276845225793311E-7</v>
      </c>
      <c r="BS80" s="22">
        <f t="shared" si="63"/>
        <v>1.5995173070866857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410.80000000000007</v>
      </c>
      <c r="BZ80" s="13">
        <f>BY80*VLOOKUP('Données projet'!$B$12,Paramètres!$A$1:$I$89,3,0)*VLOOKUP('Données projet'!$B$12,Paramètres!$A$1:$I$89,5,0)</f>
        <v>224.29680000000005</v>
      </c>
      <c r="CA80" s="13">
        <f t="shared" si="93"/>
        <v>55.047720057866165</v>
      </c>
      <c r="CB80" s="20">
        <f t="shared" si="64"/>
        <v>486.52503910078366</v>
      </c>
      <c r="CC80" s="59">
        <f t="shared" si="65"/>
        <v>779.85837243411697</v>
      </c>
      <c r="CD80" s="59">
        <f ca="1">AVERAGE(OFFSET($CC$3,0,0,'Données projet'!$E$12+1,1))-AVERAGE(OFFSET($H$3,0,0,'Données projet'!$E$12+1,1))</f>
        <v>210.04871822652808</v>
      </c>
      <c r="CE80" s="59">
        <f t="shared" si="94"/>
        <v>250.17540614049324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2.8783344214325641</v>
      </c>
      <c r="CL80" s="21">
        <f>EXP(-LN(2)/25)*CL79+(1-EXP(-LN(2)/25))/(LN(2)/25)*Calculateur!CG80*Calculateur!CI80*VLOOKUP('Données projet'!$B$12,Paramètres!$A$1:$I$89,3,0)*0.475*44/12</f>
        <v>7.561151675220354</v>
      </c>
      <c r="CM80" s="21">
        <f>EXP(-LN(2)/2)*CM79+(1-EXP(-LN(2)/2))/(LN(2)/2)*CG80*CJ80*VLOOKUP('Données projet'!$B$12,Paramètres!$A$1:$I$89,3,0)*0.475*44/12</f>
        <v>1.8168569668676543E-6</v>
      </c>
      <c r="CN80" s="22">
        <f t="shared" si="66"/>
        <v>10.439487913509884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3.9</v>
      </c>
      <c r="N81" s="13">
        <f>IF('Données projet'!$A$36&gt;35,N80+M81-V80,IF(A81&lt;'Données projet'!$A$36,$K$205^A81,IF(A81='Données projet'!$A$36,'Données projet'!$B$36,N80+M81-V80)))</f>
        <v>334.19999999999953</v>
      </c>
      <c r="O81" s="13">
        <f>N81*VLOOKUP('Données projet'!$B$9,Paramètres!$A$1:$I$89,3,0)*VLOOKUP('Données projet'!$B$9,Paramètres!$A$1:$I$89,5,0)</f>
        <v>245.03543999999968</v>
      </c>
      <c r="P81" s="13">
        <f t="shared" si="87"/>
        <v>59.521617210952996</v>
      </c>
      <c r="Q81" s="20">
        <f t="shared" si="54"/>
        <v>530.43687464240918</v>
      </c>
      <c r="R81" s="59">
        <f t="shared" si="55"/>
        <v>823.77020797574255</v>
      </c>
      <c r="S81" s="59">
        <f ca="1">AVERAGE(OFFSET($R$3,0,0,'Données projet'!$E$9+1,1))-AVERAGE(OFFSET($H$3,0,0,'Données projet'!$E$9+1,1))</f>
        <v>234.09142087023463</v>
      </c>
      <c r="T81" s="59">
        <f t="shared" si="88"/>
        <v>278.990685815294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0.9429635930717023</v>
      </c>
      <c r="AA81" s="21">
        <f>EXP(-LN(2)/25)*AA80+(1-EXP(-LN(2)/25))/(LN(2)/25)*Calculateur!V81*Calculateur!X81*VLOOKUP('Données projet'!$B$9,Paramètres!$A$1:$I$89,3,0)*0.475*44/12</f>
        <v>4.0542602595353614</v>
      </c>
      <c r="AB81" s="21">
        <f>EXP(-LN(2)/2)*AB80+(1-EXP(-LN(2)/2))/(LN(2)/2)*V81*Y81*VLOOKUP('Données projet'!$B$9,Paramètres!$A$1:$I$89,3,0)*0.475*44/12</f>
        <v>1.3204586387610864E-6</v>
      </c>
      <c r="AC81" s="22">
        <f t="shared" si="57"/>
        <v>4.9972251730657025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-1.2710188457276673E-13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255.5374979188561</v>
      </c>
      <c r="AO81" s="59">
        <f t="shared" si="90"/>
        <v>343.10418468620901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1.1943265405724504</v>
      </c>
      <c r="AV81" s="21">
        <f>EXP(-LN(2)/25)*AV80+(1-EXP(-LN(2)/25))/(LN(2)/25)*Calculateur!AQ81*Calculateur!AS81*VLOOKUP('Données projet'!$B$10,Paramètres!$A$1:$I$89,3,0)*0.475*44/12</f>
        <v>4.217570458181946</v>
      </c>
      <c r="AW81" s="21">
        <f>EXP(-LN(2)/2)*AW80+(1-EXP(-LN(2)/2))/(LN(2)/2)*AQ81*AT81*VLOOKUP('Données projet'!$B$10,Paramètres!$A$1:$I$89,3,0)*0.475*44/12</f>
        <v>1.0088992592418587E-7</v>
      </c>
      <c r="AX81" s="21">
        <f t="shared" si="60"/>
        <v>5.4118970996443219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10.1</v>
      </c>
      <c r="BD81" s="12">
        <f>IF('Données projet'!$A$88&gt;35,BD80+BC81-BL80,IF(A81&lt;'Données projet'!$A$88,$BA$205^A81,IF(A81='Données projet'!$A$88,'Données projet'!$B$88,BD80+BC81-BL80)))</f>
        <v>318.8</v>
      </c>
      <c r="BE81" s="13">
        <f>BD81*VLOOKUP('Données projet'!$B$11,Paramètres!$A$1:$I$89,3,0)*VLOOKUP('Données projet'!$B$11,Paramètres!$A$1:$I$89,5,0)</f>
        <v>273.53040000000004</v>
      </c>
      <c r="BF81" s="13">
        <f t="shared" si="91"/>
        <v>65.597941854849111</v>
      </c>
      <c r="BG81" s="20">
        <f t="shared" si="61"/>
        <v>590.64852873052894</v>
      </c>
      <c r="BH81" s="59">
        <f t="shared" si="62"/>
        <v>883.98186206386231</v>
      </c>
      <c r="BI81" s="59">
        <f ca="1">AVERAGE(OFFSET($BH$3,0,0,'Données projet'!$E$11+1,1))-AVERAGE(OFFSET($H$3,0,0,'Données projet'!$E$11+1,1))</f>
        <v>310.4018929413723</v>
      </c>
      <c r="BJ81" s="59">
        <f t="shared" si="92"/>
        <v>127.5231137583819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1.5557776900254816</v>
      </c>
      <c r="BR81" s="21">
        <f>EXP(-LN(2)/2)*BR80+(1-EXP(-LN(2)/2))/(LN(2)/2)*BL81*BO81*VLOOKUP('Données projet'!$B$11,Paramètres!$A$1:$I$89,3,0)*0.475*44/12</f>
        <v>5.3228767725488635E-7</v>
      </c>
      <c r="BS81" s="22">
        <f t="shared" si="63"/>
        <v>1.5557782223131589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418.20000000000005</v>
      </c>
      <c r="BZ81" s="13">
        <f>BY81*VLOOKUP('Données projet'!$B$12,Paramètres!$A$1:$I$89,3,0)*VLOOKUP('Données projet'!$B$12,Paramètres!$A$1:$I$89,5,0)</f>
        <v>228.33720000000002</v>
      </c>
      <c r="CA81" s="13">
        <f t="shared" si="93"/>
        <v>55.922993607595103</v>
      </c>
      <c r="CB81" s="20">
        <f t="shared" si="64"/>
        <v>495.08650386656154</v>
      </c>
      <c r="CC81" s="59">
        <f t="shared" si="65"/>
        <v>788.4198371998948</v>
      </c>
      <c r="CD81" s="59">
        <f ca="1">AVERAGE(OFFSET($CC$3,0,0,'Données projet'!$E$12+1,1))-AVERAGE(OFFSET($H$3,0,0,'Données projet'!$E$12+1,1))</f>
        <v>210.04871822652808</v>
      </c>
      <c r="CE81" s="59">
        <f t="shared" si="94"/>
        <v>250.17540614049324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2.8218920390389166</v>
      </c>
      <c r="CL81" s="21">
        <f>EXP(-LN(2)/25)*CL80+(1-EXP(-LN(2)/25))/(LN(2)/25)*Calculateur!CG81*Calculateur!CI81*VLOOKUP('Données projet'!$B$12,Paramètres!$A$1:$I$89,3,0)*0.475*44/12</f>
        <v>7.3543915850377681</v>
      </c>
      <c r="CM81" s="21">
        <f>EXP(-LN(2)/2)*CM80+(1-EXP(-LN(2)/2))/(LN(2)/2)*CG81*CJ81*VLOOKUP('Données projet'!$B$12,Paramètres!$A$1:$I$89,3,0)*0.475*44/12</f>
        <v>1.284711881718141E-6</v>
      </c>
      <c r="CN81" s="22">
        <f t="shared" si="66"/>
        <v>10.176284908788567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3.9</v>
      </c>
      <c r="N82" s="13">
        <f>IF('Données projet'!$A$36&gt;35,N81+M82-V81,IF(A82&lt;'Données projet'!$A$36,$K$205^A82,IF(A82='Données projet'!$A$36,'Données projet'!$B$36,N81+M82-V81)))</f>
        <v>338.09999999999951</v>
      </c>
      <c r="O82" s="13">
        <f>N82*VLOOKUP('Données projet'!$B$9,Paramètres!$A$1:$I$89,3,0)*VLOOKUP('Données projet'!$B$9,Paramètres!$A$1:$I$89,5,0)</f>
        <v>247.89491999999962</v>
      </c>
      <c r="P82" s="13">
        <f t="shared" si="87"/>
        <v>60.134948051747941</v>
      </c>
      <c r="Q82" s="20">
        <f t="shared" si="54"/>
        <v>536.48535352346028</v>
      </c>
      <c r="R82" s="59">
        <f t="shared" si="55"/>
        <v>829.81868685679365</v>
      </c>
      <c r="S82" s="59">
        <f ca="1">AVERAGE(OFFSET($R$3,0,0,'Données projet'!$E$9+1,1))-AVERAGE(OFFSET($H$3,0,0,'Données projet'!$E$9+1,1))</f>
        <v>234.09142087023463</v>
      </c>
      <c r="T82" s="59">
        <f t="shared" si="88"/>
        <v>278.990685815294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0.92447265216256658</v>
      </c>
      <c r="AA82" s="21">
        <f>EXP(-LN(2)/25)*AA81+(1-EXP(-LN(2)/25))/(LN(2)/25)*Calculateur!V82*Calculateur!X82*VLOOKUP('Données projet'!$B$9,Paramètres!$A$1:$I$89,3,0)*0.475*44/12</f>
        <v>3.9433962995340859</v>
      </c>
      <c r="AB82" s="21">
        <f>EXP(-LN(2)/2)*AB81+(1-EXP(-LN(2)/2))/(LN(2)/2)*V82*Y82*VLOOKUP('Données projet'!$B$9,Paramètres!$A$1:$I$89,3,0)*0.475*44/12</f>
        <v>9.3370525774432201E-7</v>
      </c>
      <c r="AC82" s="22">
        <f t="shared" si="57"/>
        <v>4.8678698854019107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-1.2710188457276673E-13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255.5374979188561</v>
      </c>
      <c r="AO82" s="59">
        <f t="shared" si="90"/>
        <v>343.10418468620901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1.1709065255790843</v>
      </c>
      <c r="AV82" s="21">
        <f>EXP(-LN(2)/25)*AV81+(1-EXP(-LN(2)/25))/(LN(2)/25)*Calculateur!AQ82*Calculateur!AS82*VLOOKUP('Données projet'!$B$10,Paramètres!$A$1:$I$89,3,0)*0.475*44/12</f>
        <v>4.1022407722105694</v>
      </c>
      <c r="AW82" s="21">
        <f>EXP(-LN(2)/2)*AW81+(1-EXP(-LN(2)/2))/(LN(2)/2)*AQ82*AT82*VLOOKUP('Données projet'!$B$10,Paramètres!$A$1:$I$89,3,0)*0.475*44/12</f>
        <v>7.1339950774400288E-8</v>
      </c>
      <c r="AX82" s="21">
        <f t="shared" si="60"/>
        <v>5.2731473691296049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10.1</v>
      </c>
      <c r="BD82" s="12">
        <f>IF('Données projet'!$A$88&gt;35,BD81+BC82-BL81,IF(A82&lt;'Données projet'!$A$88,$BA$205^A82,IF(A82='Données projet'!$A$88,'Données projet'!$B$88,BD81+BC82-BL81)))</f>
        <v>328.90000000000003</v>
      </c>
      <c r="BE82" s="13">
        <f>BD82*VLOOKUP('Données projet'!$B$11,Paramètres!$A$1:$I$89,3,0)*VLOOKUP('Données projet'!$B$11,Paramètres!$A$1:$I$89,5,0)</f>
        <v>282.19620000000009</v>
      </c>
      <c r="BF82" s="13">
        <f t="shared" si="91"/>
        <v>67.430917821301051</v>
      </c>
      <c r="BG82" s="20">
        <f t="shared" si="61"/>
        <v>608.93389687209947</v>
      </c>
      <c r="BH82" s="59">
        <f t="shared" si="62"/>
        <v>902.26723020543272</v>
      </c>
      <c r="BI82" s="59">
        <f ca="1">AVERAGE(OFFSET($BH$3,0,0,'Données projet'!$E$11+1,1))-AVERAGE(OFFSET($H$3,0,0,'Données projet'!$E$11+1,1))</f>
        <v>310.4018929413723</v>
      </c>
      <c r="BJ82" s="59">
        <f t="shared" si="92"/>
        <v>127.5231137583819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1.5132348672769418</v>
      </c>
      <c r="BR82" s="21">
        <f>EXP(-LN(2)/2)*BR81+(1-EXP(-LN(2)/2))/(LN(2)/2)*BL82*BO82*VLOOKUP('Données projet'!$B$11,Paramètres!$A$1:$I$89,3,0)*0.475*44/12</f>
        <v>3.7638422612896655E-7</v>
      </c>
      <c r="BS82" s="22">
        <f t="shared" si="63"/>
        <v>1.513235243661168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425.6</v>
      </c>
      <c r="BZ82" s="13">
        <f>BY82*VLOOKUP('Données projet'!$B$12,Paramètres!$A$1:$I$89,3,0)*VLOOKUP('Données projet'!$B$12,Paramètres!$A$1:$I$89,5,0)</f>
        <v>232.37760000000003</v>
      </c>
      <c r="CA82" s="13">
        <f t="shared" si="93"/>
        <v>56.7964661260323</v>
      </c>
      <c r="CB82" s="20">
        <f t="shared" si="64"/>
        <v>503.64483183617295</v>
      </c>
      <c r="CC82" s="59">
        <f t="shared" si="65"/>
        <v>796.97816516950627</v>
      </c>
      <c r="CD82" s="59">
        <f ca="1">AVERAGE(OFFSET($CC$3,0,0,'Données projet'!$E$12+1,1))-AVERAGE(OFFSET($H$3,0,0,'Données projet'!$E$12+1,1))</f>
        <v>210.04871822652808</v>
      </c>
      <c r="CE82" s="59">
        <f t="shared" si="94"/>
        <v>250.17540614049324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2.7665564573375545</v>
      </c>
      <c r="CL82" s="21">
        <f>EXP(-LN(2)/25)*CL81+(1-EXP(-LN(2)/25))/(LN(2)/25)*Calculateur!CG82*Calculateur!CI82*VLOOKUP('Données projet'!$B$12,Paramètres!$A$1:$I$89,3,0)*0.475*44/12</f>
        <v>7.1532853603942659</v>
      </c>
      <c r="CM82" s="21">
        <f>EXP(-LN(2)/2)*CM81+(1-EXP(-LN(2)/2))/(LN(2)/2)*CG82*CJ82*VLOOKUP('Données projet'!$B$12,Paramètres!$A$1:$I$89,3,0)*0.475*44/12</f>
        <v>9.0842848343382724E-7</v>
      </c>
      <c r="CN82" s="22">
        <f t="shared" si="66"/>
        <v>9.9198427261603026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342</v>
      </c>
      <c r="L83" s="12">
        <f>VLOOKUP(A83,'Données projet'!$A$35:$I$55,9,0)</f>
        <v>3.9</v>
      </c>
      <c r="M83" s="12">
        <f t="array" ref="M83">INDEX(L:L,MIN(IF(ISNUMBER(L83:L279),ROW(L83:L279),"")))</f>
        <v>3.9</v>
      </c>
      <c r="N83" s="13">
        <f>IF('Données projet'!$A$36&gt;35,N82+M83-V82,IF(A83&lt;'Données projet'!$A$36,$K$205^A83,IF(A83='Données projet'!$A$36,'Données projet'!$B$36,N82+M83-V82)))</f>
        <v>341.99999999999949</v>
      </c>
      <c r="O83" s="13">
        <f>N83*VLOOKUP('Données projet'!$B$9,Paramètres!$A$1:$I$89,3,0)*VLOOKUP('Données projet'!$B$9,Paramètres!$A$1:$I$89,5,0)</f>
        <v>250.75439999999963</v>
      </c>
      <c r="P83" s="13">
        <f t="shared" si="87"/>
        <v>60.747455918990774</v>
      </c>
      <c r="Q83" s="20">
        <f t="shared" si="54"/>
        <v>542.53239905890825</v>
      </c>
      <c r="R83" s="59">
        <f t="shared" si="55"/>
        <v>835.86573239224163</v>
      </c>
      <c r="S83" s="59">
        <f ca="1">AVERAGE(OFFSET($R$3,0,0,'Données projet'!$E$9+1,1))-AVERAGE(OFFSET($H$3,0,0,'Données projet'!$E$9+1,1))</f>
        <v>234.09142087023463</v>
      </c>
      <c r="T83" s="59">
        <f t="shared" si="88"/>
        <v>278.990685815294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342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0.90634430732629867</v>
      </c>
      <c r="AA83" s="21">
        <f>EXP(-LN(2)/25)*AA82+(1-EXP(-LN(2)/25))/(LN(2)/25)*Calculateur!V83*Calculateur!X83*VLOOKUP('Données projet'!$B$9,Paramètres!$A$1:$I$89,3,0)*0.475*44/12</f>
        <v>3.8355639203491276</v>
      </c>
      <c r="AB83" s="21">
        <f>EXP(-LN(2)/2)*AB82+(1-EXP(-LN(2)/2))/(LN(2)/2)*V83*Y83*VLOOKUP('Données projet'!$B$9,Paramètres!$A$1:$I$89,3,0)*0.475*44/12</f>
        <v>6.6022931938054331E-7</v>
      </c>
      <c r="AC83" s="22">
        <f t="shared" si="57"/>
        <v>4.7419088879047457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-1.2710188457276673E-13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255.5374979188561</v>
      </c>
      <c r="AO83" s="59">
        <f t="shared" si="90"/>
        <v>343.10418468620901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1.1479457627949394</v>
      </c>
      <c r="AV83" s="21">
        <f>EXP(-LN(2)/25)*AV82+(1-EXP(-LN(2)/25))/(LN(2)/25)*Calculateur!AQ83*Calculateur!AS83*VLOOKUP('Données projet'!$B$10,Paramètres!$A$1:$I$89,3,0)*0.475*44/12</f>
        <v>3.9900647825670048</v>
      </c>
      <c r="AW83" s="21">
        <f>EXP(-LN(2)/2)*AW82+(1-EXP(-LN(2)/2))/(LN(2)/2)*AQ83*AT83*VLOOKUP('Données projet'!$B$10,Paramètres!$A$1:$I$89,3,0)*0.475*44/12</f>
        <v>5.0444962962092937E-8</v>
      </c>
      <c r="AX83" s="21">
        <f t="shared" si="60"/>
        <v>5.1380105958069073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339</v>
      </c>
      <c r="BB83" s="12">
        <f>VLOOKUP(A83,'Données projet'!$A$87:$I$107,9,0)</f>
        <v>10.1</v>
      </c>
      <c r="BC83" s="12">
        <f t="array" ref="BC83">INDEX(BB:BB,MIN(IF(ISNUMBER(BB83:BB279),ROW(BB83:BB279),"")))</f>
        <v>10.1</v>
      </c>
      <c r="BD83" s="12">
        <f>IF('Données projet'!$A$88&gt;35,BD82+BC83-BL82,IF(A83&lt;'Données projet'!$A$88,$BA$205^A83,IF(A83='Données projet'!$A$88,'Données projet'!$B$88,BD82+BC83-BL82)))</f>
        <v>339.00000000000006</v>
      </c>
      <c r="BE83" s="13">
        <f>BD83*VLOOKUP('Données projet'!$B$11,Paramètres!$A$1:$I$89,3,0)*VLOOKUP('Données projet'!$B$11,Paramètres!$A$1:$I$89,5,0)</f>
        <v>290.86200000000008</v>
      </c>
      <c r="BF83" s="13">
        <f t="shared" si="91"/>
        <v>69.257352497482572</v>
      </c>
      <c r="BG83" s="20">
        <f t="shared" si="61"/>
        <v>627.20787226644893</v>
      </c>
      <c r="BH83" s="59">
        <f t="shared" si="62"/>
        <v>920.54120559978219</v>
      </c>
      <c r="BI83" s="59">
        <f ca="1">AVERAGE(OFFSET($BH$3,0,0,'Données projet'!$E$11+1,1))-AVERAGE(OFFSET($H$3,0,0,'Données projet'!$E$11+1,1))</f>
        <v>310.4018929413723</v>
      </c>
      <c r="BJ83" s="59">
        <f t="shared" si="92"/>
        <v>127.5231137583819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69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1.4718553802536907</v>
      </c>
      <c r="BR83" s="21">
        <f>EXP(-LN(2)/2)*BR82+(1-EXP(-LN(2)/2))/(LN(2)/2)*BL83*BO83*VLOOKUP('Données projet'!$B$11,Paramètres!$A$1:$I$89,3,0)*0.475*44/12</f>
        <v>2.6614383862744317E-7</v>
      </c>
      <c r="BS83" s="22">
        <f t="shared" si="63"/>
        <v>1.4718556463975292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433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433</v>
      </c>
      <c r="BZ83" s="13">
        <f>BY83*VLOOKUP('Données projet'!$B$12,Paramètres!$A$1:$I$89,3,0)*VLOOKUP('Données projet'!$B$12,Paramètres!$A$1:$I$89,5,0)</f>
        <v>236.41799999999998</v>
      </c>
      <c r="CA83" s="13">
        <f t="shared" si="93"/>
        <v>57.668172541352746</v>
      </c>
      <c r="CB83" s="20">
        <f t="shared" si="64"/>
        <v>512.20008384285597</v>
      </c>
      <c r="CC83" s="59">
        <f t="shared" si="65"/>
        <v>805.53341717618923</v>
      </c>
      <c r="CD83" s="59">
        <f ca="1">AVERAGE(OFFSET($CC$3,0,0,'Données projet'!$E$12+1,1))-AVERAGE(OFFSET($H$3,0,0,'Données projet'!$E$12+1,1))</f>
        <v>210.04871822652808</v>
      </c>
      <c r="CE83" s="59">
        <f t="shared" si="94"/>
        <v>250.17540614049324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433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2.712305972641984</v>
      </c>
      <c r="CL83" s="21">
        <f>EXP(-LN(2)/25)*CL82+(1-EXP(-LN(2)/25))/(LN(2)/25)*Calculateur!CG83*Calculateur!CI83*VLOOKUP('Données projet'!$B$12,Paramètres!$A$1:$I$89,3,0)*0.475*44/12</f>
        <v>6.9576783960393564</v>
      </c>
      <c r="CM83" s="21">
        <f>EXP(-LN(2)/2)*CM82+(1-EXP(-LN(2)/2))/(LN(2)/2)*CG83*CJ83*VLOOKUP('Données projet'!$B$12,Paramètres!$A$1:$I$89,3,0)*0.475*44/12</f>
        <v>6.4235594085907048E-7</v>
      </c>
      <c r="CN83" s="22">
        <f t="shared" si="66"/>
        <v>9.6699850110372818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-5.1159076974727213E-13</v>
      </c>
      <c r="O84" s="13">
        <f>N84*VLOOKUP('Données projet'!$B$9,Paramètres!$A$1:$I$89,3,0)*VLOOKUP('Données projet'!$B$9,Paramètres!$A$1:$I$89,5,0)</f>
        <v>-3.7509835237869992E-13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234.09142087023463</v>
      </c>
      <c r="T84" s="59">
        <f t="shared" si="88"/>
        <v>278.990685815294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0.8885714482750714</v>
      </c>
      <c r="AA84" s="21">
        <f>EXP(-LN(2)/25)*AA83+(1-EXP(-LN(2)/25))/(LN(2)/25)*Calculateur!V84*Calculateur!X84*VLOOKUP('Données projet'!$B$9,Paramètres!$A$1:$I$89,3,0)*0.475*44/12</f>
        <v>3.7306802232436405</v>
      </c>
      <c r="AB84" s="21">
        <f>EXP(-LN(2)/2)*AB83+(1-EXP(-LN(2)/2))/(LN(2)/2)*V84*Y84*VLOOKUP('Données projet'!$B$9,Paramètres!$A$1:$I$89,3,0)*0.475*44/12</f>
        <v>4.6685262887216106E-7</v>
      </c>
      <c r="AC84" s="22">
        <f t="shared" si="57"/>
        <v>4.6192521383713405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-1.2710188457276673E-13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255.5374979188561</v>
      </c>
      <c r="AO84" s="59">
        <f t="shared" si="90"/>
        <v>343.10418468620901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1.1254352465643092</v>
      </c>
      <c r="AV84" s="21">
        <f>EXP(-LN(2)/25)*AV83+(1-EXP(-LN(2)/25))/(LN(2)/25)*Calculateur!AQ84*Calculateur!AS84*VLOOKUP('Données projet'!$B$10,Paramètres!$A$1:$I$89,3,0)*0.475*44/12</f>
        <v>3.8809562512593225</v>
      </c>
      <c r="AW84" s="21">
        <f>EXP(-LN(2)/2)*AW83+(1-EXP(-LN(2)/2))/(LN(2)/2)*AQ84*AT84*VLOOKUP('Données projet'!$B$10,Paramètres!$A$1:$I$89,3,0)*0.475*44/12</f>
        <v>3.5669975387200144E-8</v>
      </c>
      <c r="AX84" s="21">
        <f t="shared" si="60"/>
        <v>5.0063915334936073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9.1</v>
      </c>
      <c r="BD84" s="12">
        <f>IF('Données projet'!$A$88&gt;35,BD83+BC84-BL83,IF(A84&lt;'Données projet'!$A$88,$BA$205^A84,IF(A84='Données projet'!$A$88,'Données projet'!$B$88,BD83+BC84-BL83)))</f>
        <v>279.10000000000008</v>
      </c>
      <c r="BE84" s="13">
        <f>BD84*VLOOKUP('Données projet'!$B$11,Paramètres!$A$1:$I$89,3,0)*VLOOKUP('Données projet'!$B$11,Paramètres!$A$1:$I$89,5,0)</f>
        <v>239.4678000000001</v>
      </c>
      <c r="BF84" s="13">
        <f t="shared" si="91"/>
        <v>58.325010269552514</v>
      </c>
      <c r="BG84" s="20">
        <f t="shared" si="61"/>
        <v>518.65581121947082</v>
      </c>
      <c r="BH84" s="59">
        <f t="shared" si="62"/>
        <v>811.98914455280419</v>
      </c>
      <c r="BI84" s="59">
        <f ca="1">AVERAGE(OFFSET($BH$3,0,0,'Données projet'!$E$11+1,1))-AVERAGE(OFFSET($H$3,0,0,'Données projet'!$E$11+1,1))</f>
        <v>310.4018929413723</v>
      </c>
      <c r="BJ84" s="59">
        <f t="shared" si="92"/>
        <v>127.5231137583819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1.4316074174791431</v>
      </c>
      <c r="BR84" s="21">
        <f>EXP(-LN(2)/2)*BR83+(1-EXP(-LN(2)/2))/(LN(2)/2)*BL84*BO84*VLOOKUP('Données projet'!$B$11,Paramètres!$A$1:$I$89,3,0)*0.475*44/12</f>
        <v>1.8819211306448328E-7</v>
      </c>
      <c r="BS84" s="22">
        <f t="shared" si="63"/>
        <v>1.4316076056712561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210.04871822652808</v>
      </c>
      <c r="CE84" s="59">
        <f t="shared" si="94"/>
        <v>250.17540614049324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2.6591193068617653</v>
      </c>
      <c r="CL84" s="21">
        <f>EXP(-LN(2)/25)*CL83+(1-EXP(-LN(2)/25))/(LN(2)/25)*Calculateur!CG84*Calculateur!CI84*VLOOKUP('Données projet'!$B$12,Paramètres!$A$1:$I$89,3,0)*0.475*44/12</f>
        <v>6.7674203144112557</v>
      </c>
      <c r="CM84" s="21">
        <f>EXP(-LN(2)/2)*CM83+(1-EXP(-LN(2)/2))/(LN(2)/2)*CG84*CJ84*VLOOKUP('Données projet'!$B$12,Paramètres!$A$1:$I$89,3,0)*0.475*44/12</f>
        <v>4.5421424171691362E-7</v>
      </c>
      <c r="CN84" s="22">
        <f t="shared" si="66"/>
        <v>9.4265400754872619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-5.1159076974727213E-13</v>
      </c>
      <c r="O85" s="13">
        <f>N85*VLOOKUP('Données projet'!$B$9,Paramètres!$A$1:$I$89,3,0)*VLOOKUP('Données projet'!$B$9,Paramètres!$A$1:$I$89,5,0)</f>
        <v>-3.7509835237869992E-13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234.09142087023463</v>
      </c>
      <c r="T85" s="59">
        <f t="shared" si="88"/>
        <v>278.990685815294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0.87114710414946506</v>
      </c>
      <c r="AA85" s="21">
        <f>EXP(-LN(2)/25)*AA84+(1-EXP(-LN(2)/25))/(LN(2)/25)*Calculateur!V85*Calculateur!X85*VLOOKUP('Données projet'!$B$9,Paramètres!$A$1:$I$89,3,0)*0.475*44/12</f>
        <v>3.6286645763510967</v>
      </c>
      <c r="AB85" s="21">
        <f>EXP(-LN(2)/2)*AB84+(1-EXP(-LN(2)/2))/(LN(2)/2)*V85*Y85*VLOOKUP('Données projet'!$B$9,Paramètres!$A$1:$I$89,3,0)*0.475*44/12</f>
        <v>3.3011465969027171E-7</v>
      </c>
      <c r="AC85" s="22">
        <f t="shared" si="57"/>
        <v>4.499812010615222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-1.2710188457276673E-13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255.5374979188561</v>
      </c>
      <c r="AO85" s="59">
        <f t="shared" si="90"/>
        <v>343.10418468620901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1.1033661478269023</v>
      </c>
      <c r="AV85" s="21">
        <f>EXP(-LN(2)/25)*AV84+(1-EXP(-LN(2)/25))/(LN(2)/25)*Calculateur!AQ85*Calculateur!AS85*VLOOKUP('Données projet'!$B$10,Paramètres!$A$1:$I$89,3,0)*0.475*44/12</f>
        <v>3.7748312984780172</v>
      </c>
      <c r="AW85" s="21">
        <f>EXP(-LN(2)/2)*AW84+(1-EXP(-LN(2)/2))/(LN(2)/2)*AQ85*AT85*VLOOKUP('Données projet'!$B$10,Paramètres!$A$1:$I$89,3,0)*0.475*44/12</f>
        <v>2.5222481481046469E-8</v>
      </c>
      <c r="AX85" s="21">
        <f t="shared" si="60"/>
        <v>4.8781974715274012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9.1</v>
      </c>
      <c r="BD85" s="12">
        <f>IF('Données projet'!$A$88&gt;35,BD84+BC85-BL84,IF(A85&lt;'Données projet'!$A$88,$BA$205^A85,IF(A85='Données projet'!$A$88,'Données projet'!$B$88,BD84+BC85-BL84)))</f>
        <v>288.2000000000001</v>
      </c>
      <c r="BE85" s="13">
        <f>BD85*VLOOKUP('Données projet'!$B$11,Paramètres!$A$1:$I$89,3,0)*VLOOKUP('Données projet'!$B$11,Paramètres!$A$1:$I$89,5,0)</f>
        <v>247.27560000000014</v>
      </c>
      <c r="BF85" s="13">
        <f t="shared" si="91"/>
        <v>60.002180078120453</v>
      </c>
      <c r="BG85" s="20">
        <f t="shared" si="61"/>
        <v>535.17546696939337</v>
      </c>
      <c r="BH85" s="59">
        <f t="shared" si="62"/>
        <v>828.50880030272674</v>
      </c>
      <c r="BI85" s="59">
        <f ca="1">AVERAGE(OFFSET($BH$3,0,0,'Données projet'!$E$11+1,1))-AVERAGE(OFFSET($H$3,0,0,'Données projet'!$E$11+1,1))</f>
        <v>310.4018929413723</v>
      </c>
      <c r="BJ85" s="59">
        <f t="shared" si="92"/>
        <v>127.5231137583819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1.3924600373632139</v>
      </c>
      <c r="BR85" s="21">
        <f>EXP(-LN(2)/2)*BR84+(1-EXP(-LN(2)/2))/(LN(2)/2)*BL85*BO85*VLOOKUP('Données projet'!$B$11,Paramètres!$A$1:$I$89,3,0)*0.475*44/12</f>
        <v>1.3307191931372159E-7</v>
      </c>
      <c r="BS85" s="22">
        <f t="shared" si="63"/>
        <v>1.3924601704351331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210.04871822652808</v>
      </c>
      <c r="CE85" s="59">
        <f t="shared" si="94"/>
        <v>250.17540614049324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2.6069755991568337</v>
      </c>
      <c r="CL85" s="21">
        <f>EXP(-LN(2)/25)*CL84+(1-EXP(-LN(2)/25))/(LN(2)/25)*Calculateur!CG85*Calculateur!CI85*VLOOKUP('Données projet'!$B$12,Paramètres!$A$1:$I$89,3,0)*0.475*44/12</f>
        <v>6.5823648500305127</v>
      </c>
      <c r="CM85" s="21">
        <f>EXP(-LN(2)/2)*CM84+(1-EXP(-LN(2)/2))/(LN(2)/2)*CG85*CJ85*VLOOKUP('Données projet'!$B$12,Paramètres!$A$1:$I$89,3,0)*0.475*44/12</f>
        <v>3.2117797042953524E-7</v>
      </c>
      <c r="CN85" s="22">
        <f t="shared" si="66"/>
        <v>9.189340770365316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-5.1159076974727213E-13</v>
      </c>
      <c r="O86" s="13">
        <f>N86*VLOOKUP('Données projet'!$B$9,Paramètres!$A$1:$I$89,3,0)*VLOOKUP('Données projet'!$B$9,Paramètres!$A$1:$I$89,5,0)</f>
        <v>-3.7509835237869992E-13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234.09142087023463</v>
      </c>
      <c r="T86" s="59">
        <f t="shared" si="88"/>
        <v>278.990685815294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0.85406444078436139</v>
      </c>
      <c r="AA86" s="21">
        <f>EXP(-LN(2)/25)*AA85+(1-EXP(-LN(2)/25))/(LN(2)/25)*Calculateur!V86*Calculateur!X86*VLOOKUP('Données projet'!$B$9,Paramètres!$A$1:$I$89,3,0)*0.475*44/12</f>
        <v>3.5294385526875995</v>
      </c>
      <c r="AB86" s="21">
        <f>EXP(-LN(2)/2)*AB85+(1-EXP(-LN(2)/2))/(LN(2)/2)*V86*Y86*VLOOKUP('Données projet'!$B$9,Paramètres!$A$1:$I$89,3,0)*0.475*44/12</f>
        <v>2.3342631443608058E-7</v>
      </c>
      <c r="AC86" s="22">
        <f t="shared" si="57"/>
        <v>4.3835032268982754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-1.2710188457276673E-13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255.5374979188561</v>
      </c>
      <c r="AO86" s="59">
        <f t="shared" si="90"/>
        <v>343.10418468620901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1.0817298106549151</v>
      </c>
      <c r="AV86" s="21">
        <f>EXP(-LN(2)/25)*AV85+(1-EXP(-LN(2)/25))/(LN(2)/25)*Calculateur!AQ86*Calculateur!AS86*VLOOKUP('Données projet'!$B$10,Paramètres!$A$1:$I$89,3,0)*0.475*44/12</f>
        <v>3.6716083381113855</v>
      </c>
      <c r="AW86" s="21">
        <f>EXP(-LN(2)/2)*AW85+(1-EXP(-LN(2)/2))/(LN(2)/2)*AQ86*AT86*VLOOKUP('Données projet'!$B$10,Paramètres!$A$1:$I$89,3,0)*0.475*44/12</f>
        <v>1.7834987693600072E-8</v>
      </c>
      <c r="AX86" s="21">
        <f t="shared" si="60"/>
        <v>4.7533381666012886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9.1</v>
      </c>
      <c r="BD86" s="12">
        <f>IF('Données projet'!$A$88&gt;35,BD85+BC86-BL85,IF(A86&lt;'Données projet'!$A$88,$BA$205^A86,IF(A86='Données projet'!$A$88,'Données projet'!$B$88,BD85+BC86-BL85)))</f>
        <v>297.30000000000013</v>
      </c>
      <c r="BE86" s="13">
        <f>BD86*VLOOKUP('Données projet'!$B$11,Paramètres!$A$1:$I$89,3,0)*VLOOKUP('Données projet'!$B$11,Paramètres!$A$1:$I$89,5,0)</f>
        <v>255.08340000000013</v>
      </c>
      <c r="BF86" s="13">
        <f t="shared" si="91"/>
        <v>61.673195910218489</v>
      </c>
      <c r="BG86" s="20">
        <f t="shared" si="61"/>
        <v>551.68440454363065</v>
      </c>
      <c r="BH86" s="59">
        <f t="shared" si="62"/>
        <v>845.01773787696402</v>
      </c>
      <c r="BI86" s="59">
        <f ca="1">AVERAGE(OFFSET($BH$3,0,0,'Données projet'!$E$11+1,1))-AVERAGE(OFFSET($H$3,0,0,'Données projet'!$E$11+1,1))</f>
        <v>310.4018929413723</v>
      </c>
      <c r="BJ86" s="59">
        <f t="shared" si="92"/>
        <v>127.5231137583819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1.3543831444152259</v>
      </c>
      <c r="BR86" s="21">
        <f>EXP(-LN(2)/2)*BR85+(1-EXP(-LN(2)/2))/(LN(2)/2)*BL86*BO86*VLOOKUP('Données projet'!$B$11,Paramètres!$A$1:$I$89,3,0)*0.475*44/12</f>
        <v>9.4096056532241638E-8</v>
      </c>
      <c r="BS86" s="22">
        <f t="shared" si="63"/>
        <v>1.3543832385112824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210.04871822652808</v>
      </c>
      <c r="CE86" s="59">
        <f t="shared" si="94"/>
        <v>250.17540614049324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2.5558543977554744</v>
      </c>
      <c r="CL86" s="21">
        <f>EXP(-LN(2)/25)*CL85+(1-EXP(-LN(2)/25))/(LN(2)/25)*Calculateur!CG86*Calculateur!CI86*VLOOKUP('Données projet'!$B$12,Paramètres!$A$1:$I$89,3,0)*0.475*44/12</f>
        <v>6.4023697370549053</v>
      </c>
      <c r="CM86" s="21">
        <f>EXP(-LN(2)/2)*CM85+(1-EXP(-LN(2)/2))/(LN(2)/2)*CG86*CJ86*VLOOKUP('Données projet'!$B$12,Paramètres!$A$1:$I$89,3,0)*0.475*44/12</f>
        <v>2.2710712085845681E-7</v>
      </c>
      <c r="CN86" s="22">
        <f t="shared" si="66"/>
        <v>8.9582243619174999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-5.1159076974727213E-13</v>
      </c>
      <c r="O87" s="13">
        <f>N87*VLOOKUP('Données projet'!$B$9,Paramètres!$A$1:$I$89,3,0)*VLOOKUP('Données projet'!$B$9,Paramètres!$A$1:$I$89,5,0)</f>
        <v>-3.7509835237869992E-13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234.09142087023463</v>
      </c>
      <c r="T87" s="59">
        <f t="shared" si="88"/>
        <v>278.990685815294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0.83731675802845162</v>
      </c>
      <c r="AA87" s="21">
        <f>EXP(-LN(2)/25)*AA86+(1-EXP(-LN(2)/25))/(LN(2)/25)*Calculateur!V87*Calculateur!X87*VLOOKUP('Données projet'!$B$9,Paramètres!$A$1:$I$89,3,0)*0.475*44/12</f>
        <v>3.4329258698592504</v>
      </c>
      <c r="AB87" s="21">
        <f>EXP(-LN(2)/2)*AB86+(1-EXP(-LN(2)/2))/(LN(2)/2)*V87*Y87*VLOOKUP('Données projet'!$B$9,Paramètres!$A$1:$I$89,3,0)*0.475*44/12</f>
        <v>1.6505732984513588E-7</v>
      </c>
      <c r="AC87" s="22">
        <f t="shared" si="57"/>
        <v>4.270242792945032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-1.2710188457276673E-13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255.5374979188561</v>
      </c>
      <c r="AO87" s="59">
        <f t="shared" si="90"/>
        <v>343.10418468620901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1.060517748858008</v>
      </c>
      <c r="AV87" s="21">
        <f>EXP(-LN(2)/25)*AV86+(1-EXP(-LN(2)/25))/(LN(2)/25)*Calculateur!AQ87*Calculateur!AS87*VLOOKUP('Données projet'!$B$10,Paramètres!$A$1:$I$89,3,0)*0.475*44/12</f>
        <v>3.5712080150242387</v>
      </c>
      <c r="AW87" s="21">
        <f>EXP(-LN(2)/2)*AW86+(1-EXP(-LN(2)/2))/(LN(2)/2)*AQ87*AT87*VLOOKUP('Données projet'!$B$10,Paramètres!$A$1:$I$89,3,0)*0.475*44/12</f>
        <v>1.2611240740523234E-8</v>
      </c>
      <c r="AX87" s="21">
        <f t="shared" si="60"/>
        <v>4.6317257764934876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9.1</v>
      </c>
      <c r="BD87" s="12">
        <f>IF('Données projet'!$A$88&gt;35,BD86+BC87-BL86,IF(A87&lt;'Données projet'!$A$88,$BA$205^A87,IF(A87='Données projet'!$A$88,'Données projet'!$B$88,BD86+BC87-BL86)))</f>
        <v>306.40000000000015</v>
      </c>
      <c r="BE87" s="13">
        <f>BD87*VLOOKUP('Données projet'!$B$11,Paramètres!$A$1:$I$89,3,0)*VLOOKUP('Données projet'!$B$11,Paramètres!$A$1:$I$89,5,0)</f>
        <v>262.89120000000014</v>
      </c>
      <c r="BF87" s="13">
        <f t="shared" si="91"/>
        <v>63.338267749887194</v>
      </c>
      <c r="BG87" s="20">
        <f t="shared" si="61"/>
        <v>568.18298966438704</v>
      </c>
      <c r="BH87" s="59">
        <f t="shared" si="62"/>
        <v>861.51632299772041</v>
      </c>
      <c r="BI87" s="59">
        <f ca="1">AVERAGE(OFFSET($BH$3,0,0,'Données projet'!$E$11+1,1))-AVERAGE(OFFSET($H$3,0,0,'Données projet'!$E$11+1,1))</f>
        <v>310.4018929413723</v>
      </c>
      <c r="BJ87" s="59">
        <f t="shared" si="92"/>
        <v>127.5231137583819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1.3173474661072775</v>
      </c>
      <c r="BR87" s="21">
        <f>EXP(-LN(2)/2)*BR86+(1-EXP(-LN(2)/2))/(LN(2)/2)*BL87*BO87*VLOOKUP('Données projet'!$B$11,Paramètres!$A$1:$I$89,3,0)*0.475*44/12</f>
        <v>6.6535959656860794E-8</v>
      </c>
      <c r="BS87" s="22">
        <f t="shared" si="63"/>
        <v>1.3173475326432371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210.04871822652808</v>
      </c>
      <c r="CE87" s="59">
        <f t="shared" si="94"/>
        <v>250.17540614049324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2.5057356519327421</v>
      </c>
      <c r="CL87" s="21">
        <f>EXP(-LN(2)/25)*CL86+(1-EXP(-LN(2)/25))/(LN(2)/25)*Calculateur!CG87*Calculateur!CI87*VLOOKUP('Données projet'!$B$12,Paramètres!$A$1:$I$89,3,0)*0.475*44/12</f>
        <v>6.2272965999091472</v>
      </c>
      <c r="CM87" s="21">
        <f>EXP(-LN(2)/2)*CM86+(1-EXP(-LN(2)/2))/(LN(2)/2)*CG87*CJ87*VLOOKUP('Données projet'!$B$12,Paramètres!$A$1:$I$89,3,0)*0.475*44/12</f>
        <v>1.6058898521476762E-7</v>
      </c>
      <c r="CN87" s="22">
        <f t="shared" si="66"/>
        <v>8.7330324124308749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-5.1159076974727213E-13</v>
      </c>
      <c r="O88" s="13">
        <f>N88*VLOOKUP('Données projet'!$B$9,Paramètres!$A$1:$I$89,3,0)*VLOOKUP('Données projet'!$B$9,Paramètres!$A$1:$I$89,5,0)</f>
        <v>-3.7509835237869992E-13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234.09142087023463</v>
      </c>
      <c r="T88" s="59">
        <f t="shared" si="88"/>
        <v>278.990685815294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0.82089748711630739</v>
      </c>
      <c r="AA88" s="21">
        <f>EXP(-LN(2)/25)*AA87+(1-EXP(-LN(2)/25))/(LN(2)/25)*Calculateur!V88*Calculateur!X88*VLOOKUP('Données projet'!$B$9,Paramètres!$A$1:$I$89,3,0)*0.475*44/12</f>
        <v>3.3390523314182237</v>
      </c>
      <c r="AB88" s="21">
        <f>EXP(-LN(2)/2)*AB87+(1-EXP(-LN(2)/2))/(LN(2)/2)*V88*Y88*VLOOKUP('Données projet'!$B$9,Paramètres!$A$1:$I$89,3,0)*0.475*44/12</f>
        <v>1.167131572180403E-7</v>
      </c>
      <c r="AC88" s="22">
        <f t="shared" si="57"/>
        <v>4.1599499352476883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-1.2710188457276673E-13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255.5374979188561</v>
      </c>
      <c r="AO88" s="59">
        <f t="shared" si="90"/>
        <v>343.10418468620901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1.0397216426548579</v>
      </c>
      <c r="AV88" s="21">
        <f>EXP(-LN(2)/25)*AV87+(1-EXP(-LN(2)/25))/(LN(2)/25)*Calculateur!AQ88*Calculateur!AS88*VLOOKUP('Données projet'!$B$10,Paramètres!$A$1:$I$89,3,0)*0.475*44/12</f>
        <v>3.4735531440517335</v>
      </c>
      <c r="AW88" s="21">
        <f>EXP(-LN(2)/2)*AW87+(1-EXP(-LN(2)/2))/(LN(2)/2)*AQ88*AT88*VLOOKUP('Données projet'!$B$10,Paramètres!$A$1:$I$89,3,0)*0.475*44/12</f>
        <v>8.9174938468000361E-9</v>
      </c>
      <c r="AX88" s="21">
        <f t="shared" si="60"/>
        <v>4.5132747956240848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</v>
      </c>
      <c r="BD88" s="12">
        <f>IF('Données projet'!$A$88&gt;35,BD87+BC88-BL87,IF(A88&lt;'Données projet'!$A$88,$BA$205^A88,IF(A88='Données projet'!$A$88,'Données projet'!$B$88,BD87+BC88-BL87)))</f>
        <v>315.50000000000017</v>
      </c>
      <c r="BE88" s="13">
        <f>BD88*VLOOKUP('Données projet'!$B$11,Paramètres!$A$1:$I$89,3,0)*VLOOKUP('Données projet'!$B$11,Paramètres!$A$1:$I$89,5,0)</f>
        <v>270.69900000000018</v>
      </c>
      <c r="BF88" s="13">
        <f t="shared" si="91"/>
        <v>64.99759239921724</v>
      </c>
      <c r="BG88" s="20">
        <f t="shared" si="61"/>
        <v>584.67156509530366</v>
      </c>
      <c r="BH88" s="59">
        <f t="shared" si="62"/>
        <v>878.00489842863703</v>
      </c>
      <c r="BI88" s="59">
        <f ca="1">AVERAGE(OFFSET($BH$3,0,0,'Données projet'!$E$11+1,1))-AVERAGE(OFFSET($H$3,0,0,'Données projet'!$E$11+1,1))</f>
        <v>310.4018929413723</v>
      </c>
      <c r="BJ88" s="59">
        <f t="shared" si="92"/>
        <v>127.5231137583819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1.2813245303702816</v>
      </c>
      <c r="BR88" s="21">
        <f>EXP(-LN(2)/2)*BR87+(1-EXP(-LN(2)/2))/(LN(2)/2)*BL88*BO88*VLOOKUP('Données projet'!$B$11,Paramètres!$A$1:$I$89,3,0)*0.475*44/12</f>
        <v>4.7048028266120819E-8</v>
      </c>
      <c r="BS88" s="22">
        <f t="shared" si="63"/>
        <v>1.28132457741831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210.04871822652808</v>
      </c>
      <c r="CE88" s="59">
        <f t="shared" si="94"/>
        <v>250.17540614049324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2.4565997041461767</v>
      </c>
      <c r="CL88" s="21">
        <f>EXP(-LN(2)/25)*CL87+(1-EXP(-LN(2)/25))/(LN(2)/25)*Calculateur!CG88*Calculateur!CI88*VLOOKUP('Données projet'!$B$12,Paramètres!$A$1:$I$89,3,0)*0.475*44/12</f>
        <v>6.0570108469053361</v>
      </c>
      <c r="CM88" s="21">
        <f>EXP(-LN(2)/2)*CM87+(1-EXP(-LN(2)/2))/(LN(2)/2)*CG88*CJ88*VLOOKUP('Données projet'!$B$12,Paramètres!$A$1:$I$89,3,0)*0.475*44/12</f>
        <v>1.135535604292284E-7</v>
      </c>
      <c r="CN88" s="22">
        <f t="shared" si="66"/>
        <v>8.5136106646050749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-5.1159076974727213E-13</v>
      </c>
      <c r="O89" s="13">
        <f>N89*VLOOKUP('Données projet'!$B$9,Paramètres!$A$1:$I$89,3,0)*VLOOKUP('Données projet'!$B$9,Paramètres!$A$1:$I$89,5,0)</f>
        <v>-3.7509835237869992E-13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234.09142087023463</v>
      </c>
      <c r="T89" s="59">
        <f t="shared" si="88"/>
        <v>278.990685815294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0.80480018809198395</v>
      </c>
      <c r="AA89" s="21">
        <f>EXP(-LN(2)/25)*AA88+(1-EXP(-LN(2)/25))/(LN(2)/25)*Calculateur!V89*Calculateur!X89*VLOOKUP('Données projet'!$B$9,Paramètres!$A$1:$I$89,3,0)*0.475*44/12</f>
        <v>3.2477457698224619</v>
      </c>
      <c r="AB89" s="21">
        <f>EXP(-LN(2)/2)*AB88+(1-EXP(-LN(2)/2))/(LN(2)/2)*V89*Y89*VLOOKUP('Données projet'!$B$9,Paramètres!$A$1:$I$89,3,0)*0.475*44/12</f>
        <v>8.2528664922567954E-8</v>
      </c>
      <c r="AC89" s="22">
        <f t="shared" si="57"/>
        <v>4.0525460404431106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-1.2710188457276673E-13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255.5374979188561</v>
      </c>
      <c r="AO89" s="59">
        <f t="shared" si="90"/>
        <v>343.10418468620901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1.0193333354099794</v>
      </c>
      <c r="AV89" s="21">
        <f>EXP(-LN(2)/25)*AV88+(1-EXP(-LN(2)/25))/(LN(2)/25)*Calculateur!AQ89*Calculateur!AS89*VLOOKUP('Données projet'!$B$10,Paramètres!$A$1:$I$89,3,0)*0.475*44/12</f>
        <v>3.3785686506614181</v>
      </c>
      <c r="AW89" s="21">
        <f>EXP(-LN(2)/2)*AW88+(1-EXP(-LN(2)/2))/(LN(2)/2)*AQ89*AT89*VLOOKUP('Données projet'!$B$10,Paramètres!$A$1:$I$89,3,0)*0.475*44/12</f>
        <v>6.3056203702616171E-9</v>
      </c>
      <c r="AX89" s="21">
        <f t="shared" si="60"/>
        <v>4.397901992377018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</v>
      </c>
      <c r="BD89" s="12">
        <f>IF('Données projet'!$A$88&gt;35,BD88+BC89-BL88,IF(A89&lt;'Données projet'!$A$88,$BA$205^A89,IF(A89='Données projet'!$A$88,'Données projet'!$B$88,BD88+BC89-BL88)))</f>
        <v>324.60000000000019</v>
      </c>
      <c r="BE89" s="13">
        <f>BD89*VLOOKUP('Données projet'!$B$11,Paramètres!$A$1:$I$89,3,0)*VLOOKUP('Données projet'!$B$11,Paramètres!$A$1:$I$89,5,0)</f>
        <v>278.50680000000017</v>
      </c>
      <c r="BF89" s="13">
        <f t="shared" si="91"/>
        <v>66.65135466191002</v>
      </c>
      <c r="BG89" s="20">
        <f t="shared" si="61"/>
        <v>601.1504527028269</v>
      </c>
      <c r="BH89" s="59">
        <f t="shared" si="62"/>
        <v>894.48378603616015</v>
      </c>
      <c r="BI89" s="59">
        <f ca="1">AVERAGE(OFFSET($BH$3,0,0,'Données projet'!$E$11+1,1))-AVERAGE(OFFSET($H$3,0,0,'Données projet'!$E$11+1,1))</f>
        <v>310.4018929413723</v>
      </c>
      <c r="BJ89" s="59">
        <f t="shared" si="92"/>
        <v>127.5231137583819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1.2462866437053777</v>
      </c>
      <c r="BR89" s="21">
        <f>EXP(-LN(2)/2)*BR88+(1-EXP(-LN(2)/2))/(LN(2)/2)*BL89*BO89*VLOOKUP('Données projet'!$B$11,Paramètres!$A$1:$I$89,3,0)*0.475*44/12</f>
        <v>3.3267979828430397E-8</v>
      </c>
      <c r="BS89" s="22">
        <f t="shared" si="63"/>
        <v>1.2462866769733576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210.04871822652808</v>
      </c>
      <c r="CE89" s="59">
        <f t="shared" si="94"/>
        <v>250.17540614049324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2.4084272823257371</v>
      </c>
      <c r="CL89" s="21">
        <f>EXP(-LN(2)/25)*CL88+(1-EXP(-LN(2)/25))/(LN(2)/25)*Calculateur!CG89*Calculateur!CI89*VLOOKUP('Données projet'!$B$12,Paramètres!$A$1:$I$89,3,0)*0.475*44/12</f>
        <v>5.8913815667723526</v>
      </c>
      <c r="CM89" s="21">
        <f>EXP(-LN(2)/2)*CM88+(1-EXP(-LN(2)/2))/(LN(2)/2)*CG89*CJ89*VLOOKUP('Données projet'!$B$12,Paramètres!$A$1:$I$89,3,0)*0.475*44/12</f>
        <v>8.029449260738381E-8</v>
      </c>
      <c r="CN89" s="22">
        <f t="shared" si="66"/>
        <v>8.299808929392583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-5.1159076974727213E-13</v>
      </c>
      <c r="O90" s="13">
        <f>N90*VLOOKUP('Données projet'!$B$9,Paramètres!$A$1:$I$89,3,0)*VLOOKUP('Données projet'!$B$9,Paramètres!$A$1:$I$89,5,0)</f>
        <v>-3.7509835237869992E-13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234.09142087023463</v>
      </c>
      <c r="T90" s="59">
        <f t="shared" si="88"/>
        <v>278.990685815294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0.78901854728314458</v>
      </c>
      <c r="AA90" s="21">
        <f>EXP(-LN(2)/25)*AA89+(1-EXP(-LN(2)/25))/(LN(2)/25)*Calculateur!V90*Calculateur!X90*VLOOKUP('Données projet'!$B$9,Paramètres!$A$1:$I$89,3,0)*0.475*44/12</f>
        <v>3.1589359909551393</v>
      </c>
      <c r="AB90" s="21">
        <f>EXP(-LN(2)/2)*AB89+(1-EXP(-LN(2)/2))/(LN(2)/2)*V90*Y90*VLOOKUP('Données projet'!$B$9,Paramètres!$A$1:$I$89,3,0)*0.475*44/12</f>
        <v>5.8356578609020159E-8</v>
      </c>
      <c r="AC90" s="22">
        <f t="shared" si="57"/>
        <v>3.9479545965948626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-1.2710188457276673E-13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255.5374979188561</v>
      </c>
      <c r="AO90" s="59">
        <f t="shared" si="90"/>
        <v>343.10418468620901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0.99934483043453337</v>
      </c>
      <c r="AV90" s="21">
        <f>EXP(-LN(2)/25)*AV89+(1-EXP(-LN(2)/25))/(LN(2)/25)*Calculateur!AQ90*Calculateur!AS90*VLOOKUP('Données projet'!$B$10,Paramètres!$A$1:$I$89,3,0)*0.475*44/12</f>
        <v>3.286181513237878</v>
      </c>
      <c r="AW90" s="21">
        <f>EXP(-LN(2)/2)*AW89+(1-EXP(-LN(2)/2))/(LN(2)/2)*AQ90*AT90*VLOOKUP('Données projet'!$B$10,Paramètres!$A$1:$I$89,3,0)*0.475*44/12</f>
        <v>4.458746923400018E-9</v>
      </c>
      <c r="AX90" s="21">
        <f t="shared" si="60"/>
        <v>4.2855263481311585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</v>
      </c>
      <c r="BD90" s="12">
        <f>IF('Données projet'!$A$88&gt;35,BD89+BC90-BL89,IF(A90&lt;'Données projet'!$A$88,$BA$205^A90,IF(A90='Données projet'!$A$88,'Données projet'!$B$88,BD89+BC90-BL89)))</f>
        <v>333.70000000000022</v>
      </c>
      <c r="BE90" s="13">
        <f>BD90*VLOOKUP('Données projet'!$B$11,Paramètres!$A$1:$I$89,3,0)*VLOOKUP('Données projet'!$B$11,Paramètres!$A$1:$I$89,5,0)</f>
        <v>286.31460000000021</v>
      </c>
      <c r="BF90" s="13">
        <f t="shared" si="91"/>
        <v>68.29972839038507</v>
      </c>
      <c r="BG90" s="20">
        <f t="shared" si="61"/>
        <v>617.61995527992087</v>
      </c>
      <c r="BH90" s="59">
        <f t="shared" si="62"/>
        <v>910.95328861325424</v>
      </c>
      <c r="BI90" s="59">
        <f ca="1">AVERAGE(OFFSET($BH$3,0,0,'Données projet'!$E$11+1,1))-AVERAGE(OFFSET($H$3,0,0,'Données projet'!$E$11+1,1))</f>
        <v>310.4018929413723</v>
      </c>
      <c r="BJ90" s="59">
        <f t="shared" si="92"/>
        <v>127.5231137583819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1.2122068698938879</v>
      </c>
      <c r="BR90" s="21">
        <f>EXP(-LN(2)/2)*BR89+(1-EXP(-LN(2)/2))/(LN(2)/2)*BL90*BO90*VLOOKUP('Données projet'!$B$11,Paramètres!$A$1:$I$89,3,0)*0.475*44/12</f>
        <v>2.352401413306041E-8</v>
      </c>
      <c r="BS90" s="22">
        <f t="shared" si="63"/>
        <v>1.212206893417902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210.04871822652808</v>
      </c>
      <c r="CE90" s="59">
        <f t="shared" si="94"/>
        <v>250.17540614049324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2.3611994923149204</v>
      </c>
      <c r="CL90" s="21">
        <f>EXP(-LN(2)/25)*CL89+(1-EXP(-LN(2)/25))/(LN(2)/25)*Calculateur!CG90*Calculateur!CI90*VLOOKUP('Données projet'!$B$12,Paramètres!$A$1:$I$89,3,0)*0.475*44/12</f>
        <v>5.7302814280146706</v>
      </c>
      <c r="CM90" s="21">
        <f>EXP(-LN(2)/2)*CM89+(1-EXP(-LN(2)/2))/(LN(2)/2)*CG90*CJ90*VLOOKUP('Données projet'!$B$12,Paramètres!$A$1:$I$89,3,0)*0.475*44/12</f>
        <v>5.6776780214614202E-8</v>
      </c>
      <c r="CN90" s="22">
        <f t="shared" si="66"/>
        <v>8.0914809771063716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-5.1159076974727213E-13</v>
      </c>
      <c r="O91" s="13">
        <f>N91*VLOOKUP('Données projet'!$B$9,Paramètres!$A$1:$I$89,3,0)*VLOOKUP('Données projet'!$B$9,Paramètres!$A$1:$I$89,5,0)</f>
        <v>-3.7509835237869992E-13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234.09142087023463</v>
      </c>
      <c r="T91" s="59">
        <f t="shared" si="88"/>
        <v>278.990685815294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0.77354637482471611</v>
      </c>
      <c r="AA91" s="21">
        <f>EXP(-LN(2)/25)*AA90+(1-EXP(-LN(2)/25))/(LN(2)/25)*Calculateur!V91*Calculateur!X91*VLOOKUP('Données projet'!$B$9,Paramètres!$A$1:$I$89,3,0)*0.475*44/12</f>
        <v>3.0725547201612473</v>
      </c>
      <c r="AB91" s="21">
        <f>EXP(-LN(2)/2)*AB90+(1-EXP(-LN(2)/2))/(LN(2)/2)*V91*Y91*VLOOKUP('Données projet'!$B$9,Paramètres!$A$1:$I$89,3,0)*0.475*44/12</f>
        <v>4.1264332461283983E-8</v>
      </c>
      <c r="AC91" s="22">
        <f t="shared" si="57"/>
        <v>3.8461011362502959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-1.2710188457276673E-13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255.5374979188561</v>
      </c>
      <c r="AO91" s="59">
        <f t="shared" si="90"/>
        <v>343.10418468620901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0.97974828784987167</v>
      </c>
      <c r="AV91" s="21">
        <f>EXP(-LN(2)/25)*AV90+(1-EXP(-LN(2)/25))/(LN(2)/25)*Calculateur!AQ91*Calculateur!AS91*VLOOKUP('Données projet'!$B$10,Paramètres!$A$1:$I$89,3,0)*0.475*44/12</f>
        <v>3.1963207069456132</v>
      </c>
      <c r="AW91" s="21">
        <f>EXP(-LN(2)/2)*AW90+(1-EXP(-LN(2)/2))/(LN(2)/2)*AQ91*AT91*VLOOKUP('Données projet'!$B$10,Paramètres!$A$1:$I$89,3,0)*0.475*44/12</f>
        <v>3.1528101851308086E-9</v>
      </c>
      <c r="AX91" s="21">
        <f t="shared" si="60"/>
        <v>4.1760689979482954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</v>
      </c>
      <c r="BD91" s="12">
        <f>IF('Données projet'!$A$88&gt;35,BD90+BC91-BL90,IF(A91&lt;'Données projet'!$A$88,$BA$205^A91,IF(A91='Données projet'!$A$88,'Données projet'!$B$88,BD90+BC91-BL90)))</f>
        <v>342.80000000000024</v>
      </c>
      <c r="BE91" s="13">
        <f>BD91*VLOOKUP('Données projet'!$B$11,Paramètres!$A$1:$I$89,3,0)*VLOOKUP('Données projet'!$B$11,Paramètres!$A$1:$I$89,5,0)</f>
        <v>294.1224000000002</v>
      </c>
      <c r="BF91" s="13">
        <f t="shared" si="91"/>
        <v>69.942877415457289</v>
      </c>
      <c r="BG91" s="20">
        <f t="shared" si="61"/>
        <v>634.08035816525512</v>
      </c>
      <c r="BH91" s="59">
        <f t="shared" si="62"/>
        <v>927.41369149858838</v>
      </c>
      <c r="BI91" s="59">
        <f ca="1">AVERAGE(OFFSET($BH$3,0,0,'Données projet'!$E$11+1,1))-AVERAGE(OFFSET($H$3,0,0,'Données projet'!$E$11+1,1))</f>
        <v>310.4018929413723</v>
      </c>
      <c r="BJ91" s="59">
        <f t="shared" si="92"/>
        <v>127.5231137583819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1.1790590092894508</v>
      </c>
      <c r="BR91" s="21">
        <f>EXP(-LN(2)/2)*BR90+(1-EXP(-LN(2)/2))/(LN(2)/2)*BL91*BO91*VLOOKUP('Données projet'!$B$11,Paramètres!$A$1:$I$89,3,0)*0.475*44/12</f>
        <v>1.6633989914215198E-8</v>
      </c>
      <c r="BS91" s="22">
        <f t="shared" si="63"/>
        <v>1.1790590259234408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210.04871822652808</v>
      </c>
      <c r="CE91" s="59">
        <f t="shared" si="94"/>
        <v>250.17540614049324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2.3148978104601081</v>
      </c>
      <c r="CL91" s="21">
        <f>EXP(-LN(2)/25)*CL90+(1-EXP(-LN(2)/25))/(LN(2)/25)*Calculateur!CG91*Calculateur!CI91*VLOOKUP('Données projet'!$B$12,Paramètres!$A$1:$I$89,3,0)*0.475*44/12</f>
        <v>5.5735865810232061</v>
      </c>
      <c r="CM91" s="21">
        <f>EXP(-LN(2)/2)*CM90+(1-EXP(-LN(2)/2))/(LN(2)/2)*CG91*CJ91*VLOOKUP('Données projet'!$B$12,Paramètres!$A$1:$I$89,3,0)*0.475*44/12</f>
        <v>4.0147246303691905E-8</v>
      </c>
      <c r="CN91" s="22">
        <f t="shared" si="66"/>
        <v>7.8884844316305607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-5.1159076974727213E-13</v>
      </c>
      <c r="O92" s="13">
        <f>N92*VLOOKUP('Données projet'!$B$9,Paramètres!$A$1:$I$89,3,0)*VLOOKUP('Données projet'!$B$9,Paramètres!$A$1:$I$89,5,0)</f>
        <v>-3.7509835237869992E-13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234.09142087023463</v>
      </c>
      <c r="T92" s="59">
        <f t="shared" si="88"/>
        <v>278.990685815294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0.75837760223110406</v>
      </c>
      <c r="AA92" s="21">
        <f>EXP(-LN(2)/25)*AA91+(1-EXP(-LN(2)/25))/(LN(2)/25)*Calculateur!V92*Calculateur!X92*VLOOKUP('Données projet'!$B$9,Paramètres!$A$1:$I$89,3,0)*0.475*44/12</f>
        <v>2.9885355497598076</v>
      </c>
      <c r="AB92" s="21">
        <f>EXP(-LN(2)/2)*AB91+(1-EXP(-LN(2)/2))/(LN(2)/2)*V92*Y92*VLOOKUP('Données projet'!$B$9,Paramètres!$A$1:$I$89,3,0)*0.475*44/12</f>
        <v>2.9178289304510086E-8</v>
      </c>
      <c r="AC92" s="22">
        <f t="shared" si="57"/>
        <v>3.7469131811692007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-1.2710188457276673E-13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255.5374979188561</v>
      </c>
      <c r="AO92" s="59">
        <f t="shared" si="90"/>
        <v>343.10418468620901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0.96053602151258444</v>
      </c>
      <c r="AV92" s="21">
        <f>EXP(-LN(2)/25)*AV91+(1-EXP(-LN(2)/25))/(LN(2)/25)*Calculateur!AQ92*Calculateur!AS92*VLOOKUP('Données projet'!$B$10,Paramètres!$A$1:$I$89,3,0)*0.475*44/12</f>
        <v>3.1089171491269849</v>
      </c>
      <c r="AW92" s="21">
        <f>EXP(-LN(2)/2)*AW91+(1-EXP(-LN(2)/2))/(LN(2)/2)*AQ92*AT92*VLOOKUP('Données projet'!$B$10,Paramètres!$A$1:$I$89,3,0)*0.475*44/12</f>
        <v>2.229373461700009E-9</v>
      </c>
      <c r="AX92" s="21">
        <f t="shared" si="60"/>
        <v>4.0694531728689425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</v>
      </c>
      <c r="BD92" s="12">
        <f>IF('Données projet'!$A$88&gt;35,BD91+BC92-BL91,IF(A92&lt;'Données projet'!$A$88,$BA$205^A92,IF(A92='Données projet'!$A$88,'Données projet'!$B$88,BD91+BC92-BL91)))</f>
        <v>351.90000000000026</v>
      </c>
      <c r="BE92" s="13">
        <f>BD92*VLOOKUP('Données projet'!$B$11,Paramètres!$A$1:$I$89,3,0)*VLOOKUP('Données projet'!$B$11,Paramètres!$A$1:$I$89,5,0)</f>
        <v>301.93020000000024</v>
      </c>
      <c r="BF92" s="13">
        <f t="shared" si="91"/>
        <v>71.580956374520341</v>
      </c>
      <c r="BG92" s="20">
        <f t="shared" si="61"/>
        <v>650.53193068562337</v>
      </c>
      <c r="BH92" s="59">
        <f t="shared" si="62"/>
        <v>943.86526401895662</v>
      </c>
      <c r="BI92" s="59">
        <f ca="1">AVERAGE(OFFSET($BH$3,0,0,'Données projet'!$E$11+1,1))-AVERAGE(OFFSET($H$3,0,0,'Données projet'!$E$11+1,1))</f>
        <v>310.4018929413723</v>
      </c>
      <c r="BJ92" s="59">
        <f t="shared" si="92"/>
        <v>127.5231137583819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1.1468175786764123</v>
      </c>
      <c r="BR92" s="21">
        <f>EXP(-LN(2)/2)*BR91+(1-EXP(-LN(2)/2))/(LN(2)/2)*BL92*BO92*VLOOKUP('Données projet'!$B$11,Paramètres!$A$1:$I$89,3,0)*0.475*44/12</f>
        <v>1.1762007066530205E-8</v>
      </c>
      <c r="BS92" s="22">
        <f t="shared" si="63"/>
        <v>1.1468175904384195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210.04871822652808</v>
      </c>
      <c r="CE92" s="59">
        <f t="shared" si="94"/>
        <v>250.17540614049324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2.2695040763452314</v>
      </c>
      <c r="CL92" s="21">
        <f>EXP(-LN(2)/25)*CL91+(1-EXP(-LN(2)/25))/(LN(2)/25)*Calculateur!CG92*Calculateur!CI92*VLOOKUP('Données projet'!$B$12,Paramètres!$A$1:$I$89,3,0)*0.475*44/12</f>
        <v>5.4211765628629465</v>
      </c>
      <c r="CM92" s="21">
        <f>EXP(-LN(2)/2)*CM91+(1-EXP(-LN(2)/2))/(LN(2)/2)*CG92*CJ92*VLOOKUP('Données projet'!$B$12,Paramètres!$A$1:$I$89,3,0)*0.475*44/12</f>
        <v>2.8388390107307101E-8</v>
      </c>
      <c r="CN92" s="22">
        <f t="shared" si="66"/>
        <v>7.6906806675965687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-5.1159076974727213E-13</v>
      </c>
      <c r="O93" s="13">
        <f>N93*VLOOKUP('Données projet'!$B$9,Paramètres!$A$1:$I$89,3,0)*VLOOKUP('Données projet'!$B$9,Paramètres!$A$1:$I$89,5,0)</f>
        <v>-3.7509835237869992E-13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234.09142087023463</v>
      </c>
      <c r="T93" s="59">
        <f t="shared" si="88"/>
        <v>278.990685815294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0.74350628001601504</v>
      </c>
      <c r="AA93" s="21">
        <f>EXP(-LN(2)/25)*AA92+(1-EXP(-LN(2)/25))/(LN(2)/25)*Calculateur!V93*Calculateur!X93*VLOOKUP('Données projet'!$B$9,Paramètres!$A$1:$I$89,3,0)*0.475*44/12</f>
        <v>2.9068138879913716</v>
      </c>
      <c r="AB93" s="21">
        <f>EXP(-LN(2)/2)*AB92+(1-EXP(-LN(2)/2))/(LN(2)/2)*V93*Y93*VLOOKUP('Données projet'!$B$9,Paramètres!$A$1:$I$89,3,0)*0.475*44/12</f>
        <v>2.0632166230641995E-8</v>
      </c>
      <c r="AC93" s="22">
        <f t="shared" si="57"/>
        <v>3.6503201886395527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-1.2710188457276673E-13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255.5374979188561</v>
      </c>
      <c r="AO93" s="59">
        <f t="shared" si="90"/>
        <v>343.10418468620901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0.94170049599984595</v>
      </c>
      <c r="AV93" s="21">
        <f>EXP(-LN(2)/25)*AV92+(1-EXP(-LN(2)/25))/(LN(2)/25)*Calculateur!AQ93*Calculateur!AS93*VLOOKUP('Données projet'!$B$10,Paramètres!$A$1:$I$89,3,0)*0.475*44/12</f>
        <v>3.02390364619326</v>
      </c>
      <c r="AW93" s="21">
        <f>EXP(-LN(2)/2)*AW92+(1-EXP(-LN(2)/2))/(LN(2)/2)*AQ93*AT93*VLOOKUP('Données projet'!$B$10,Paramètres!$A$1:$I$89,3,0)*0.475*44/12</f>
        <v>1.5764050925654043E-9</v>
      </c>
      <c r="AX93" s="21">
        <f t="shared" si="60"/>
        <v>3.9656041437695113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361</v>
      </c>
      <c r="BB93" s="12">
        <f>VLOOKUP(A93,'Données projet'!$A$87:$I$107,9,0)</f>
        <v>9.1</v>
      </c>
      <c r="BC93" s="12">
        <f t="array" ref="BC93">INDEX(BB:BB,MIN(IF(ISNUMBER(BB93:BB289),ROW(BB93:BB289),"")))</f>
        <v>9.1</v>
      </c>
      <c r="BD93" s="12">
        <f>IF('Données projet'!$A$88&gt;35,BD92+BC93-BL92,IF(A93&lt;'Données projet'!$A$88,$BA$205^A93,IF(A93='Données projet'!$A$88,'Données projet'!$B$88,BD92+BC93-BL92)))</f>
        <v>361.00000000000028</v>
      </c>
      <c r="BE93" s="13">
        <f>BD93*VLOOKUP('Données projet'!$B$11,Paramètres!$A$1:$I$89,3,0)*VLOOKUP('Données projet'!$B$11,Paramètres!$A$1:$I$89,5,0)</f>
        <v>309.73800000000028</v>
      </c>
      <c r="BF93" s="13">
        <f t="shared" si="91"/>
        <v>73.214111451653608</v>
      </c>
      <c r="BG93" s="20">
        <f t="shared" si="61"/>
        <v>666.97492744496378</v>
      </c>
      <c r="BH93" s="59">
        <f t="shared" si="62"/>
        <v>960.30826077829715</v>
      </c>
      <c r="BI93" s="59">
        <f ca="1">AVERAGE(OFFSET($BH$3,0,0,'Données projet'!$E$11+1,1))-AVERAGE(OFFSET($H$3,0,0,'Données projet'!$E$11+1,1))</f>
        <v>310.4018929413723</v>
      </c>
      <c r="BJ93" s="59">
        <f t="shared" si="92"/>
        <v>127.5231137583819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67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1.1154577916789905</v>
      </c>
      <c r="BR93" s="21">
        <f>EXP(-LN(2)/2)*BR92+(1-EXP(-LN(2)/2))/(LN(2)/2)*BL93*BO93*VLOOKUP('Données projet'!$B$11,Paramètres!$A$1:$I$89,3,0)*0.475*44/12</f>
        <v>8.3169949571075992E-9</v>
      </c>
      <c r="BS93" s="22">
        <f t="shared" si="63"/>
        <v>1.1154577999959854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210.04871822652808</v>
      </c>
      <c r="CE93" s="59">
        <f t="shared" si="94"/>
        <v>250.17540614049324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2.2250004856689034</v>
      </c>
      <c r="CL93" s="21">
        <f>EXP(-LN(2)/25)*CL92+(1-EXP(-LN(2)/25))/(LN(2)/25)*Calculateur!CG93*Calculateur!CI93*VLOOKUP('Données projet'!$B$12,Paramètres!$A$1:$I$89,3,0)*0.475*44/12</f>
        <v>5.2729342046641738</v>
      </c>
      <c r="CM93" s="21">
        <f>EXP(-LN(2)/2)*CM92+(1-EXP(-LN(2)/2))/(LN(2)/2)*CG93*CJ93*VLOOKUP('Données projet'!$B$12,Paramètres!$A$1:$I$89,3,0)*0.475*44/12</f>
        <v>2.0073623151845953E-8</v>
      </c>
      <c r="CN93" s="22">
        <f t="shared" si="66"/>
        <v>7.4979347104066996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-5.1159076974727213E-13</v>
      </c>
      <c r="O94" s="13">
        <f>N94*VLOOKUP('Données projet'!$B$9,Paramètres!$A$1:$I$89,3,0)*VLOOKUP('Données projet'!$B$9,Paramètres!$A$1:$I$89,5,0)</f>
        <v>-3.7509835237869992E-13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234.09142087023463</v>
      </c>
      <c r="T94" s="59">
        <f t="shared" si="88"/>
        <v>278.990685815294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0.728926575358953</v>
      </c>
      <c r="AA94" s="21">
        <f>EXP(-LN(2)/25)*AA93+(1-EXP(-LN(2)/25))/(LN(2)/25)*Calculateur!V94*Calculateur!X94*VLOOKUP('Données projet'!$B$9,Paramètres!$A$1:$I$89,3,0)*0.475*44/12</f>
        <v>2.827326909361549</v>
      </c>
      <c r="AB94" s="21">
        <f>EXP(-LN(2)/2)*AB93+(1-EXP(-LN(2)/2))/(LN(2)/2)*V94*Y94*VLOOKUP('Données projet'!$B$9,Paramètres!$A$1:$I$89,3,0)*0.475*44/12</f>
        <v>1.4589144652255045E-8</v>
      </c>
      <c r="AC94" s="22">
        <f t="shared" si="57"/>
        <v>3.5562534993096464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-1.2710188457276673E-13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255.5374979188561</v>
      </c>
      <c r="AO94" s="59">
        <f t="shared" si="90"/>
        <v>343.10418468620901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0.92323432365387614</v>
      </c>
      <c r="AV94" s="21">
        <f>EXP(-LN(2)/25)*AV93+(1-EXP(-LN(2)/25))/(LN(2)/25)*Calculateur!AQ94*Calculateur!AS94*VLOOKUP('Données projet'!$B$10,Paramètres!$A$1:$I$89,3,0)*0.475*44/12</f>
        <v>2.9412148419679238</v>
      </c>
      <c r="AW94" s="21">
        <f>EXP(-LN(2)/2)*AW93+(1-EXP(-LN(2)/2))/(LN(2)/2)*AQ94*AT94*VLOOKUP('Données projet'!$B$10,Paramètres!$A$1:$I$89,3,0)*0.475*44/12</f>
        <v>1.1146867308500045E-9</v>
      </c>
      <c r="AX94" s="21">
        <f t="shared" si="60"/>
        <v>3.8644491667364864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8.4</v>
      </c>
      <c r="BD94" s="12">
        <f>IF('Données projet'!$A$88&gt;35,BD93+BC94-BL93,IF(A94&lt;'Données projet'!$A$88,$BA$205^A94,IF(A94='Données projet'!$A$88,'Données projet'!$B$88,BD93+BC94-BL93)))</f>
        <v>302.40000000000026</v>
      </c>
      <c r="BE94" s="13">
        <f>BD94*VLOOKUP('Données projet'!$B$11,Paramètres!$A$1:$I$89,3,0)*VLOOKUP('Données projet'!$B$11,Paramètres!$A$1:$I$89,5,0)</f>
        <v>259.45920000000024</v>
      </c>
      <c r="BF94" s="13">
        <f t="shared" si="91"/>
        <v>62.607087284635185</v>
      </c>
      <c r="BG94" s="20">
        <f t="shared" si="61"/>
        <v>560.93211702074007</v>
      </c>
      <c r="BH94" s="59">
        <f t="shared" si="62"/>
        <v>854.26545035407344</v>
      </c>
      <c r="BI94" s="59">
        <f ca="1">AVERAGE(OFFSET($BH$3,0,0,'Données projet'!$E$11+1,1))-AVERAGE(OFFSET($H$3,0,0,'Données projet'!$E$11+1,1))</f>
        <v>310.4018929413723</v>
      </c>
      <c r="BJ94" s="59">
        <f t="shared" si="92"/>
        <v>127.5231137583819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1.0849555397061525</v>
      </c>
      <c r="BR94" s="21">
        <f>EXP(-LN(2)/2)*BR93+(1-EXP(-LN(2)/2))/(LN(2)/2)*BL94*BO94*VLOOKUP('Données projet'!$B$11,Paramètres!$A$1:$I$89,3,0)*0.475*44/12</f>
        <v>5.8810035332651024E-9</v>
      </c>
      <c r="BS94" s="22">
        <f t="shared" si="63"/>
        <v>1.084955545587156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210.04871822652808</v>
      </c>
      <c r="CE94" s="59">
        <f t="shared" si="94"/>
        <v>250.17540614049324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2.1813695832612283</v>
      </c>
      <c r="CL94" s="21">
        <f>EXP(-LN(2)/25)*CL93+(1-EXP(-LN(2)/25))/(LN(2)/25)*Calculateur!CG94*Calculateur!CI94*VLOOKUP('Données projet'!$B$12,Paramètres!$A$1:$I$89,3,0)*0.475*44/12</f>
        <v>5.1287455415460732</v>
      </c>
      <c r="CM94" s="21">
        <f>EXP(-LN(2)/2)*CM93+(1-EXP(-LN(2)/2))/(LN(2)/2)*CG94*CJ94*VLOOKUP('Données projet'!$B$12,Paramètres!$A$1:$I$89,3,0)*0.475*44/12</f>
        <v>1.4194195053653551E-8</v>
      </c>
      <c r="CN94" s="22">
        <f t="shared" si="66"/>
        <v>7.3101151390014971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-5.1159076974727213E-13</v>
      </c>
      <c r="O95" s="13">
        <f>N95*VLOOKUP('Données projet'!$B$9,Paramètres!$A$1:$I$89,3,0)*VLOOKUP('Données projet'!$B$9,Paramètres!$A$1:$I$89,5,0)</f>
        <v>-3.7509835237869992E-13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234.09142087023463</v>
      </c>
      <c r="T95" s="59">
        <f t="shared" si="88"/>
        <v>278.990685815294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0.71463276981747414</v>
      </c>
      <c r="AA95" s="21">
        <f>EXP(-LN(2)/25)*AA94+(1-EXP(-LN(2)/25))/(LN(2)/25)*Calculateur!V95*Calculateur!X95*VLOOKUP('Données projet'!$B$9,Paramètres!$A$1:$I$89,3,0)*0.475*44/12</f>
        <v>2.7500135063423974</v>
      </c>
      <c r="AB95" s="21">
        <f>EXP(-LN(2)/2)*AB94+(1-EXP(-LN(2)/2))/(LN(2)/2)*V95*Y95*VLOOKUP('Données projet'!$B$9,Paramètres!$A$1:$I$89,3,0)*0.475*44/12</f>
        <v>1.0316083115320999E-8</v>
      </c>
      <c r="AC95" s="22">
        <f t="shared" si="57"/>
        <v>3.4646462864759546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-1.2710188457276673E-13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255.5374979188561</v>
      </c>
      <c r="AO95" s="59">
        <f t="shared" si="90"/>
        <v>343.10418468620901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0.90513026168435784</v>
      </c>
      <c r="AV95" s="21">
        <f>EXP(-LN(2)/25)*AV94+(1-EXP(-LN(2)/25))/(LN(2)/25)*Calculateur!AQ95*Calculateur!AS95*VLOOKUP('Données projet'!$B$10,Paramètres!$A$1:$I$89,3,0)*0.475*44/12</f>
        <v>2.8607871674425445</v>
      </c>
      <c r="AW95" s="21">
        <f>EXP(-LN(2)/2)*AW94+(1-EXP(-LN(2)/2))/(LN(2)/2)*AQ95*AT95*VLOOKUP('Données projet'!$B$10,Paramètres!$A$1:$I$89,3,0)*0.475*44/12</f>
        <v>7.8820254628270214E-10</v>
      </c>
      <c r="AX95" s="21">
        <f t="shared" si="60"/>
        <v>3.7659174299151048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8.4</v>
      </c>
      <c r="BD95" s="12">
        <f>IF('Données projet'!$A$88&gt;35,BD94+BC95-BL94,IF(A95&lt;'Données projet'!$A$88,$BA$205^A95,IF(A95='Données projet'!$A$88,'Données projet'!$B$88,BD94+BC95-BL94)))</f>
        <v>310.80000000000024</v>
      </c>
      <c r="BE95" s="13">
        <f>BD95*VLOOKUP('Données projet'!$B$11,Paramètres!$A$1:$I$89,3,0)*VLOOKUP('Données projet'!$B$11,Paramètres!$A$1:$I$89,5,0)</f>
        <v>266.66640000000024</v>
      </c>
      <c r="BF95" s="13">
        <f t="shared" si="91"/>
        <v>64.141284508389418</v>
      </c>
      <c r="BG95" s="20">
        <f t="shared" si="61"/>
        <v>576.15671718544536</v>
      </c>
      <c r="BH95" s="59">
        <f t="shared" si="62"/>
        <v>869.49005051877862</v>
      </c>
      <c r="BI95" s="59">
        <f ca="1">AVERAGE(OFFSET($BH$3,0,0,'Données projet'!$E$11+1,1))-AVERAGE(OFFSET($H$3,0,0,'Données projet'!$E$11+1,1))</f>
        <v>310.4018929413723</v>
      </c>
      <c r="BJ95" s="59">
        <f t="shared" si="92"/>
        <v>127.5231137583819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1.0552873734175556</v>
      </c>
      <c r="BR95" s="21">
        <f>EXP(-LN(2)/2)*BR94+(1-EXP(-LN(2)/2))/(LN(2)/2)*BL95*BO95*VLOOKUP('Données projet'!$B$11,Paramètres!$A$1:$I$89,3,0)*0.475*44/12</f>
        <v>4.1584974785537996E-9</v>
      </c>
      <c r="BS95" s="22">
        <f t="shared" si="63"/>
        <v>1.0552873775760532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210.04871822652808</v>
      </c>
      <c r="CE95" s="59">
        <f t="shared" si="94"/>
        <v>250.17540614049324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2.1385942562375448</v>
      </c>
      <c r="CL95" s="21">
        <f>EXP(-LN(2)/25)*CL94+(1-EXP(-LN(2)/25))/(LN(2)/25)*Calculateur!CG95*Calculateur!CI95*VLOOKUP('Données projet'!$B$12,Paramètres!$A$1:$I$89,3,0)*0.475*44/12</f>
        <v>4.9884997250034901</v>
      </c>
      <c r="CM95" s="21">
        <f>EXP(-LN(2)/2)*CM94+(1-EXP(-LN(2)/2))/(LN(2)/2)*CG95*CJ95*VLOOKUP('Données projet'!$B$12,Paramètres!$A$1:$I$89,3,0)*0.475*44/12</f>
        <v>1.0036811575922976E-8</v>
      </c>
      <c r="CN95" s="22">
        <f t="shared" si="66"/>
        <v>7.1270939912778468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-5.1159076974727213E-13</v>
      </c>
      <c r="O96" s="13">
        <f>N96*VLOOKUP('Données projet'!$B$9,Paramètres!$A$1:$I$89,3,0)*VLOOKUP('Données projet'!$B$9,Paramètres!$A$1:$I$89,5,0)</f>
        <v>-3.7509835237869992E-13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234.09142087023463</v>
      </c>
      <c r="T96" s="59">
        <f t="shared" si="88"/>
        <v>278.990685815294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0.70061925708430317</v>
      </c>
      <c r="AA96" s="21">
        <f>EXP(-LN(2)/25)*AA95+(1-EXP(-LN(2)/25))/(LN(2)/25)*Calculateur!V96*Calculateur!X96*VLOOKUP('Données projet'!$B$9,Paramètres!$A$1:$I$89,3,0)*0.475*44/12</f>
        <v>2.6748142423945396</v>
      </c>
      <c r="AB96" s="21">
        <f>EXP(-LN(2)/2)*AB95+(1-EXP(-LN(2)/2))/(LN(2)/2)*V96*Y96*VLOOKUP('Données projet'!$B$9,Paramètres!$A$1:$I$89,3,0)*0.475*44/12</f>
        <v>7.294572326127524E-9</v>
      </c>
      <c r="AC96" s="22">
        <f t="shared" si="57"/>
        <v>3.3754335067734154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-1.2710188457276673E-13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255.5374979188561</v>
      </c>
      <c r="AO96" s="59">
        <f t="shared" si="90"/>
        <v>343.10418468620901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0.88738120932767439</v>
      </c>
      <c r="AV96" s="21">
        <f>EXP(-LN(2)/25)*AV95+(1-EXP(-LN(2)/25))/(LN(2)/25)*Calculateur!AQ96*Calculateur!AS96*VLOOKUP('Données projet'!$B$10,Paramètres!$A$1:$I$89,3,0)*0.475*44/12</f>
        <v>2.7825587919065695</v>
      </c>
      <c r="AW96" s="21">
        <f>EXP(-LN(2)/2)*AW95+(1-EXP(-LN(2)/2))/(LN(2)/2)*AQ96*AT96*VLOOKUP('Données projet'!$B$10,Paramètres!$A$1:$I$89,3,0)*0.475*44/12</f>
        <v>5.5734336542500225E-10</v>
      </c>
      <c r="AX96" s="21">
        <f t="shared" si="60"/>
        <v>3.6699400017915873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8.4</v>
      </c>
      <c r="BD96" s="12">
        <f>IF('Données projet'!$A$88&gt;35,BD95+BC96-BL95,IF(A96&lt;'Données projet'!$A$88,$BA$205^A96,IF(A96='Données projet'!$A$88,'Données projet'!$B$88,BD95+BC96-BL95)))</f>
        <v>319.20000000000022</v>
      </c>
      <c r="BE96" s="13">
        <f>BD96*VLOOKUP('Données projet'!$B$11,Paramètres!$A$1:$I$89,3,0)*VLOOKUP('Données projet'!$B$11,Paramètres!$A$1:$I$89,5,0)</f>
        <v>273.87360000000024</v>
      </c>
      <c r="BF96" s="13">
        <f t="shared" si="91"/>
        <v>65.670662194579606</v>
      </c>
      <c r="BG96" s="20">
        <f t="shared" si="61"/>
        <v>591.3729233222266</v>
      </c>
      <c r="BH96" s="59">
        <f t="shared" si="62"/>
        <v>884.70625665555986</v>
      </c>
      <c r="BI96" s="59">
        <f ca="1">AVERAGE(OFFSET($BH$3,0,0,'Données projet'!$E$11+1,1))-AVERAGE(OFFSET($H$3,0,0,'Données projet'!$E$11+1,1))</f>
        <v>310.4018929413723</v>
      </c>
      <c r="BJ96" s="59">
        <f t="shared" si="92"/>
        <v>127.5231137583819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1.0264304846963015</v>
      </c>
      <c r="BR96" s="21">
        <f>EXP(-LN(2)/2)*BR95+(1-EXP(-LN(2)/2))/(LN(2)/2)*BL96*BO96*VLOOKUP('Données projet'!$B$11,Paramètres!$A$1:$I$89,3,0)*0.475*44/12</f>
        <v>2.9405017666325512E-9</v>
      </c>
      <c r="BS96" s="22">
        <f t="shared" si="63"/>
        <v>1.0264304876368033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210.04871822652808</v>
      </c>
      <c r="CE96" s="59">
        <f t="shared" si="94"/>
        <v>250.17540614049324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2.0966577272864226</v>
      </c>
      <c r="CL96" s="21">
        <f>EXP(-LN(2)/25)*CL95+(1-EXP(-LN(2)/25))/(LN(2)/25)*Calculateur!CG96*Calculateur!CI96*VLOOKUP('Données projet'!$B$12,Paramètres!$A$1:$I$89,3,0)*0.475*44/12</f>
        <v>4.8520889376894702</v>
      </c>
      <c r="CM96" s="21">
        <f>EXP(-LN(2)/2)*CM95+(1-EXP(-LN(2)/2))/(LN(2)/2)*CG96*CJ96*VLOOKUP('Données projet'!$B$12,Paramètres!$A$1:$I$89,3,0)*0.475*44/12</f>
        <v>7.0970975268267753E-9</v>
      </c>
      <c r="CN96" s="22">
        <f t="shared" si="66"/>
        <v>6.94874667207299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-5.1159076974727213E-13</v>
      </c>
      <c r="O97" s="13">
        <f>N97*VLOOKUP('Données projet'!$B$9,Paramètres!$A$1:$I$89,3,0)*VLOOKUP('Données projet'!$B$9,Paramètres!$A$1:$I$89,5,0)</f>
        <v>-3.7509835237869992E-13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234.09142087023463</v>
      </c>
      <c r="T97" s="59">
        <f t="shared" si="88"/>
        <v>278.990685815294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0.68688054078843097</v>
      </c>
      <c r="AA97" s="21">
        <f>EXP(-LN(2)/25)*AA96+(1-EXP(-LN(2)/25))/(LN(2)/25)*Calculateur!V97*Calculateur!X97*VLOOKUP('Données projet'!$B$9,Paramètres!$A$1:$I$89,3,0)*0.475*44/12</f>
        <v>2.6016713062738934</v>
      </c>
      <c r="AB97" s="21">
        <f>EXP(-LN(2)/2)*AB96+(1-EXP(-LN(2)/2))/(LN(2)/2)*V97*Y97*VLOOKUP('Données projet'!$B$9,Paramètres!$A$1:$I$89,3,0)*0.475*44/12</f>
        <v>5.1580415576605004E-9</v>
      </c>
      <c r="AC97" s="22">
        <f t="shared" si="57"/>
        <v>3.2885518522203658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-1.2710188457276673E-13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255.5374979188561</v>
      </c>
      <c r="AO97" s="59">
        <f t="shared" si="90"/>
        <v>343.10418468620901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0.86998020506185247</v>
      </c>
      <c r="AV97" s="21">
        <f>EXP(-LN(2)/25)*AV96+(1-EXP(-LN(2)/25))/(LN(2)/25)*Calculateur!AQ97*Calculateur!AS97*VLOOKUP('Données projet'!$B$10,Paramètres!$A$1:$I$89,3,0)*0.475*44/12</f>
        <v>2.7064695754134771</v>
      </c>
      <c r="AW97" s="21">
        <f>EXP(-LN(2)/2)*AW96+(1-EXP(-LN(2)/2))/(LN(2)/2)*AQ97*AT97*VLOOKUP('Données projet'!$B$10,Paramètres!$A$1:$I$89,3,0)*0.475*44/12</f>
        <v>3.9410127314135107E-10</v>
      </c>
      <c r="AX97" s="21">
        <f t="shared" si="60"/>
        <v>3.5764497808694307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8.4</v>
      </c>
      <c r="BD97" s="12">
        <f>IF('Données projet'!$A$88&gt;35,BD96+BC97-BL96,IF(A97&lt;'Données projet'!$A$88,$BA$205^A97,IF(A97='Données projet'!$A$88,'Données projet'!$B$88,BD96+BC97-BL96)))</f>
        <v>327.60000000000019</v>
      </c>
      <c r="BE97" s="13">
        <f>BD97*VLOOKUP('Données projet'!$B$11,Paramètres!$A$1:$I$89,3,0)*VLOOKUP('Données projet'!$B$11,Paramètres!$A$1:$I$89,5,0)</f>
        <v>281.08080000000018</v>
      </c>
      <c r="BF97" s="13">
        <f t="shared" si="91"/>
        <v>67.195361752546177</v>
      </c>
      <c r="BG97" s="20">
        <f t="shared" si="61"/>
        <v>606.58098171901827</v>
      </c>
      <c r="BH97" s="59">
        <f t="shared" si="62"/>
        <v>899.91431505235164</v>
      </c>
      <c r="BI97" s="59">
        <f ca="1">AVERAGE(OFFSET($BH$3,0,0,'Données projet'!$E$11+1,1))-AVERAGE(OFFSET($H$3,0,0,'Données projet'!$E$11+1,1))</f>
        <v>310.4018929413723</v>
      </c>
      <c r="BJ97" s="59">
        <f t="shared" si="92"/>
        <v>127.5231137583819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0.99836268911464787</v>
      </c>
      <c r="BR97" s="21">
        <f>EXP(-LN(2)/2)*BR96+(1-EXP(-LN(2)/2))/(LN(2)/2)*BL97*BO97*VLOOKUP('Données projet'!$B$11,Paramètres!$A$1:$I$89,3,0)*0.475*44/12</f>
        <v>2.0792487392768998E-9</v>
      </c>
      <c r="BS97" s="22">
        <f t="shared" si="63"/>
        <v>0.99836269119389665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210.04871822652808</v>
      </c>
      <c r="CE97" s="59">
        <f t="shared" si="94"/>
        <v>250.17540614049324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2.055543548089275</v>
      </c>
      <c r="CL97" s="21">
        <f>EXP(-LN(2)/25)*CL96+(1-EXP(-LN(2)/25))/(LN(2)/25)*Calculateur!CG97*Calculateur!CI97*VLOOKUP('Données projet'!$B$12,Paramètres!$A$1:$I$89,3,0)*0.475*44/12</f>
        <v>4.7194083105280837</v>
      </c>
      <c r="CM97" s="21">
        <f>EXP(-LN(2)/2)*CM96+(1-EXP(-LN(2)/2))/(LN(2)/2)*CG97*CJ97*VLOOKUP('Données projet'!$B$12,Paramètres!$A$1:$I$89,3,0)*0.475*44/12</f>
        <v>5.0184057879614881E-9</v>
      </c>
      <c r="CN97" s="22">
        <f t="shared" si="66"/>
        <v>6.7749518636357644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-5.1159076974727213E-13</v>
      </c>
      <c r="O98" s="13">
        <f>N98*VLOOKUP('Données projet'!$B$9,Paramètres!$A$1:$I$89,3,0)*VLOOKUP('Données projet'!$B$9,Paramètres!$A$1:$I$89,5,0)</f>
        <v>-3.7509835237869992E-13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234.09142087023463</v>
      </c>
      <c r="T98" s="59">
        <f t="shared" si="88"/>
        <v>278.990685815294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0.67341123233933131</v>
      </c>
      <c r="AA98" s="21">
        <f>EXP(-LN(2)/25)*AA97+(1-EXP(-LN(2)/25))/(LN(2)/25)*Calculateur!V98*Calculateur!X98*VLOOKUP('Données projet'!$B$9,Paramètres!$A$1:$I$89,3,0)*0.475*44/12</f>
        <v>2.5305284675878861</v>
      </c>
      <c r="AB98" s="21">
        <f>EXP(-LN(2)/2)*AB97+(1-EXP(-LN(2)/2))/(LN(2)/2)*V98*Y98*VLOOKUP('Données projet'!$B$9,Paramètres!$A$1:$I$89,3,0)*0.475*44/12</f>
        <v>3.6472861630637624E-9</v>
      </c>
      <c r="AC98" s="22">
        <f t="shared" si="57"/>
        <v>3.2039397035745036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-1.2710188457276673E-13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255.5374979188561</v>
      </c>
      <c r="AO98" s="59">
        <f t="shared" si="90"/>
        <v>343.10418468620901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0.85292042387611877</v>
      </c>
      <c r="AV98" s="21">
        <f>EXP(-LN(2)/25)*AV97+(1-EXP(-LN(2)/25))/(LN(2)/25)*Calculateur!AQ98*Calculateur!AS98*VLOOKUP('Données projet'!$B$10,Paramètres!$A$1:$I$89,3,0)*0.475*44/12</f>
        <v>2.6324610225467464</v>
      </c>
      <c r="AW98" s="21">
        <f>EXP(-LN(2)/2)*AW97+(1-EXP(-LN(2)/2))/(LN(2)/2)*AQ98*AT98*VLOOKUP('Données projet'!$B$10,Paramètres!$A$1:$I$89,3,0)*0.475*44/12</f>
        <v>2.7867168271250113E-10</v>
      </c>
      <c r="AX98" s="21">
        <f t="shared" si="60"/>
        <v>3.4853814467015369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8.4</v>
      </c>
      <c r="BD98" s="12">
        <f>IF('Données projet'!$A$88&gt;35,BD97+BC98-BL97,IF(A98&lt;'Données projet'!$A$88,$BA$205^A98,IF(A98='Données projet'!$A$88,'Données projet'!$B$88,BD97+BC98-BL97)))</f>
        <v>336.00000000000017</v>
      </c>
      <c r="BE98" s="13">
        <f>BD98*VLOOKUP('Données projet'!$B$11,Paramètres!$A$1:$I$89,3,0)*VLOOKUP('Données projet'!$B$11,Paramètres!$A$1:$I$89,5,0)</f>
        <v>288.28800000000018</v>
      </c>
      <c r="BF98" s="13">
        <f t="shared" si="91"/>
        <v>68.715516926722444</v>
      </c>
      <c r="BG98" s="20">
        <f t="shared" si="61"/>
        <v>621.7811253140419</v>
      </c>
      <c r="BH98" s="59">
        <f t="shared" si="62"/>
        <v>915.11445864737516</v>
      </c>
      <c r="BI98" s="59">
        <f ca="1">AVERAGE(OFFSET($BH$3,0,0,'Données projet'!$E$11+1,1))-AVERAGE(OFFSET($H$3,0,0,'Données projet'!$E$11+1,1))</f>
        <v>310.4018929413723</v>
      </c>
      <c r="BJ98" s="59">
        <f t="shared" si="92"/>
        <v>127.5231137583819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0.97106240887919582</v>
      </c>
      <c r="BR98" s="21">
        <f>EXP(-LN(2)/2)*BR97+(1-EXP(-LN(2)/2))/(LN(2)/2)*BL98*BO98*VLOOKUP('Données projet'!$B$11,Paramètres!$A$1:$I$89,3,0)*0.475*44/12</f>
        <v>1.4702508833162756E-9</v>
      </c>
      <c r="BS98" s="22">
        <f t="shared" si="63"/>
        <v>0.97106241034944674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210.04871822652808</v>
      </c>
      <c r="CE98" s="59">
        <f t="shared" si="94"/>
        <v>250.17540614049324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2.0152355928690104</v>
      </c>
      <c r="CL98" s="21">
        <f>EXP(-LN(2)/25)*CL97+(1-EXP(-LN(2)/25))/(LN(2)/25)*Calculateur!CG98*Calculateur!CI98*VLOOKUP('Données projet'!$B$12,Paramètres!$A$1:$I$89,3,0)*0.475*44/12</f>
        <v>4.5903558420937962</v>
      </c>
      <c r="CM98" s="21">
        <f>EXP(-LN(2)/2)*CM97+(1-EXP(-LN(2)/2))/(LN(2)/2)*CG98*CJ98*VLOOKUP('Données projet'!$B$12,Paramètres!$A$1:$I$89,3,0)*0.475*44/12</f>
        <v>3.5485487634133877E-9</v>
      </c>
      <c r="CN98" s="22">
        <f t="shared" si="66"/>
        <v>6.6055914385113557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-5.1159076974727213E-13</v>
      </c>
      <c r="O99" s="13">
        <f>N99*VLOOKUP('Données projet'!$B$9,Paramètres!$A$1:$I$89,3,0)*VLOOKUP('Données projet'!$B$9,Paramètres!$A$1:$I$89,5,0)</f>
        <v>-3.7509835237869992E-13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234.09142087023463</v>
      </c>
      <c r="T99" s="59">
        <f t="shared" si="88"/>
        <v>278.990685815294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0.66020604881345146</v>
      </c>
      <c r="AA99" s="21">
        <f>EXP(-LN(2)/25)*AA98+(1-EXP(-LN(2)/25))/(LN(2)/25)*Calculateur!V99*Calculateur!X99*VLOOKUP('Données projet'!$B$9,Paramètres!$A$1:$I$89,3,0)*0.475*44/12</f>
        <v>2.4613310335669869</v>
      </c>
      <c r="AB99" s="21">
        <f>EXP(-LN(2)/2)*AB98+(1-EXP(-LN(2)/2))/(LN(2)/2)*V99*Y99*VLOOKUP('Données projet'!$B$9,Paramètres!$A$1:$I$89,3,0)*0.475*44/12</f>
        <v>2.5790207788302506E-9</v>
      </c>
      <c r="AC99" s="22">
        <f t="shared" si="57"/>
        <v>3.1215370849594595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-1.2710188457276673E-13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255.5374979188561</v>
      </c>
      <c r="AO99" s="59">
        <f t="shared" si="90"/>
        <v>343.10418468620901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0.83619517459399817</v>
      </c>
      <c r="AV99" s="21">
        <f>EXP(-LN(2)/25)*AV98+(1-EXP(-LN(2)/25))/(LN(2)/25)*Calculateur!AQ99*Calculateur!AS99*VLOOKUP('Données projet'!$B$10,Paramètres!$A$1:$I$89,3,0)*0.475*44/12</f>
        <v>2.5604762374500969</v>
      </c>
      <c r="AW99" s="21">
        <f>EXP(-LN(2)/2)*AW98+(1-EXP(-LN(2)/2))/(LN(2)/2)*AQ99*AT99*VLOOKUP('Données projet'!$B$10,Paramètres!$A$1:$I$89,3,0)*0.475*44/12</f>
        <v>1.9705063657067554E-10</v>
      </c>
      <c r="AX99" s="21">
        <f t="shared" si="60"/>
        <v>3.3966714122411461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8.4</v>
      </c>
      <c r="BD99" s="12">
        <f>IF('Données projet'!$A$88&gt;35,BD98+BC99-BL98,IF(A99&lt;'Données projet'!$A$88,$BA$205^A99,IF(A99='Données projet'!$A$88,'Données projet'!$B$88,BD98+BC99-BL98)))</f>
        <v>344.40000000000015</v>
      </c>
      <c r="BE99" s="13">
        <f>BD99*VLOOKUP('Données projet'!$B$11,Paramètres!$A$1:$I$89,3,0)*VLOOKUP('Données projet'!$B$11,Paramètres!$A$1:$I$89,5,0)</f>
        <v>295.49520000000018</v>
      </c>
      <c r="BF99" s="13">
        <f t="shared" si="91"/>
        <v>70.23125439319044</v>
      </c>
      <c r="BG99" s="20">
        <f t="shared" si="61"/>
        <v>636.97357473480702</v>
      </c>
      <c r="BH99" s="59">
        <f t="shared" si="62"/>
        <v>930.30690806814027</v>
      </c>
      <c r="BI99" s="59">
        <f ca="1">AVERAGE(OFFSET($BH$3,0,0,'Données projet'!$E$11+1,1))-AVERAGE(OFFSET($H$3,0,0,'Données projet'!$E$11+1,1))</f>
        <v>310.4018929413723</v>
      </c>
      <c r="BJ99" s="59">
        <f t="shared" si="92"/>
        <v>127.5231137583819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0.94450865624244151</v>
      </c>
      <c r="BR99" s="21">
        <f>EXP(-LN(2)/2)*BR98+(1-EXP(-LN(2)/2))/(LN(2)/2)*BL99*BO99*VLOOKUP('Données projet'!$B$11,Paramètres!$A$1:$I$89,3,0)*0.475*44/12</f>
        <v>1.0396243696384499E-9</v>
      </c>
      <c r="BS99" s="22">
        <f t="shared" si="63"/>
        <v>0.9445086572820659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210.04871822652808</v>
      </c>
      <c r="CE99" s="59">
        <f t="shared" si="94"/>
        <v>250.17540614049324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1.97571805206519</v>
      </c>
      <c r="CL99" s="21">
        <f>EXP(-LN(2)/25)*CL98+(1-EXP(-LN(2)/25))/(LN(2)/25)*Calculateur!CG99*Calculateur!CI99*VLOOKUP('Données projet'!$B$12,Paramètres!$A$1:$I$89,3,0)*0.475*44/12</f>
        <v>4.464832320195419</v>
      </c>
      <c r="CM99" s="21">
        <f>EXP(-LN(2)/2)*CM98+(1-EXP(-LN(2)/2))/(LN(2)/2)*CG99*CJ99*VLOOKUP('Données projet'!$B$12,Paramètres!$A$1:$I$89,3,0)*0.475*44/12</f>
        <v>2.5092028939807441E-9</v>
      </c>
      <c r="CN99" s="22">
        <f t="shared" si="66"/>
        <v>6.4405503747698116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-5.1159076974727213E-13</v>
      </c>
      <c r="O100" s="13">
        <f>N100*VLOOKUP('Données projet'!$B$9,Paramètres!$A$1:$I$89,3,0)*VLOOKUP('Données projet'!$B$9,Paramètres!$A$1:$I$89,5,0)</f>
        <v>-3.7509835237869992E-13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234.09142087023463</v>
      </c>
      <c r="T100" s="59">
        <f t="shared" si="88"/>
        <v>278.990685815294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0.64725981088214757</v>
      </c>
      <c r="AA100" s="21">
        <f>EXP(-LN(2)/25)*AA99+(1-EXP(-LN(2)/25))/(LN(2)/25)*Calculateur!V100*Calculateur!X100*VLOOKUP('Données projet'!$B$9,Paramètres!$A$1:$I$89,3,0)*0.475*44/12</f>
        <v>2.3940258070183242</v>
      </c>
      <c r="AB100" s="21">
        <f>EXP(-LN(2)/2)*AB99+(1-EXP(-LN(2)/2))/(LN(2)/2)*V100*Y100*VLOOKUP('Données projet'!$B$9,Paramètres!$A$1:$I$89,3,0)*0.475*44/12</f>
        <v>1.8236430815318816E-9</v>
      </c>
      <c r="AC100" s="22">
        <f t="shared" si="57"/>
        <v>3.0412856197241149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-1.2710188457276673E-13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255.5374979188561</v>
      </c>
      <c r="AO100" s="59">
        <f t="shared" si="90"/>
        <v>343.10418468620901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0.81979789724890517</v>
      </c>
      <c r="AV100" s="21">
        <f>EXP(-LN(2)/25)*AV99+(1-EXP(-LN(2)/25))/(LN(2)/25)*Calculateur!AQ100*Calculateur!AS100*VLOOKUP('Données projet'!$B$10,Paramètres!$A$1:$I$89,3,0)*0.475*44/12</f>
        <v>2.4904598800874309</v>
      </c>
      <c r="AW100" s="21">
        <f>EXP(-LN(2)/2)*AW99+(1-EXP(-LN(2)/2))/(LN(2)/2)*AQ100*AT100*VLOOKUP('Données projet'!$B$10,Paramètres!$A$1:$I$89,3,0)*0.475*44/12</f>
        <v>1.3933584135625056E-10</v>
      </c>
      <c r="AX100" s="21">
        <f t="shared" si="60"/>
        <v>3.3102577774756718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8.4</v>
      </c>
      <c r="BD100" s="12">
        <f>IF('Données projet'!$A$88&gt;35,BD99+BC100-BL99,IF(A100&lt;'Données projet'!$A$88,$BA$205^A100,IF(A100='Données projet'!$A$88,'Données projet'!$B$88,BD99+BC100-BL99)))</f>
        <v>352.80000000000013</v>
      </c>
      <c r="BE100" s="13">
        <f>BD100*VLOOKUP('Données projet'!$B$11,Paramètres!$A$1:$I$89,3,0)*VLOOKUP('Données projet'!$B$11,Paramètres!$A$1:$I$89,5,0)</f>
        <v>302.70240000000013</v>
      </c>
      <c r="BF100" s="13">
        <f t="shared" si="91"/>
        <v>71.742694296396621</v>
      </c>
      <c r="BG100" s="20">
        <f t="shared" si="61"/>
        <v>652.15853923289103</v>
      </c>
      <c r="BH100" s="59">
        <f t="shared" si="62"/>
        <v>945.4918725662244</v>
      </c>
      <c r="BI100" s="59">
        <f ca="1">AVERAGE(OFFSET($BH$3,0,0,'Données projet'!$E$11+1,1))-AVERAGE(OFFSET($H$3,0,0,'Données projet'!$E$11+1,1))</f>
        <v>310.4018929413723</v>
      </c>
      <c r="BJ100" s="59">
        <f t="shared" si="92"/>
        <v>127.5231137583819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0.91868101736794039</v>
      </c>
      <c r="BR100" s="21">
        <f>EXP(-LN(2)/2)*BR99+(1-EXP(-LN(2)/2))/(LN(2)/2)*BL100*BO100*VLOOKUP('Données projet'!$B$11,Paramètres!$A$1:$I$89,3,0)*0.475*44/12</f>
        <v>7.351254416581378E-10</v>
      </c>
      <c r="BS100" s="22">
        <f t="shared" si="63"/>
        <v>0.91868101810306579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210.04871822652808</v>
      </c>
      <c r="CE100" s="59">
        <f t="shared" si="94"/>
        <v>250.17540614049324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1.9369754261332128</v>
      </c>
      <c r="CL100" s="21">
        <f>EXP(-LN(2)/25)*CL99+(1-EXP(-LN(2)/25))/(LN(2)/25)*Calculateur!CG100*Calculateur!CI100*VLOOKUP('Données projet'!$B$12,Paramètres!$A$1:$I$89,3,0)*0.475*44/12</f>
        <v>4.3427412456043477</v>
      </c>
      <c r="CM100" s="21">
        <f>EXP(-LN(2)/2)*CM99+(1-EXP(-LN(2)/2))/(LN(2)/2)*CG100*CJ100*VLOOKUP('Données projet'!$B$12,Paramètres!$A$1:$I$89,3,0)*0.475*44/12</f>
        <v>1.7742743817066938E-9</v>
      </c>
      <c r="CN100" s="22">
        <f t="shared" si="66"/>
        <v>6.2797166735118344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-5.1159076974727213E-13</v>
      </c>
      <c r="O101" s="13">
        <f>N101*VLOOKUP('Données projet'!$B$9,Paramètres!$A$1:$I$89,3,0)*VLOOKUP('Données projet'!$B$9,Paramètres!$A$1:$I$89,5,0)</f>
        <v>-3.7509835237869992E-13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234.09142087023463</v>
      </c>
      <c r="T101" s="59">
        <f t="shared" si="88"/>
        <v>278.990685815294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0.63456744078025107</v>
      </c>
      <c r="AA101" s="21">
        <f>EXP(-LN(2)/25)*AA100+(1-EXP(-LN(2)/25))/(LN(2)/25)*Calculateur!V101*Calculateur!X101*VLOOKUP('Données projet'!$B$9,Paramètres!$A$1:$I$89,3,0)*0.475*44/12</f>
        <v>2.3285610454290624</v>
      </c>
      <c r="AB101" s="21">
        <f>EXP(-LN(2)/2)*AB100+(1-EXP(-LN(2)/2))/(LN(2)/2)*V101*Y101*VLOOKUP('Données projet'!$B$9,Paramètres!$A$1:$I$89,3,0)*0.475*44/12</f>
        <v>1.2895103894151255E-9</v>
      </c>
      <c r="AC101" s="22">
        <f t="shared" si="57"/>
        <v>2.9631284874988237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-1.2710188457276673E-13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255.5374979188561</v>
      </c>
      <c r="AO101" s="59">
        <f t="shared" si="90"/>
        <v>343.10418468620901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0.80372216051119783</v>
      </c>
      <c r="AV101" s="21">
        <f>EXP(-LN(2)/25)*AV100+(1-EXP(-LN(2)/25))/(LN(2)/25)*Calculateur!AQ101*Calculateur!AS101*VLOOKUP('Données projet'!$B$10,Paramètres!$A$1:$I$89,3,0)*0.475*44/12</f>
        <v>2.4223581236988472</v>
      </c>
      <c r="AW101" s="21">
        <f>EXP(-LN(2)/2)*AW100+(1-EXP(-LN(2)/2))/(LN(2)/2)*AQ101*AT101*VLOOKUP('Données projet'!$B$10,Paramètres!$A$1:$I$89,3,0)*0.475*44/12</f>
        <v>9.8525318285337768E-11</v>
      </c>
      <c r="AX101" s="21">
        <f t="shared" si="60"/>
        <v>3.2260802843085701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8.4</v>
      </c>
      <c r="BD101" s="12">
        <f>IF('Données projet'!$A$88&gt;35,BD100+BC101-BL100,IF(A101&lt;'Données projet'!$A$88,$BA$205^A101,IF(A101='Données projet'!$A$88,'Données projet'!$B$88,BD100+BC101-BL100)))</f>
        <v>361.2000000000001</v>
      </c>
      <c r="BE101" s="13">
        <f>BD101*VLOOKUP('Données projet'!$B$11,Paramètres!$A$1:$I$89,3,0)*VLOOKUP('Données projet'!$B$11,Paramètres!$A$1:$I$89,5,0)</f>
        <v>309.90960000000013</v>
      </c>
      <c r="BF101" s="13">
        <f t="shared" si="91"/>
        <v>73.249950733312943</v>
      </c>
      <c r="BG101" s="20">
        <f t="shared" si="61"/>
        <v>667.33621752718682</v>
      </c>
      <c r="BH101" s="59">
        <f t="shared" si="62"/>
        <v>960.66955086052008</v>
      </c>
      <c r="BI101" s="59">
        <f ca="1">AVERAGE(OFFSET($BH$3,0,0,'Données projet'!$E$11+1,1))-AVERAGE(OFFSET($H$3,0,0,'Données projet'!$E$11+1,1))</f>
        <v>310.4018929413723</v>
      </c>
      <c r="BJ101" s="59">
        <f t="shared" si="92"/>
        <v>127.5231137583819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0.89355963663667903</v>
      </c>
      <c r="BR101" s="21">
        <f>EXP(-LN(2)/2)*BR100+(1-EXP(-LN(2)/2))/(LN(2)/2)*BL101*BO101*VLOOKUP('Données projet'!$B$11,Paramètres!$A$1:$I$89,3,0)*0.475*44/12</f>
        <v>5.1981218481922495E-10</v>
      </c>
      <c r="BS101" s="22">
        <f t="shared" si="63"/>
        <v>0.89355963715649123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210.04871822652808</v>
      </c>
      <c r="CE101" s="59">
        <f t="shared" si="94"/>
        <v>250.17540614049324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1.8989925194650932</v>
      </c>
      <c r="CL101" s="21">
        <f>EXP(-LN(2)/25)*CL100+(1-EXP(-LN(2)/25))/(LN(2)/25)*Calculateur!CG101*Calculateur!CI101*VLOOKUP('Données projet'!$B$12,Paramètres!$A$1:$I$89,3,0)*0.475*44/12</f>
        <v>4.2239887578684598</v>
      </c>
      <c r="CM101" s="21">
        <f>EXP(-LN(2)/2)*CM100+(1-EXP(-LN(2)/2))/(LN(2)/2)*CG101*CJ101*VLOOKUP('Données projet'!$B$12,Paramètres!$A$1:$I$89,3,0)*0.475*44/12</f>
        <v>1.254601446990372E-9</v>
      </c>
      <c r="CN101" s="22">
        <f t="shared" si="66"/>
        <v>6.1229812785881546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-5.1159076974727213E-13</v>
      </c>
      <c r="O102" s="13">
        <f>N102*VLOOKUP('Données projet'!$B$9,Paramètres!$A$1:$I$89,3,0)*VLOOKUP('Données projet'!$B$9,Paramètres!$A$1:$I$89,5,0)</f>
        <v>-3.7509835237869992E-13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234.09142087023463</v>
      </c>
      <c r="T102" s="59">
        <f t="shared" si="88"/>
        <v>278.990685815294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0.62212396031447137</v>
      </c>
      <c r="AA102" s="21">
        <f>EXP(-LN(2)/25)*AA101+(1-EXP(-LN(2)/25))/(LN(2)/25)*Calculateur!V102*Calculateur!X102*VLOOKUP('Données projet'!$B$9,Paramètres!$A$1:$I$89,3,0)*0.475*44/12</f>
        <v>2.2648864211881015</v>
      </c>
      <c r="AB102" s="21">
        <f>EXP(-LN(2)/2)*AB101+(1-EXP(-LN(2)/2))/(LN(2)/2)*V102*Y102*VLOOKUP('Données projet'!$B$9,Paramètres!$A$1:$I$89,3,0)*0.475*44/12</f>
        <v>9.1182154076594091E-10</v>
      </c>
      <c r="AC102" s="22">
        <f t="shared" si="57"/>
        <v>2.8870103824143944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-1.2710188457276673E-13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255.5374979188561</v>
      </c>
      <c r="AO102" s="59">
        <f t="shared" si="90"/>
        <v>343.10418468620901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0.78796165916568572</v>
      </c>
      <c r="AV102" s="21">
        <f>EXP(-LN(2)/25)*AV101+(1-EXP(-LN(2)/25))/(LN(2)/25)*Calculateur!AQ102*Calculateur!AS102*VLOOKUP('Données projet'!$B$10,Paramètres!$A$1:$I$89,3,0)*0.475*44/12</f>
        <v>2.3561186134200249</v>
      </c>
      <c r="AW102" s="21">
        <f>EXP(-LN(2)/2)*AW101+(1-EXP(-LN(2)/2))/(LN(2)/2)*AQ102*AT102*VLOOKUP('Données projet'!$B$10,Paramètres!$A$1:$I$89,3,0)*0.475*44/12</f>
        <v>6.9667920678125282E-11</v>
      </c>
      <c r="AX102" s="21">
        <f t="shared" si="60"/>
        <v>3.1440802726553785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8.4</v>
      </c>
      <c r="BD102" s="12">
        <f>IF('Données projet'!$A$88&gt;35,BD101+BC102-BL101,IF(A102&lt;'Données projet'!$A$88,$BA$205^A102,IF(A102='Données projet'!$A$88,'Données projet'!$B$88,BD101+BC102-BL101)))</f>
        <v>369.60000000000008</v>
      </c>
      <c r="BE102" s="13">
        <f>BD102*VLOOKUP('Données projet'!$B$11,Paramètres!$A$1:$I$89,3,0)*VLOOKUP('Données projet'!$B$11,Paramètres!$A$1:$I$89,5,0)</f>
        <v>317.11680000000013</v>
      </c>
      <c r="BF102" s="13">
        <f t="shared" si="91"/>
        <v>74.753132191289879</v>
      </c>
      <c r="BG102" s="20">
        <f t="shared" si="61"/>
        <v>682.50679856649674</v>
      </c>
      <c r="BH102" s="59">
        <f t="shared" si="62"/>
        <v>975.84013189983011</v>
      </c>
      <c r="BI102" s="59">
        <f ca="1">AVERAGE(OFFSET($BH$3,0,0,'Données projet'!$E$11+1,1))-AVERAGE(OFFSET($H$3,0,0,'Données projet'!$E$11+1,1))</f>
        <v>310.4018929413723</v>
      </c>
      <c r="BJ102" s="59">
        <f t="shared" si="92"/>
        <v>127.5231137583819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0.86912520138258997</v>
      </c>
      <c r="BR102" s="21">
        <f>EXP(-LN(2)/2)*BR101+(1-EXP(-LN(2)/2))/(LN(2)/2)*BL102*BO102*VLOOKUP('Données projet'!$B$11,Paramètres!$A$1:$I$89,3,0)*0.475*44/12</f>
        <v>3.675627208290689E-10</v>
      </c>
      <c r="BS102" s="22">
        <f t="shared" si="63"/>
        <v>0.86912520175015273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210.04871822652808</v>
      </c>
      <c r="CE102" s="59">
        <f t="shared" si="94"/>
        <v>250.17540614049324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1.8617544344294499</v>
      </c>
      <c r="CL102" s="21">
        <f>EXP(-LN(2)/25)*CL101+(1-EXP(-LN(2)/25))/(LN(2)/25)*Calculateur!CG102*Calculateur!CI102*VLOOKUP('Données projet'!$B$12,Paramètres!$A$1:$I$89,3,0)*0.475*44/12</f>
        <v>4.1084835631546319</v>
      </c>
      <c r="CM102" s="21">
        <f>EXP(-LN(2)/2)*CM101+(1-EXP(-LN(2)/2))/(LN(2)/2)*CG102*CJ102*VLOOKUP('Données projet'!$B$12,Paramètres!$A$1:$I$89,3,0)*0.475*44/12</f>
        <v>8.8713719085334691E-10</v>
      </c>
      <c r="CN102" s="22">
        <f t="shared" si="66"/>
        <v>5.9702379984712195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-5.1159076974727213E-13</v>
      </c>
      <c r="O103" s="13">
        <f>N103*VLOOKUP('Données projet'!$B$9,Paramètres!$A$1:$I$89,3,0)*VLOOKUP('Données projet'!$B$9,Paramètres!$A$1:$I$89,5,0)</f>
        <v>-3.7509835237869992E-13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234.09142087023463</v>
      </c>
      <c r="T103" s="59">
        <f t="shared" si="88"/>
        <v>278.990685815294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0.60992448891085205</v>
      </c>
      <c r="AA103" s="21">
        <f>EXP(-LN(2)/25)*AA102+(1-EXP(-LN(2)/25))/(LN(2)/25)*Calculateur!V103*Calculateur!X103*VLOOKUP('Données projet'!$B$9,Paramètres!$A$1:$I$89,3,0)*0.475*44/12</f>
        <v>2.2029529828955123</v>
      </c>
      <c r="AB103" s="21">
        <f>EXP(-LN(2)/2)*AB102+(1-EXP(-LN(2)/2))/(LN(2)/2)*V103*Y103*VLOOKUP('Données projet'!$B$9,Paramètres!$A$1:$I$89,3,0)*0.475*44/12</f>
        <v>6.4475519470756286E-10</v>
      </c>
      <c r="AC103" s="22">
        <f t="shared" si="57"/>
        <v>2.8128774724511199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-1.2710188457276673E-13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255.5374979188561</v>
      </c>
      <c r="AO103" s="59">
        <f t="shared" si="90"/>
        <v>343.10418468620901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0.77251021163860245</v>
      </c>
      <c r="AV103" s="21">
        <f>EXP(-LN(2)/25)*AV102+(1-EXP(-LN(2)/25))/(LN(2)/25)*Calculateur!AQ103*Calculateur!AS103*VLOOKUP('Données projet'!$B$10,Paramètres!$A$1:$I$89,3,0)*0.475*44/12</f>
        <v>2.2916904260331616</v>
      </c>
      <c r="AW103" s="21">
        <f>EXP(-LN(2)/2)*AW102+(1-EXP(-LN(2)/2))/(LN(2)/2)*AQ103*AT103*VLOOKUP('Données projet'!$B$10,Paramètres!$A$1:$I$89,3,0)*0.475*44/12</f>
        <v>4.9262659142668884E-11</v>
      </c>
      <c r="AX103" s="21">
        <f t="shared" si="60"/>
        <v>3.0642006377210267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378</v>
      </c>
      <c r="BB103" s="12">
        <f>VLOOKUP(A103,'Données projet'!$A$87:$I$107,9,0)</f>
        <v>8.4</v>
      </c>
      <c r="BC103" s="12">
        <f t="array" ref="BC103">INDEX(BB:BB,MIN(IF(ISNUMBER(BB103:BB299),ROW(BB103:BB299),"")))</f>
        <v>8.4</v>
      </c>
      <c r="BD103" s="12">
        <f>IF('Données projet'!$A$88&gt;35,BD102+BC103-BL102,IF(A103&lt;'Données projet'!$A$88,$BA$205^A103,IF(A103='Données projet'!$A$88,'Données projet'!$B$88,BD102+BC103-BL102)))</f>
        <v>378.00000000000006</v>
      </c>
      <c r="BE103" s="13">
        <f>BD103*VLOOKUP('Données projet'!$B$11,Paramètres!$A$1:$I$89,3,0)*VLOOKUP('Données projet'!$B$11,Paramètres!$A$1:$I$89,5,0)</f>
        <v>324.32400000000007</v>
      </c>
      <c r="BF103" s="13">
        <f t="shared" si="91"/>
        <v>76.25234194498276</v>
      </c>
      <c r="BG103" s="20">
        <f t="shared" si="61"/>
        <v>697.67046222084502</v>
      </c>
      <c r="BH103" s="59">
        <f t="shared" si="62"/>
        <v>991.0037955541784</v>
      </c>
      <c r="BI103" s="59">
        <f ca="1">AVERAGE(OFFSET($BH$3,0,0,'Données projet'!$E$11+1,1))-AVERAGE(OFFSET($H$3,0,0,'Données projet'!$E$11+1,1))</f>
        <v>310.4018929413723</v>
      </c>
      <c r="BJ103" s="59">
        <f t="shared" si="92"/>
        <v>127.5231137583819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0.84535892704547511</v>
      </c>
      <c r="BR103" s="21">
        <f>EXP(-LN(2)/2)*BR102+(1-EXP(-LN(2)/2))/(LN(2)/2)*BL103*BO103*VLOOKUP('Données projet'!$B$11,Paramètres!$A$1:$I$89,3,0)*0.475*44/12</f>
        <v>2.5990609240961248E-10</v>
      </c>
      <c r="BS103" s="22">
        <f t="shared" si="63"/>
        <v>0.8453589273053812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210.04871822652808</v>
      </c>
      <c r="CE103" s="59">
        <f t="shared" si="94"/>
        <v>250.17540614049324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1.8252465655283663</v>
      </c>
      <c r="CL103" s="21">
        <f>EXP(-LN(2)/25)*CL102+(1-EXP(-LN(2)/25))/(LN(2)/25)*Calculateur!CG103*Calculateur!CI103*VLOOKUP('Données projet'!$B$12,Paramètres!$A$1:$I$89,3,0)*0.475*44/12</f>
        <v>3.9961368640644079</v>
      </c>
      <c r="CM103" s="21">
        <f>EXP(-LN(2)/2)*CM102+(1-EXP(-LN(2)/2))/(LN(2)/2)*CG103*CJ103*VLOOKUP('Données projet'!$B$12,Paramètres!$A$1:$I$89,3,0)*0.475*44/12</f>
        <v>6.2730072349518602E-10</v>
      </c>
      <c r="CN103" s="22">
        <f t="shared" si="66"/>
        <v>5.8213834302200755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-5.1159076974727213E-13</v>
      </c>
      <c r="O104" s="13">
        <f>N104*VLOOKUP('Données projet'!$B$9,Paramètres!$A$1:$I$89,3,0)*VLOOKUP('Données projet'!$B$9,Paramètres!$A$1:$I$89,5,0)</f>
        <v>-3.7509835237869992E-13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234.09142087023463</v>
      </c>
      <c r="T104" s="59">
        <f t="shared" si="88"/>
        <v>278.990685815294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0.59796424170051488</v>
      </c>
      <c r="AA104" s="21">
        <f>EXP(-LN(2)/25)*AA103+(1-EXP(-LN(2)/25))/(LN(2)/25)*Calculateur!V104*Calculateur!X104*VLOOKUP('Données projet'!$B$9,Paramètres!$A$1:$I$89,3,0)*0.475*44/12</f>
        <v>2.1427131177299721</v>
      </c>
      <c r="AB104" s="21">
        <f>EXP(-LN(2)/2)*AB103+(1-EXP(-LN(2)/2))/(LN(2)/2)*V104*Y104*VLOOKUP('Données projet'!$B$9,Paramètres!$A$1:$I$89,3,0)*0.475*44/12</f>
        <v>4.5591077038297051E-10</v>
      </c>
      <c r="AC104" s="22">
        <f t="shared" si="57"/>
        <v>2.7406773598863978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-1.2710188457276673E-13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255.5374979188561</v>
      </c>
      <c r="AO104" s="59">
        <f t="shared" si="90"/>
        <v>343.10418468620901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0.75736175757307289</v>
      </c>
      <c r="AV104" s="21">
        <f>EXP(-LN(2)/25)*AV103+(1-EXP(-LN(2)/25))/(LN(2)/25)*Calculateur!AQ104*Calculateur!AS104*VLOOKUP('Données projet'!$B$10,Paramètres!$A$1:$I$89,3,0)*0.475*44/12</f>
        <v>2.2290240308185232</v>
      </c>
      <c r="AW104" s="21">
        <f>EXP(-LN(2)/2)*AW103+(1-EXP(-LN(2)/2))/(LN(2)/2)*AQ104*AT104*VLOOKUP('Données projet'!$B$10,Paramètres!$A$1:$I$89,3,0)*0.475*44/12</f>
        <v>3.4833960339062641E-11</v>
      </c>
      <c r="AX104" s="21">
        <f t="shared" si="60"/>
        <v>2.9863857884264298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7.6</v>
      </c>
      <c r="BD104" s="12">
        <f>IF('Données projet'!$A$88&gt;35,BD103+BC104-BL103,IF(A104&lt;'Données projet'!$A$88,$BA$205^A104,IF(A104='Données projet'!$A$88,'Données projet'!$B$88,BD103+BC104-BL103)))</f>
        <v>322.60000000000008</v>
      </c>
      <c r="BE104" s="13">
        <f>BD104*VLOOKUP('Données projet'!$B$11,Paramètres!$A$1:$I$89,3,0)*VLOOKUP('Données projet'!$B$11,Paramètres!$A$1:$I$89,5,0)</f>
        <v>276.7908000000001</v>
      </c>
      <c r="BF104" s="13">
        <f t="shared" si="91"/>
        <v>66.288358331926389</v>
      </c>
      <c r="BG104" s="20">
        <f t="shared" si="61"/>
        <v>597.52953409477198</v>
      </c>
      <c r="BH104" s="59">
        <f t="shared" si="62"/>
        <v>890.86286742810535</v>
      </c>
      <c r="BI104" s="59">
        <f ca="1">AVERAGE(OFFSET($BH$3,0,0,'Données projet'!$E$11+1,1))-AVERAGE(OFFSET($H$3,0,0,'Données projet'!$E$11+1,1))</f>
        <v>310.4018929413723</v>
      </c>
      <c r="BJ104" s="59">
        <f t="shared" si="92"/>
        <v>127.5231137583819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0.8222425427299227</v>
      </c>
      <c r="BR104" s="21">
        <f>EXP(-LN(2)/2)*BR103+(1-EXP(-LN(2)/2))/(LN(2)/2)*BL104*BO104*VLOOKUP('Données projet'!$B$11,Paramètres!$A$1:$I$89,3,0)*0.475*44/12</f>
        <v>1.8378136041453445E-10</v>
      </c>
      <c r="BS104" s="22">
        <f t="shared" si="63"/>
        <v>0.82224254291370402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210.04871822652808</v>
      </c>
      <c r="CE104" s="59">
        <f t="shared" si="94"/>
        <v>250.17540614049324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1.7894545936688318</v>
      </c>
      <c r="CL104" s="21">
        <f>EXP(-LN(2)/25)*CL103+(1-EXP(-LN(2)/25))/(LN(2)/25)*Calculateur!CG104*Calculateur!CI104*VLOOKUP('Données projet'!$B$12,Paramètres!$A$1:$I$89,3,0)*0.475*44/12</f>
        <v>3.8868622913688622</v>
      </c>
      <c r="CM104" s="21">
        <f>EXP(-LN(2)/2)*CM103+(1-EXP(-LN(2)/2))/(LN(2)/2)*CG104*CJ104*VLOOKUP('Données projet'!$B$12,Paramètres!$A$1:$I$89,3,0)*0.475*44/12</f>
        <v>4.4356859542667346E-10</v>
      </c>
      <c r="CN104" s="22">
        <f t="shared" si="66"/>
        <v>5.6763168854812625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-5.1159076974727213E-13</v>
      </c>
      <c r="O105" s="13">
        <f>N105*VLOOKUP('Données projet'!$B$9,Paramètres!$A$1:$I$89,3,0)*VLOOKUP('Données projet'!$B$9,Paramètres!$A$1:$I$89,5,0)</f>
        <v>-3.7509835237869992E-13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234.09142087023463</v>
      </c>
      <c r="T105" s="59">
        <f t="shared" si="88"/>
        <v>278.990685815294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0.58623852764294193</v>
      </c>
      <c r="AA105" s="21">
        <f>EXP(-LN(2)/25)*AA104+(1-EXP(-LN(2)/25))/(LN(2)/25)*Calculateur!V105*Calculateur!X105*VLOOKUP('Données projet'!$B$9,Paramètres!$A$1:$I$89,3,0)*0.475*44/12</f>
        <v>2.0841205148452602</v>
      </c>
      <c r="AB105" s="21">
        <f>EXP(-LN(2)/2)*AB104+(1-EXP(-LN(2)/2))/(LN(2)/2)*V105*Y105*VLOOKUP('Données projet'!$B$9,Paramètres!$A$1:$I$89,3,0)*0.475*44/12</f>
        <v>3.2237759735378148E-10</v>
      </c>
      <c r="AC105" s="22">
        <f t="shared" si="57"/>
        <v>2.6703590428105799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-1.2710188457276673E-13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255.5374979188561</v>
      </c>
      <c r="AO105" s="59">
        <f t="shared" si="90"/>
        <v>343.10418468620901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0.74251035545212374</v>
      </c>
      <c r="AV105" s="21">
        <f>EXP(-LN(2)/25)*AV104+(1-EXP(-LN(2)/25))/(LN(2)/25)*Calculateur!AQ105*Calculateur!AS105*VLOOKUP('Données projet'!$B$10,Paramètres!$A$1:$I$89,3,0)*0.475*44/12</f>
        <v>2.1680712514765115</v>
      </c>
      <c r="AW105" s="21">
        <f>EXP(-LN(2)/2)*AW104+(1-EXP(-LN(2)/2))/(LN(2)/2)*AQ105*AT105*VLOOKUP('Données projet'!$B$10,Paramètres!$A$1:$I$89,3,0)*0.475*44/12</f>
        <v>2.4631329571334442E-11</v>
      </c>
      <c r="AX105" s="21">
        <f t="shared" si="60"/>
        <v>2.9105816069532664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7.6</v>
      </c>
      <c r="BD105" s="12">
        <f>IF('Données projet'!$A$88&gt;35,BD104+BC105-BL104,IF(A105&lt;'Données projet'!$A$88,$BA$205^A105,IF(A105='Données projet'!$A$88,'Données projet'!$B$88,BD104+BC105-BL104)))</f>
        <v>330.2000000000001</v>
      </c>
      <c r="BE105" s="13">
        <f>BD105*VLOOKUP('Données projet'!$B$11,Paramètres!$A$1:$I$89,3,0)*VLOOKUP('Données projet'!$B$11,Paramètres!$A$1:$I$89,5,0)</f>
        <v>283.31160000000011</v>
      </c>
      <c r="BF105" s="13">
        <f t="shared" si="91"/>
        <v>67.666365540271329</v>
      </c>
      <c r="BG105" s="20">
        <f t="shared" si="61"/>
        <v>611.28662331597275</v>
      </c>
      <c r="BH105" s="59">
        <f t="shared" si="62"/>
        <v>904.619956649306</v>
      </c>
      <c r="BI105" s="59">
        <f ca="1">AVERAGE(OFFSET($BH$3,0,0,'Données projet'!$E$11+1,1))-AVERAGE(OFFSET($H$3,0,0,'Données projet'!$E$11+1,1))</f>
        <v>310.4018929413723</v>
      </c>
      <c r="BJ105" s="59">
        <f t="shared" si="92"/>
        <v>127.5231137583819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0.79975827715911685</v>
      </c>
      <c r="BR105" s="21">
        <f>EXP(-LN(2)/2)*BR104+(1-EXP(-LN(2)/2))/(LN(2)/2)*BL105*BO105*VLOOKUP('Données projet'!$B$11,Paramètres!$A$1:$I$89,3,0)*0.475*44/12</f>
        <v>1.2995304620480624E-10</v>
      </c>
      <c r="BS105" s="22">
        <f t="shared" si="63"/>
        <v>0.7997582772890699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210.04871822652808</v>
      </c>
      <c r="CE105" s="59">
        <f t="shared" si="94"/>
        <v>250.17540614049324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1.7543644805465155</v>
      </c>
      <c r="CL105" s="21">
        <f>EXP(-LN(2)/25)*CL104+(1-EXP(-LN(2)/25))/(LN(2)/25)*Calculateur!CG105*Calculateur!CI105*VLOOKUP('Données projet'!$B$12,Paramètres!$A$1:$I$89,3,0)*0.475*44/12</f>
        <v>3.7805758376101761</v>
      </c>
      <c r="CM105" s="21">
        <f>EXP(-LN(2)/2)*CM104+(1-EXP(-LN(2)/2))/(LN(2)/2)*CG105*CJ105*VLOOKUP('Données projet'!$B$12,Paramètres!$A$1:$I$89,3,0)*0.475*44/12</f>
        <v>3.1365036174759301E-10</v>
      </c>
      <c r="CN105" s="22">
        <f t="shared" si="66"/>
        <v>5.5349403184703423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-5.1159076974727213E-13</v>
      </c>
      <c r="O106" s="13">
        <f>N106*VLOOKUP('Données projet'!$B$9,Paramètres!$A$1:$I$89,3,0)*VLOOKUP('Données projet'!$B$9,Paramètres!$A$1:$I$89,5,0)</f>
        <v>-3.7509835237869992E-13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234.09142087023463</v>
      </c>
      <c r="T106" s="59">
        <f t="shared" si="88"/>
        <v>278.990685815294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0.5747427476860586</v>
      </c>
      <c r="AA106" s="21">
        <f>EXP(-LN(2)/25)*AA105+(1-EXP(-LN(2)/25))/(LN(2)/25)*Calculateur!V106*Calculateur!X106*VLOOKUP('Données projet'!$B$9,Paramètres!$A$1:$I$89,3,0)*0.475*44/12</f>
        <v>2.027130129767682</v>
      </c>
      <c r="AB106" s="21">
        <f>EXP(-LN(2)/2)*AB105+(1-EXP(-LN(2)/2))/(LN(2)/2)*V106*Y106*VLOOKUP('Données projet'!$B$9,Paramètres!$A$1:$I$89,3,0)*0.475*44/12</f>
        <v>2.2795538519148531E-10</v>
      </c>
      <c r="AC106" s="22">
        <f t="shared" si="57"/>
        <v>2.601872877681696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-1.2710188457276673E-13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255.5374979188561</v>
      </c>
      <c r="AO106" s="59">
        <f t="shared" si="90"/>
        <v>343.10418468620901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0.7279501802683056</v>
      </c>
      <c r="AV106" s="21">
        <f>EXP(-LN(2)/25)*AV105+(1-EXP(-LN(2)/25))/(LN(2)/25)*Calculateur!AQ106*Calculateur!AS106*VLOOKUP('Données projet'!$B$10,Paramètres!$A$1:$I$89,3,0)*0.475*44/12</f>
        <v>2.1087852290909743</v>
      </c>
      <c r="AW106" s="21">
        <f>EXP(-LN(2)/2)*AW105+(1-EXP(-LN(2)/2))/(LN(2)/2)*AQ106*AT106*VLOOKUP('Données projet'!$B$10,Paramètres!$A$1:$I$89,3,0)*0.475*44/12</f>
        <v>1.741698016953132E-11</v>
      </c>
      <c r="AX106" s="21">
        <f t="shared" si="60"/>
        <v>2.836735409376697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7.6</v>
      </c>
      <c r="BD106" s="12">
        <f>IF('Données projet'!$A$88&gt;35,BD105+BC106-BL105,IF(A106&lt;'Données projet'!$A$88,$BA$205^A106,IF(A106='Données projet'!$A$88,'Données projet'!$B$88,BD105+BC106-BL105)))</f>
        <v>337.80000000000013</v>
      </c>
      <c r="BE106" s="13">
        <f>BD106*VLOOKUP('Données projet'!$B$11,Paramètres!$A$1:$I$89,3,0)*VLOOKUP('Données projet'!$B$11,Paramètres!$A$1:$I$89,5,0)</f>
        <v>289.83240000000012</v>
      </c>
      <c r="BF106" s="13">
        <f t="shared" si="91"/>
        <v>69.040685521472909</v>
      </c>
      <c r="BG106" s="20">
        <f t="shared" si="61"/>
        <v>625.03729061656554</v>
      </c>
      <c r="BH106" s="59">
        <f t="shared" si="62"/>
        <v>918.3706239498988</v>
      </c>
      <c r="BI106" s="59">
        <f ca="1">AVERAGE(OFFSET($BH$3,0,0,'Données projet'!$E$11+1,1))-AVERAGE(OFFSET($H$3,0,0,'Données projet'!$E$11+1,1))</f>
        <v>310.4018929413723</v>
      </c>
      <c r="BJ106" s="59">
        <f t="shared" si="92"/>
        <v>127.5231137583819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0.77788884501274091</v>
      </c>
      <c r="BR106" s="21">
        <f>EXP(-LN(2)/2)*BR105+(1-EXP(-LN(2)/2))/(LN(2)/2)*BL106*BO106*VLOOKUP('Données projet'!$B$11,Paramètres!$A$1:$I$89,3,0)*0.475*44/12</f>
        <v>9.1890680207267225E-11</v>
      </c>
      <c r="BS106" s="22">
        <f t="shared" si="63"/>
        <v>0.77788884510463163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210.04871822652808</v>
      </c>
      <c r="CE106" s="59">
        <f t="shared" si="94"/>
        <v>250.17540614049324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1.7199624631396722</v>
      </c>
      <c r="CL106" s="21">
        <f>EXP(-LN(2)/25)*CL105+(1-EXP(-LN(2)/25))/(LN(2)/25)*Calculateur!CG106*Calculateur!CI106*VLOOKUP('Données projet'!$B$12,Paramètres!$A$1:$I$89,3,0)*0.475*44/12</f>
        <v>3.6771957925188832</v>
      </c>
      <c r="CM106" s="21">
        <f>EXP(-LN(2)/2)*CM105+(1-EXP(-LN(2)/2))/(LN(2)/2)*CG106*CJ106*VLOOKUP('Données projet'!$B$12,Paramètres!$A$1:$I$89,3,0)*0.475*44/12</f>
        <v>2.2178429771333673E-10</v>
      </c>
      <c r="CN106" s="22">
        <f t="shared" si="66"/>
        <v>5.3971582558803393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-5.1159076974727213E-13</v>
      </c>
      <c r="O107" s="13">
        <f>N107*VLOOKUP('Données projet'!$B$9,Paramètres!$A$1:$I$89,3,0)*VLOOKUP('Données projet'!$B$9,Paramètres!$A$1:$I$89,5,0)</f>
        <v>-3.7509835237869992E-13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234.09142087023463</v>
      </c>
      <c r="T107" s="59">
        <f t="shared" si="88"/>
        <v>278.990685815294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0.56347239296239626</v>
      </c>
      <c r="AA107" s="21">
        <f>EXP(-LN(2)/25)*AA106+(1-EXP(-LN(2)/25))/(LN(2)/25)*Calculateur!V107*Calculateur!X107*VLOOKUP('Données projet'!$B$9,Paramètres!$A$1:$I$89,3,0)*0.475*44/12</f>
        <v>1.9716981497670443</v>
      </c>
      <c r="AB107" s="21">
        <f>EXP(-LN(2)/2)*AB106+(1-EXP(-LN(2)/2))/(LN(2)/2)*V107*Y107*VLOOKUP('Données projet'!$B$9,Paramètres!$A$1:$I$89,3,0)*0.475*44/12</f>
        <v>1.6118879867689077E-10</v>
      </c>
      <c r="AC107" s="22">
        <f t="shared" si="57"/>
        <v>2.5351705428906293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-1.2710188457276673E-13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255.5374979188561</v>
      </c>
      <c r="AO107" s="59">
        <f t="shared" si="90"/>
        <v>343.10418468620901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0.71367552123901212</v>
      </c>
      <c r="AV107" s="21">
        <f>EXP(-LN(2)/25)*AV106+(1-EXP(-LN(2)/25))/(LN(2)/25)*Calculateur!AQ107*Calculateur!AS107*VLOOKUP('Données projet'!$B$10,Paramètres!$A$1:$I$89,3,0)*0.475*44/12</f>
        <v>2.051120386105286</v>
      </c>
      <c r="AW107" s="21">
        <f>EXP(-LN(2)/2)*AW106+(1-EXP(-LN(2)/2))/(LN(2)/2)*AQ107*AT107*VLOOKUP('Données projet'!$B$10,Paramètres!$A$1:$I$89,3,0)*0.475*44/12</f>
        <v>1.2315664785667221E-11</v>
      </c>
      <c r="AX107" s="21">
        <f t="shared" si="60"/>
        <v>2.7647959073566137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7.6</v>
      </c>
      <c r="BD107" s="12">
        <f>IF('Données projet'!$A$88&gt;35,BD106+BC107-BL106,IF(A107&lt;'Données projet'!$A$88,$BA$205^A107,IF(A107='Données projet'!$A$88,'Données projet'!$B$88,BD106+BC107-BL106)))</f>
        <v>345.40000000000015</v>
      </c>
      <c r="BE107" s="13">
        <f>BD107*VLOOKUP('Données projet'!$B$11,Paramètres!$A$1:$I$89,3,0)*VLOOKUP('Données projet'!$B$11,Paramètres!$A$1:$I$89,5,0)</f>
        <v>296.35320000000013</v>
      </c>
      <c r="BF107" s="13">
        <f t="shared" si="91"/>
        <v>70.411410783502902</v>
      </c>
      <c r="BG107" s="20">
        <f t="shared" si="61"/>
        <v>638.78169711460112</v>
      </c>
      <c r="BH107" s="59">
        <f t="shared" si="62"/>
        <v>932.11503044793449</v>
      </c>
      <c r="BI107" s="59">
        <f ca="1">AVERAGE(OFFSET($BH$3,0,0,'Données projet'!$E$11+1,1))-AVERAGE(OFFSET($H$3,0,0,'Données projet'!$E$11+1,1))</f>
        <v>310.4018929413723</v>
      </c>
      <c r="BJ107" s="59">
        <f t="shared" si="92"/>
        <v>127.5231137583819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0.756617433638471</v>
      </c>
      <c r="BR107" s="21">
        <f>EXP(-LN(2)/2)*BR106+(1-EXP(-LN(2)/2))/(LN(2)/2)*BL107*BO107*VLOOKUP('Données projet'!$B$11,Paramètres!$A$1:$I$89,3,0)*0.475*44/12</f>
        <v>6.4976523102403119E-11</v>
      </c>
      <c r="BS107" s="22">
        <f t="shared" si="63"/>
        <v>0.75661743370344747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210.04871822652808</v>
      </c>
      <c r="CE107" s="59">
        <f t="shared" si="94"/>
        <v>250.17540614049324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1.6862350483110182</v>
      </c>
      <c r="CL107" s="21">
        <f>EXP(-LN(2)/25)*CL106+(1-EXP(-LN(2)/25))/(LN(2)/25)*Calculateur!CG107*Calculateur!CI107*VLOOKUP('Données projet'!$B$12,Paramètres!$A$1:$I$89,3,0)*0.475*44/12</f>
        <v>3.5766426801971321</v>
      </c>
      <c r="CM107" s="21">
        <f>EXP(-LN(2)/2)*CM106+(1-EXP(-LN(2)/2))/(LN(2)/2)*CG107*CJ107*VLOOKUP('Données projet'!$B$12,Paramètres!$A$1:$I$89,3,0)*0.475*44/12</f>
        <v>1.568251808737965E-10</v>
      </c>
      <c r="CN107" s="22">
        <f t="shared" si="66"/>
        <v>5.2628777286649751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-5.1159076974727213E-13</v>
      </c>
      <c r="O108" s="13">
        <f>N108*VLOOKUP('Données projet'!$B$9,Paramètres!$A$1:$I$89,3,0)*VLOOKUP('Données projet'!$B$9,Paramètres!$A$1:$I$89,5,0)</f>
        <v>-3.7509835237869992E-13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234.09142087023463</v>
      </c>
      <c r="T108" s="59">
        <f t="shared" si="88"/>
        <v>278.990685815294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0.55242304302062739</v>
      </c>
      <c r="AA108" s="21">
        <f>EXP(-LN(2)/25)*AA107+(1-EXP(-LN(2)/25))/(LN(2)/25)*Calculateur!V108*Calculateur!X108*VLOOKUP('Données projet'!$B$9,Paramètres!$A$1:$I$89,3,0)*0.475*44/12</f>
        <v>1.9177819601745651</v>
      </c>
      <c r="AB108" s="21">
        <f>EXP(-LN(2)/2)*AB107+(1-EXP(-LN(2)/2))/(LN(2)/2)*V108*Y108*VLOOKUP('Données projet'!$B$9,Paramètres!$A$1:$I$89,3,0)*0.475*44/12</f>
        <v>1.1397769259574267E-10</v>
      </c>
      <c r="AC108" s="22">
        <f t="shared" si="57"/>
        <v>2.4702050033091703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-1.2710188457276673E-13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255.5374979188561</v>
      </c>
      <c r="AO108" s="59">
        <f t="shared" si="90"/>
        <v>343.10418468620901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0.6996807795666008</v>
      </c>
      <c r="AV108" s="21">
        <f>EXP(-LN(2)/25)*AV107+(1-EXP(-LN(2)/25))/(LN(2)/25)*Calculateur!AQ108*Calculateur!AS108*VLOOKUP('Données projet'!$B$10,Paramètres!$A$1:$I$89,3,0)*0.475*44/12</f>
        <v>1.9950323912835037</v>
      </c>
      <c r="AW108" s="21">
        <f>EXP(-LN(2)/2)*AW107+(1-EXP(-LN(2)/2))/(LN(2)/2)*AQ108*AT108*VLOOKUP('Données projet'!$B$10,Paramètres!$A$1:$I$89,3,0)*0.475*44/12</f>
        <v>8.7084900847656602E-12</v>
      </c>
      <c r="AX108" s="21">
        <f t="shared" si="60"/>
        <v>2.694713170858813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7.6</v>
      </c>
      <c r="BD108" s="12">
        <f>IF('Données projet'!$A$88&gt;35,BD107+BC108-BL107,IF(A108&lt;'Données projet'!$A$88,$BA$205^A108,IF(A108='Données projet'!$A$88,'Données projet'!$B$88,BD107+BC108-BL107)))</f>
        <v>353.00000000000017</v>
      </c>
      <c r="BE108" s="13">
        <f>BD108*VLOOKUP('Données projet'!$B$11,Paramètres!$A$1:$I$89,3,0)*VLOOKUP('Données projet'!$B$11,Paramètres!$A$1:$I$89,5,0)</f>
        <v>302.87400000000019</v>
      </c>
      <c r="BF108" s="13">
        <f t="shared" si="91"/>
        <v>71.778629530876074</v>
      </c>
      <c r="BG108" s="20">
        <f t="shared" si="61"/>
        <v>652.51999643294278</v>
      </c>
      <c r="BH108" s="59">
        <f t="shared" si="62"/>
        <v>945.85332976627615</v>
      </c>
      <c r="BI108" s="59">
        <f ca="1">AVERAGE(OFFSET($BH$3,0,0,'Données projet'!$E$11+1,1))-AVERAGE(OFFSET($H$3,0,0,'Données projet'!$E$11+1,1))</f>
        <v>310.4018929413723</v>
      </c>
      <c r="BJ108" s="59">
        <f t="shared" si="92"/>
        <v>127.5231137583819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0.73592769012684545</v>
      </c>
      <c r="BR108" s="21">
        <f>EXP(-LN(2)/2)*BR107+(1-EXP(-LN(2)/2))/(LN(2)/2)*BL108*BO108*VLOOKUP('Données projet'!$B$11,Paramètres!$A$1:$I$89,3,0)*0.475*44/12</f>
        <v>4.5945340103633612E-11</v>
      </c>
      <c r="BS108" s="22">
        <f t="shared" si="63"/>
        <v>0.7359276901727908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210.04871822652808</v>
      </c>
      <c r="CE108" s="59">
        <f t="shared" si="94"/>
        <v>250.17540614049324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1.6531690075154626</v>
      </c>
      <c r="CL108" s="21">
        <f>EXP(-LN(2)/25)*CL107+(1-EXP(-LN(2)/25))/(LN(2)/25)*Calculateur!CG108*Calculateur!CI108*VLOOKUP('Données projet'!$B$12,Paramètres!$A$1:$I$89,3,0)*0.475*44/12</f>
        <v>3.4788391980196773</v>
      </c>
      <c r="CM108" s="21">
        <f>EXP(-LN(2)/2)*CM107+(1-EXP(-LN(2)/2))/(LN(2)/2)*CG108*CJ108*VLOOKUP('Données projet'!$B$12,Paramètres!$A$1:$I$89,3,0)*0.475*44/12</f>
        <v>1.1089214885666836E-10</v>
      </c>
      <c r="CN108" s="22">
        <f t="shared" si="66"/>
        <v>5.1320082056460317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-5.1159076974727213E-13</v>
      </c>
      <c r="O109" s="13">
        <f>N109*VLOOKUP('Données projet'!$B$9,Paramètres!$A$1:$I$89,3,0)*VLOOKUP('Données projet'!$B$9,Paramètres!$A$1:$I$89,5,0)</f>
        <v>-3.7509835237869992E-13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234.09142087023463</v>
      </c>
      <c r="T109" s="59">
        <f t="shared" si="88"/>
        <v>278.990685815294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0.54159036409177863</v>
      </c>
      <c r="AA109" s="21">
        <f>EXP(-LN(2)/25)*AA108+(1-EXP(-LN(2)/25))/(LN(2)/25)*Calculateur!V109*Calculateur!X109*VLOOKUP('Données projet'!$B$9,Paramètres!$A$1:$I$89,3,0)*0.475*44/12</f>
        <v>1.8653401116218216</v>
      </c>
      <c r="AB109" s="21">
        <f>EXP(-LN(2)/2)*AB108+(1-EXP(-LN(2)/2))/(LN(2)/2)*V109*Y109*VLOOKUP('Données projet'!$B$9,Paramètres!$A$1:$I$89,3,0)*0.475*44/12</f>
        <v>8.0594399338445396E-11</v>
      </c>
      <c r="AC109" s="22">
        <f t="shared" si="57"/>
        <v>2.4069304757941943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-1.2710188457276673E-13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255.5374979188561</v>
      </c>
      <c r="AO109" s="59">
        <f t="shared" si="90"/>
        <v>343.10418468620901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0.6859604662424359</v>
      </c>
      <c r="AV109" s="21">
        <f>EXP(-LN(2)/25)*AV108+(1-EXP(-LN(2)/25))/(LN(2)/25)*Calculateur!AQ109*Calculateur!AS109*VLOOKUP('Données projet'!$B$10,Paramètres!$A$1:$I$89,3,0)*0.475*44/12</f>
        <v>1.9404781256296626</v>
      </c>
      <c r="AW109" s="21">
        <f>EXP(-LN(2)/2)*AW108+(1-EXP(-LN(2)/2))/(LN(2)/2)*AQ109*AT109*VLOOKUP('Données projet'!$B$10,Paramètres!$A$1:$I$89,3,0)*0.475*44/12</f>
        <v>6.1578323928336105E-12</v>
      </c>
      <c r="AX109" s="21">
        <f t="shared" si="60"/>
        <v>2.626438591878256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7.6</v>
      </c>
      <c r="BD109" s="12">
        <f>IF('Données projet'!$A$88&gt;35,BD108+BC109-BL108,IF(A109&lt;'Données projet'!$A$88,$BA$205^A109,IF(A109='Données projet'!$A$88,'Données projet'!$B$88,BD108+BC109-BL108)))</f>
        <v>360.60000000000019</v>
      </c>
      <c r="BE109" s="13">
        <f>BD109*VLOOKUP('Données projet'!$B$11,Paramètres!$A$1:$I$89,3,0)*VLOOKUP('Données projet'!$B$11,Paramètres!$A$1:$I$89,5,0)</f>
        <v>309.3948000000002</v>
      </c>
      <c r="BF109" s="13">
        <f t="shared" si="91"/>
        <v>73.142425953119783</v>
      </c>
      <c r="BG109" s="20">
        <f t="shared" si="61"/>
        <v>666.25233520168399</v>
      </c>
      <c r="BH109" s="59">
        <f t="shared" si="62"/>
        <v>959.58566853501725</v>
      </c>
      <c r="BI109" s="59">
        <f ca="1">AVERAGE(OFFSET($BH$3,0,0,'Données projet'!$E$11+1,1))-AVERAGE(OFFSET($H$3,0,0,'Données projet'!$E$11+1,1))</f>
        <v>310.4018929413723</v>
      </c>
      <c r="BJ109" s="59">
        <f t="shared" si="92"/>
        <v>127.5231137583819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0.71580370873957166</v>
      </c>
      <c r="BR109" s="21">
        <f>EXP(-LN(2)/2)*BR108+(1-EXP(-LN(2)/2))/(LN(2)/2)*BL109*BO109*VLOOKUP('Données projet'!$B$11,Paramètres!$A$1:$I$89,3,0)*0.475*44/12</f>
        <v>3.2488261551201559E-11</v>
      </c>
      <c r="BS109" s="22">
        <f t="shared" si="63"/>
        <v>0.7158037087720599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210.04871822652808</v>
      </c>
      <c r="CE109" s="59">
        <f t="shared" si="94"/>
        <v>250.17540614049324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1.6207513716116142</v>
      </c>
      <c r="CL109" s="21">
        <f>EXP(-LN(2)/25)*CL108+(1-EXP(-LN(2)/25))/(LN(2)/25)*Calculateur!CG109*Calculateur!CI109*VLOOKUP('Données projet'!$B$12,Paramètres!$A$1:$I$89,3,0)*0.475*44/12</f>
        <v>3.383710157205627</v>
      </c>
      <c r="CM109" s="21">
        <f>EXP(-LN(2)/2)*CM108+(1-EXP(-LN(2)/2))/(LN(2)/2)*CG109*CJ109*VLOOKUP('Données projet'!$B$12,Paramètres!$A$1:$I$89,3,0)*0.475*44/12</f>
        <v>7.8412590436898252E-11</v>
      </c>
      <c r="CN109" s="22">
        <f t="shared" si="66"/>
        <v>5.0044615288956544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-5.1159076974727213E-13</v>
      </c>
      <c r="O110" s="13">
        <f>N110*VLOOKUP('Données projet'!$B$9,Paramètres!$A$1:$I$89,3,0)*VLOOKUP('Données projet'!$B$9,Paramètres!$A$1:$I$89,5,0)</f>
        <v>-3.7509835237869992E-13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234.09142087023463</v>
      </c>
      <c r="T110" s="59">
        <f t="shared" si="88"/>
        <v>278.990685815294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0.53097010738944284</v>
      </c>
      <c r="AA110" s="21">
        <f>EXP(-LN(2)/25)*AA109+(1-EXP(-LN(2)/25))/(LN(2)/25)*Calculateur!V110*Calculateur!X110*VLOOKUP('Données projet'!$B$9,Paramètres!$A$1:$I$89,3,0)*0.475*44/12</f>
        <v>1.8143322881755497</v>
      </c>
      <c r="AB110" s="21">
        <f>EXP(-LN(2)/2)*AB109+(1-EXP(-LN(2)/2))/(LN(2)/2)*V110*Y110*VLOOKUP('Données projet'!$B$9,Paramètres!$A$1:$I$89,3,0)*0.475*44/12</f>
        <v>5.6988846297871346E-11</v>
      </c>
      <c r="AC110" s="22">
        <f t="shared" si="57"/>
        <v>2.3453023956219812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-1.2710188457276673E-13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255.5374979188561</v>
      </c>
      <c r="AO110" s="59">
        <f t="shared" si="90"/>
        <v>343.10418468620901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0.67250919989399305</v>
      </c>
      <c r="AV110" s="21">
        <f>EXP(-LN(2)/25)*AV109+(1-EXP(-LN(2)/25))/(LN(2)/25)*Calculateur!AQ110*Calculateur!AS110*VLOOKUP('Données projet'!$B$10,Paramètres!$A$1:$I$89,3,0)*0.475*44/12</f>
        <v>1.88741564923901</v>
      </c>
      <c r="AW110" s="21">
        <f>EXP(-LN(2)/2)*AW109+(1-EXP(-LN(2)/2))/(LN(2)/2)*AQ110*AT110*VLOOKUP('Données projet'!$B$10,Paramètres!$A$1:$I$89,3,0)*0.475*44/12</f>
        <v>4.3542450423828301E-12</v>
      </c>
      <c r="AX110" s="21">
        <f t="shared" si="60"/>
        <v>2.5599248491373574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7.6</v>
      </c>
      <c r="BD110" s="12">
        <f>IF('Données projet'!$A$88&gt;35,BD109+BC110-BL109,IF(A110&lt;'Données projet'!$A$88,$BA$205^A110,IF(A110='Données projet'!$A$88,'Données projet'!$B$88,BD109+BC110-BL109)))</f>
        <v>368.20000000000022</v>
      </c>
      <c r="BE110" s="13">
        <f>BD110*VLOOKUP('Données projet'!$B$11,Paramètres!$A$1:$I$89,3,0)*VLOOKUP('Données projet'!$B$11,Paramètres!$A$1:$I$89,5,0)</f>
        <v>315.91560000000021</v>
      </c>
      <c r="BF110" s="13">
        <f t="shared" si="91"/>
        <v>74.502880488238247</v>
      </c>
      <c r="BG110" s="20">
        <f t="shared" si="61"/>
        <v>679.97885351701518</v>
      </c>
      <c r="BH110" s="59">
        <f t="shared" si="62"/>
        <v>973.31218685034855</v>
      </c>
      <c r="BI110" s="59">
        <f ca="1">AVERAGE(OFFSET($BH$3,0,0,'Données projet'!$E$11+1,1))-AVERAGE(OFFSET($H$3,0,0,'Données projet'!$E$11+1,1))</f>
        <v>310.4018929413723</v>
      </c>
      <c r="BJ110" s="59">
        <f t="shared" si="92"/>
        <v>127.5231137583819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0.69623001868160705</v>
      </c>
      <c r="BR110" s="21">
        <f>EXP(-LN(2)/2)*BR109+(1-EXP(-LN(2)/2))/(LN(2)/2)*BL110*BO110*VLOOKUP('Données projet'!$B$11,Paramètres!$A$1:$I$89,3,0)*0.475*44/12</f>
        <v>2.2972670051816806E-11</v>
      </c>
      <c r="BS110" s="22">
        <f t="shared" si="63"/>
        <v>0.69623001870457968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210.04871822652808</v>
      </c>
      <c r="CE110" s="59">
        <f t="shared" si="94"/>
        <v>250.17540614049324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1.5889694257750349</v>
      </c>
      <c r="CL110" s="21">
        <f>EXP(-LN(2)/25)*CL109+(1-EXP(-LN(2)/25))/(LN(2)/25)*Calculateur!CG110*Calculateur!CI110*VLOOKUP('Données projet'!$B$12,Paramètres!$A$1:$I$89,3,0)*0.475*44/12</f>
        <v>3.2911824250152555</v>
      </c>
      <c r="CM110" s="21">
        <f>EXP(-LN(2)/2)*CM109+(1-EXP(-LN(2)/2))/(LN(2)/2)*CG110*CJ110*VLOOKUP('Données projet'!$B$12,Paramètres!$A$1:$I$89,3,0)*0.475*44/12</f>
        <v>5.5446074428334182E-11</v>
      </c>
      <c r="CN110" s="22">
        <f t="shared" si="66"/>
        <v>4.8801518508457367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-5.1159076974727213E-13</v>
      </c>
      <c r="O111" s="13">
        <f>N111*VLOOKUP('Données projet'!$B$9,Paramètres!$A$1:$I$89,3,0)*VLOOKUP('Données projet'!$B$9,Paramètres!$A$1:$I$89,5,0)</f>
        <v>-3.7509835237869992E-13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234.09142087023463</v>
      </c>
      <c r="T111" s="59">
        <f t="shared" si="88"/>
        <v>278.990685815294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0.52055810744332287</v>
      </c>
      <c r="AA111" s="21">
        <f>EXP(-LN(2)/25)*AA110+(1-EXP(-LN(2)/25))/(LN(2)/25)*Calculateur!V111*Calculateur!X111*VLOOKUP('Données projet'!$B$9,Paramètres!$A$1:$I$89,3,0)*0.475*44/12</f>
        <v>1.7647192763438009</v>
      </c>
      <c r="AB111" s="21">
        <f>EXP(-LN(2)/2)*AB110+(1-EXP(-LN(2)/2))/(LN(2)/2)*V111*Y111*VLOOKUP('Données projet'!$B$9,Paramètres!$A$1:$I$89,3,0)*0.475*44/12</f>
        <v>4.0297199669222705E-11</v>
      </c>
      <c r="AC111" s="22">
        <f t="shared" si="57"/>
        <v>2.2852773838274207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-1.2710188457276673E-13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255.5374979188561</v>
      </c>
      <c r="AO111" s="59">
        <f t="shared" si="90"/>
        <v>343.10418468620901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0.65932170467418083</v>
      </c>
      <c r="AV111" s="21">
        <f>EXP(-LN(2)/25)*AV110+(1-EXP(-LN(2)/25))/(LN(2)/25)*Calculateur!AQ111*Calculateur!AS111*VLOOKUP('Données projet'!$B$10,Paramètres!$A$1:$I$89,3,0)*0.475*44/12</f>
        <v>1.8358041690556939</v>
      </c>
      <c r="AW111" s="21">
        <f>EXP(-LN(2)/2)*AW110+(1-EXP(-LN(2)/2))/(LN(2)/2)*AQ111*AT111*VLOOKUP('Données projet'!$B$10,Paramètres!$A$1:$I$89,3,0)*0.475*44/12</f>
        <v>3.0789161964168052E-12</v>
      </c>
      <c r="AX111" s="21">
        <f t="shared" si="60"/>
        <v>2.4951258737329538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7.6</v>
      </c>
      <c r="BD111" s="12">
        <f>IF('Données projet'!$A$88&gt;35,BD110+BC111-BL110,IF(A111&lt;'Données projet'!$A$88,$BA$205^A111,IF(A111='Données projet'!$A$88,'Données projet'!$B$88,BD110+BC111-BL110)))</f>
        <v>375.80000000000024</v>
      </c>
      <c r="BE111" s="13">
        <f>BD111*VLOOKUP('Données projet'!$B$11,Paramètres!$A$1:$I$89,3,0)*VLOOKUP('Données projet'!$B$11,Paramètres!$A$1:$I$89,5,0)</f>
        <v>322.43640000000022</v>
      </c>
      <c r="BF111" s="13">
        <f t="shared" si="91"/>
        <v>75.860070063809587</v>
      </c>
      <c r="BG111" s="20">
        <f t="shared" si="61"/>
        <v>693.69968536113538</v>
      </c>
      <c r="BH111" s="59">
        <f t="shared" si="62"/>
        <v>987.03301869446864</v>
      </c>
      <c r="BI111" s="59">
        <f ca="1">AVERAGE(OFFSET($BH$3,0,0,'Données projet'!$E$11+1,1))-AVERAGE(OFFSET($H$3,0,0,'Données projet'!$E$11+1,1))</f>
        <v>310.4018929413723</v>
      </c>
      <c r="BJ111" s="59">
        <f t="shared" si="92"/>
        <v>127.5231137583819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0.67719157220761306</v>
      </c>
      <c r="BR111" s="21">
        <f>EXP(-LN(2)/2)*BR110+(1-EXP(-LN(2)/2))/(LN(2)/2)*BL111*BO111*VLOOKUP('Données projet'!$B$11,Paramètres!$A$1:$I$89,3,0)*0.475*44/12</f>
        <v>1.624413077560078E-11</v>
      </c>
      <c r="BS111" s="22">
        <f t="shared" si="63"/>
        <v>0.67719157222385717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210.04871822652808</v>
      </c>
      <c r="CE111" s="59">
        <f t="shared" si="94"/>
        <v>250.17540614049324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1.5578107045112379</v>
      </c>
      <c r="CL111" s="21">
        <f>EXP(-LN(2)/25)*CL110+(1-EXP(-LN(2)/25))/(LN(2)/25)*Calculateur!CG111*Calculateur!CI111*VLOOKUP('Données projet'!$B$12,Paramètres!$A$1:$I$89,3,0)*0.475*44/12</f>
        <v>3.2011848685274518</v>
      </c>
      <c r="CM111" s="21">
        <f>EXP(-LN(2)/2)*CM110+(1-EXP(-LN(2)/2))/(LN(2)/2)*CG111*CJ111*VLOOKUP('Données projet'!$B$12,Paramètres!$A$1:$I$89,3,0)*0.475*44/12</f>
        <v>3.9206295218449126E-11</v>
      </c>
      <c r="CN111" s="22">
        <f t="shared" si="66"/>
        <v>4.7589955730778959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-5.1159076974727213E-13</v>
      </c>
      <c r="O112" s="13">
        <f>N112*VLOOKUP('Données projet'!$B$9,Paramètres!$A$1:$I$89,3,0)*VLOOKUP('Données projet'!$B$9,Paramètres!$A$1:$I$89,5,0)</f>
        <v>-3.7509835237869992E-13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234.09142087023463</v>
      </c>
      <c r="T112" s="59">
        <f t="shared" si="88"/>
        <v>278.990685815294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0.51035028046545339</v>
      </c>
      <c r="AA112" s="21">
        <f>EXP(-LN(2)/25)*AA111+(1-EXP(-LN(2)/25))/(LN(2)/25)*Calculateur!V112*Calculateur!X112*VLOOKUP('Données projet'!$B$9,Paramètres!$A$1:$I$89,3,0)*0.475*44/12</f>
        <v>1.7164629349296263</v>
      </c>
      <c r="AB112" s="21">
        <f>EXP(-LN(2)/2)*AB111+(1-EXP(-LN(2)/2))/(LN(2)/2)*V112*Y112*VLOOKUP('Données projet'!$B$9,Paramètres!$A$1:$I$89,3,0)*0.475*44/12</f>
        <v>2.8494423148935676E-11</v>
      </c>
      <c r="AC112" s="22">
        <f t="shared" si="57"/>
        <v>2.226813215423574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-1.2710188457276673E-13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255.5374979188561</v>
      </c>
      <c r="AO112" s="59">
        <f t="shared" si="90"/>
        <v>343.10418468620901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0.64639280819205136</v>
      </c>
      <c r="AV112" s="21">
        <f>EXP(-LN(2)/25)*AV111+(1-EXP(-LN(2)/25))/(LN(2)/25)*Calculateur!AQ112*Calculateur!AS112*VLOOKUP('Données projet'!$B$10,Paramètres!$A$1:$I$89,3,0)*0.475*44/12</f>
        <v>1.7856040075121205</v>
      </c>
      <c r="AW112" s="21">
        <f>EXP(-LN(2)/2)*AW111+(1-EXP(-LN(2)/2))/(LN(2)/2)*AQ112*AT112*VLOOKUP('Données projet'!$B$10,Paramètres!$A$1:$I$89,3,0)*0.475*44/12</f>
        <v>2.1771225211914151E-12</v>
      </c>
      <c r="AX112" s="21">
        <f t="shared" si="60"/>
        <v>2.4319968157063485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7.6</v>
      </c>
      <c r="BD112" s="12">
        <f>IF('Données projet'!$A$88&gt;35,BD111+BC112-BL111,IF(A112&lt;'Données projet'!$A$88,$BA$205^A112,IF(A112='Données projet'!$A$88,'Données projet'!$B$88,BD111+BC112-BL111)))</f>
        <v>383.40000000000026</v>
      </c>
      <c r="BE112" s="13">
        <f>BD112*VLOOKUP('Données projet'!$B$11,Paramètres!$A$1:$I$89,3,0)*VLOOKUP('Données projet'!$B$11,Paramètres!$A$1:$I$89,5,0)</f>
        <v>328.95720000000023</v>
      </c>
      <c r="BF112" s="13">
        <f t="shared" si="91"/>
        <v>77.214068318029646</v>
      </c>
      <c r="BG112" s="20">
        <f t="shared" si="61"/>
        <v>707.41495898723531</v>
      </c>
      <c r="BH112" s="59">
        <f t="shared" si="62"/>
        <v>1000.7482923205687</v>
      </c>
      <c r="BI112" s="59">
        <f ca="1">AVERAGE(OFFSET($BH$3,0,0,'Données projet'!$E$11+1,1))-AVERAGE(OFFSET($H$3,0,0,'Données projet'!$E$11+1,1))</f>
        <v>310.4018929413723</v>
      </c>
      <c r="BJ112" s="59">
        <f t="shared" si="92"/>
        <v>127.5231137583819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0.65867373305363885</v>
      </c>
      <c r="BR112" s="21">
        <f>EXP(-LN(2)/2)*BR111+(1-EXP(-LN(2)/2))/(LN(2)/2)*BL112*BO112*VLOOKUP('Données projet'!$B$11,Paramètres!$A$1:$I$89,3,0)*0.475*44/12</f>
        <v>1.1486335025908403E-11</v>
      </c>
      <c r="BS112" s="22">
        <f t="shared" si="63"/>
        <v>0.65867373306512522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210.04871822652808</v>
      </c>
      <c r="CE112" s="59">
        <f t="shared" si="94"/>
        <v>250.17540614049324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1.5272629867664806</v>
      </c>
      <c r="CL112" s="21">
        <f>EXP(-LN(2)/25)*CL111+(1-EXP(-LN(2)/25))/(LN(2)/25)*Calculateur!CG112*Calculateur!CI112*VLOOKUP('Données projet'!$B$12,Paramètres!$A$1:$I$89,3,0)*0.475*44/12</f>
        <v>3.1136482999545727</v>
      </c>
      <c r="CM112" s="21">
        <f>EXP(-LN(2)/2)*CM111+(1-EXP(-LN(2)/2))/(LN(2)/2)*CG112*CJ112*VLOOKUP('Données projet'!$B$12,Paramètres!$A$1:$I$89,3,0)*0.475*44/12</f>
        <v>2.7723037214167091E-11</v>
      </c>
      <c r="CN112" s="22">
        <f t="shared" si="66"/>
        <v>4.6409112867487758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-5.1159076974727213E-13</v>
      </c>
      <c r="O113" s="13">
        <f>N113*VLOOKUP('Données projet'!$B$9,Paramètres!$A$1:$I$89,3,0)*VLOOKUP('Données projet'!$B$9,Paramètres!$A$1:$I$89,5,0)</f>
        <v>-3.7509835237869992E-13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234.09142087023463</v>
      </c>
      <c r="T113" s="59">
        <f t="shared" si="88"/>
        <v>278.990685815294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0.50034262274846031</v>
      </c>
      <c r="AA113" s="21">
        <f>EXP(-LN(2)/25)*AA112+(1-EXP(-LN(2)/25))/(LN(2)/25)*Calculateur!V113*Calculateur!X113*VLOOKUP('Données projet'!$B$9,Paramètres!$A$1:$I$89,3,0)*0.475*44/12</f>
        <v>1.6695261657091129</v>
      </c>
      <c r="AB113" s="21">
        <f>EXP(-LN(2)/2)*AB112+(1-EXP(-LN(2)/2))/(LN(2)/2)*V113*Y113*VLOOKUP('Données projet'!$B$9,Paramètres!$A$1:$I$89,3,0)*0.475*44/12</f>
        <v>2.0148599834611356E-11</v>
      </c>
      <c r="AC113" s="22">
        <f t="shared" si="57"/>
        <v>2.1698687884777219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-1.2710188457276673E-13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255.5374979188561</v>
      </c>
      <c r="AO113" s="59">
        <f t="shared" si="90"/>
        <v>343.10418468620901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0.63371743948408821</v>
      </c>
      <c r="AV113" s="21">
        <f>EXP(-LN(2)/25)*AV112+(1-EXP(-LN(2)/25))/(LN(2)/25)*Calculateur!AQ113*Calculateur!AS113*VLOOKUP('Données projet'!$B$10,Paramètres!$A$1:$I$89,3,0)*0.475*44/12</f>
        <v>1.7367765720258679</v>
      </c>
      <c r="AW113" s="21">
        <f>EXP(-LN(2)/2)*AW112+(1-EXP(-LN(2)/2))/(LN(2)/2)*AQ113*AT113*VLOOKUP('Données projet'!$B$10,Paramètres!$A$1:$I$89,3,0)*0.475*44/12</f>
        <v>1.5394580982084026E-12</v>
      </c>
      <c r="AX113" s="21">
        <f t="shared" si="60"/>
        <v>2.3704940115114956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391</v>
      </c>
      <c r="BB113" s="12">
        <f>VLOOKUP(A113,'Données projet'!$A$87:$I$107,9,0)</f>
        <v>7.6</v>
      </c>
      <c r="BC113" s="12">
        <f t="array" ref="BC113">INDEX(BB:BB,MIN(IF(ISNUMBER(BB113:BB309),ROW(BB113:BB309),"")))</f>
        <v>7.6</v>
      </c>
      <c r="BD113" s="12">
        <f>IF('Données projet'!$A$88&gt;35,BD112+BC113-BL112,IF(A113&lt;'Données projet'!$A$88,$BA$205^A113,IF(A113='Données projet'!$A$88,'Données projet'!$B$88,BD112+BC113-BL112)))</f>
        <v>391.00000000000028</v>
      </c>
      <c r="BE113" s="13">
        <f>BD113*VLOOKUP('Données projet'!$B$11,Paramètres!$A$1:$I$89,3,0)*VLOOKUP('Données projet'!$B$11,Paramètres!$A$1:$I$89,5,0)</f>
        <v>335.47800000000029</v>
      </c>
      <c r="BF113" s="13">
        <f t="shared" si="91"/>
        <v>78.564945802733007</v>
      </c>
      <c r="BG113" s="20">
        <f t="shared" si="61"/>
        <v>721.1247972730938</v>
      </c>
      <c r="BH113" s="59">
        <f t="shared" si="62"/>
        <v>1014.4581306064272</v>
      </c>
      <c r="BI113" s="59">
        <f ca="1">AVERAGE(OFFSET($BH$3,0,0,'Données projet'!$E$11+1,1))-AVERAGE(OFFSET($H$3,0,0,'Données projet'!$E$11+1,1))</f>
        <v>310.4018929413723</v>
      </c>
      <c r="BJ113" s="59">
        <f t="shared" si="92"/>
        <v>127.5231137583819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58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0.64066226518514091</v>
      </c>
      <c r="BR113" s="21">
        <f>EXP(-LN(2)/2)*BR112+(1-EXP(-LN(2)/2))/(LN(2)/2)*BL113*BO113*VLOOKUP('Données projet'!$B$11,Paramètres!$A$1:$I$89,3,0)*0.475*44/12</f>
        <v>8.1220653878003899E-12</v>
      </c>
      <c r="BS113" s="22">
        <f t="shared" si="63"/>
        <v>0.64066226519326297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210.04871822652808</v>
      </c>
      <c r="CE113" s="59">
        <f t="shared" si="94"/>
        <v>250.17540614049324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1.4973142911344302</v>
      </c>
      <c r="CL113" s="21">
        <f>EXP(-LN(2)/25)*CL112+(1-EXP(-LN(2)/25))/(LN(2)/25)*Calculateur!CG113*Calculateur!CI113*VLOOKUP('Données projet'!$B$12,Paramètres!$A$1:$I$89,3,0)*0.475*44/12</f>
        <v>3.0285054234526672</v>
      </c>
      <c r="CM113" s="21">
        <f>EXP(-LN(2)/2)*CM112+(1-EXP(-LN(2)/2))/(LN(2)/2)*CG113*CJ113*VLOOKUP('Données projet'!$B$12,Paramètres!$A$1:$I$89,3,0)*0.475*44/12</f>
        <v>1.9603147609224563E-11</v>
      </c>
      <c r="CN113" s="22">
        <f t="shared" si="66"/>
        <v>4.5258197146067003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-5.1159076974727213E-13</v>
      </c>
      <c r="O114" s="13">
        <f>N114*VLOOKUP('Données projet'!$B$9,Paramètres!$A$1:$I$89,3,0)*VLOOKUP('Données projet'!$B$9,Paramètres!$A$1:$I$89,5,0)</f>
        <v>-3.7509835237869992E-13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234.09142087023463</v>
      </c>
      <c r="T114" s="59">
        <f t="shared" si="88"/>
        <v>278.990685815294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0.49053120909522896</v>
      </c>
      <c r="AA114" s="21">
        <f>EXP(-LN(2)/25)*AA113+(1-EXP(-LN(2)/25))/(LN(2)/25)*Calculateur!V114*Calculateur!X114*VLOOKUP('Données projet'!$B$9,Paramètres!$A$1:$I$89,3,0)*0.475*44/12</f>
        <v>1.6238728849112321</v>
      </c>
      <c r="AB114" s="21">
        <f>EXP(-LN(2)/2)*AB113+(1-EXP(-LN(2)/2))/(LN(2)/2)*V114*Y114*VLOOKUP('Données projet'!$B$9,Paramètres!$A$1:$I$89,3,0)*0.475*44/12</f>
        <v>1.424721157446784E-11</v>
      </c>
      <c r="AC114" s="22">
        <f t="shared" si="57"/>
        <v>2.1144040940207081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-1.2710188457276673E-13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255.5374979188561</v>
      </c>
      <c r="AO114" s="59">
        <f t="shared" si="90"/>
        <v>343.10418468620901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0.62129062702527671</v>
      </c>
      <c r="AV114" s="21">
        <f>EXP(-LN(2)/25)*AV113+(1-EXP(-LN(2)/25))/(LN(2)/25)*Calculateur!AQ114*Calculateur!AS114*VLOOKUP('Données projet'!$B$10,Paramètres!$A$1:$I$89,3,0)*0.475*44/12</f>
        <v>1.6892843253307102</v>
      </c>
      <c r="AW114" s="21">
        <f>EXP(-LN(2)/2)*AW113+(1-EXP(-LN(2)/2))/(LN(2)/2)*AQ114*AT114*VLOOKUP('Données projet'!$B$10,Paramètres!$A$1:$I$89,3,0)*0.475*44/12</f>
        <v>1.0885612605957075E-12</v>
      </c>
      <c r="AX114" s="21">
        <f t="shared" si="60"/>
        <v>2.3105749523570753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</v>
      </c>
      <c r="BD114" s="12">
        <f>IF('Données projet'!$A$88&gt;35,BD113+BC114-BL113,IF(A114&lt;'Données projet'!$A$88,$BA$205^A114,IF(A114='Données projet'!$A$88,'Données projet'!$B$88,BD113+BC114-BL113)))</f>
        <v>339.8000000000003</v>
      </c>
      <c r="BE114" s="13">
        <f>BD114*VLOOKUP('Données projet'!$B$11,Paramètres!$A$1:$I$89,3,0)*VLOOKUP('Données projet'!$B$11,Paramètres!$A$1:$I$89,5,0)</f>
        <v>291.5484000000003</v>
      </c>
      <c r="BF114" s="13">
        <f t="shared" si="91"/>
        <v>69.40174753959208</v>
      </c>
      <c r="BG114" s="20">
        <f t="shared" si="61"/>
        <v>628.6548402981233</v>
      </c>
      <c r="BH114" s="59">
        <f t="shared" si="62"/>
        <v>921.98817363145668</v>
      </c>
      <c r="BI114" s="59">
        <f ca="1">AVERAGE(OFFSET($BH$3,0,0,'Données projet'!$E$11+1,1))-AVERAGE(OFFSET($H$3,0,0,'Données projet'!$E$11+1,1))</f>
        <v>310.4018929413723</v>
      </c>
      <c r="BJ114" s="59">
        <f t="shared" si="92"/>
        <v>127.5231137583819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0.62314332185268895</v>
      </c>
      <c r="BR114" s="21">
        <f>EXP(-LN(2)/2)*BR113+(1-EXP(-LN(2)/2))/(LN(2)/2)*BL114*BO114*VLOOKUP('Données projet'!$B$11,Paramètres!$A$1:$I$89,3,0)*0.475*44/12</f>
        <v>5.7431675129542016E-12</v>
      </c>
      <c r="BS114" s="22">
        <f t="shared" si="63"/>
        <v>0.62314332185843213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210.04871822652808</v>
      </c>
      <c r="CE114" s="59">
        <f t="shared" si="94"/>
        <v>250.17540614049324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1.4679528711568235</v>
      </c>
      <c r="CL114" s="21">
        <f>EXP(-LN(2)/25)*CL113+(1-EXP(-LN(2)/25))/(LN(2)/25)*Calculateur!CG114*Calculateur!CI114*VLOOKUP('Données projet'!$B$12,Paramètres!$A$1:$I$89,3,0)*0.475*44/12</f>
        <v>2.9456907833861754</v>
      </c>
      <c r="CM114" s="21">
        <f>EXP(-LN(2)/2)*CM113+(1-EXP(-LN(2)/2))/(LN(2)/2)*CG114*CJ114*VLOOKUP('Données projet'!$B$12,Paramètres!$A$1:$I$89,3,0)*0.475*44/12</f>
        <v>1.3861518607083546E-11</v>
      </c>
      <c r="CN114" s="22">
        <f t="shared" si="66"/>
        <v>4.4136436545568607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-5.1159076974727213E-13</v>
      </c>
      <c r="O115" s="13">
        <f>N115*VLOOKUP('Données projet'!$B$9,Paramètres!$A$1:$I$89,3,0)*VLOOKUP('Données projet'!$B$9,Paramètres!$A$1:$I$89,5,0)</f>
        <v>-3.7509835237869992E-13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234.09142087023463</v>
      </c>
      <c r="T115" s="59">
        <f t="shared" si="88"/>
        <v>278.990685815294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0.48091219127936607</v>
      </c>
      <c r="AA115" s="21">
        <f>EXP(-LN(2)/25)*AA114+(1-EXP(-LN(2)/25))/(LN(2)/25)*Calculateur!V115*Calculateur!X115*VLOOKUP('Données projet'!$B$9,Paramètres!$A$1:$I$89,3,0)*0.475*44/12</f>
        <v>1.5794679954775708</v>
      </c>
      <c r="AB115" s="21">
        <f>EXP(-LN(2)/2)*AB114+(1-EXP(-LN(2)/2))/(LN(2)/2)*V115*Y115*VLOOKUP('Données projet'!$B$9,Paramètres!$A$1:$I$89,3,0)*0.475*44/12</f>
        <v>1.0074299917305679E-11</v>
      </c>
      <c r="AC115" s="22">
        <f t="shared" si="57"/>
        <v>2.0603801867670111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-1.2710188457276673E-13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255.5374979188561</v>
      </c>
      <c r="AO115" s="59">
        <f t="shared" si="90"/>
        <v>343.10418468620901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0.60910749677917531</v>
      </c>
      <c r="AV115" s="21">
        <f>EXP(-LN(2)/25)*AV114+(1-EXP(-LN(2)/25))/(LN(2)/25)*Calculateur!AQ115*Calculateur!AS115*VLOOKUP('Données projet'!$B$10,Paramètres!$A$1:$I$89,3,0)*0.475*44/12</f>
        <v>1.6430907566189401</v>
      </c>
      <c r="AW115" s="21">
        <f>EXP(-LN(2)/2)*AW114+(1-EXP(-LN(2)/2))/(LN(2)/2)*AQ115*AT115*VLOOKUP('Données projet'!$B$10,Paramètres!$A$1:$I$89,3,0)*0.475*44/12</f>
        <v>7.6972904910420131E-13</v>
      </c>
      <c r="AX115" s="21">
        <f t="shared" si="60"/>
        <v>2.2521982533988849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</v>
      </c>
      <c r="BD115" s="12">
        <f>IF('Données projet'!$A$88&gt;35,BD114+BC115-BL114,IF(A115&lt;'Données projet'!$A$88,$BA$205^A115,IF(A115='Données projet'!$A$88,'Données projet'!$B$88,BD114+BC115-BL114)))</f>
        <v>346.60000000000031</v>
      </c>
      <c r="BE115" s="13">
        <f>BD115*VLOOKUP('Données projet'!$B$11,Paramètres!$A$1:$I$89,3,0)*VLOOKUP('Données projet'!$B$11,Paramètres!$A$1:$I$89,5,0)</f>
        <v>297.38280000000032</v>
      </c>
      <c r="BF115" s="13">
        <f t="shared" si="91"/>
        <v>70.627518341589479</v>
      </c>
      <c r="BG115" s="20">
        <f t="shared" si="61"/>
        <v>640.95130444493554</v>
      </c>
      <c r="BH115" s="59">
        <f t="shared" si="62"/>
        <v>934.28463777826892</v>
      </c>
      <c r="BI115" s="59">
        <f ca="1">AVERAGE(OFFSET($BH$3,0,0,'Données projet'!$E$11+1,1))-AVERAGE(OFFSET($H$3,0,0,'Données projet'!$E$11+1,1))</f>
        <v>310.4018929413723</v>
      </c>
      <c r="BJ115" s="59">
        <f t="shared" si="92"/>
        <v>127.5231137583819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0.60610343494694408</v>
      </c>
      <c r="BR115" s="21">
        <f>EXP(-LN(2)/2)*BR114+(1-EXP(-LN(2)/2))/(LN(2)/2)*BL115*BO115*VLOOKUP('Données projet'!$B$11,Paramètres!$A$1:$I$89,3,0)*0.475*44/12</f>
        <v>4.0610326939001949E-12</v>
      </c>
      <c r="BS115" s="22">
        <f t="shared" si="63"/>
        <v>0.60610343495100516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210.04871822652808</v>
      </c>
      <c r="CE115" s="59">
        <f t="shared" si="94"/>
        <v>250.17540614049324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1.4391672107162798</v>
      </c>
      <c r="CL115" s="21">
        <f>EXP(-LN(2)/25)*CL114+(1-EXP(-LN(2)/25))/(LN(2)/25)*Calculateur!CG115*Calculateur!CI115*VLOOKUP('Données projet'!$B$12,Paramètres!$A$1:$I$89,3,0)*0.475*44/12</f>
        <v>2.8651407140073344</v>
      </c>
      <c r="CM115" s="21">
        <f>EXP(-LN(2)/2)*CM114+(1-EXP(-LN(2)/2))/(LN(2)/2)*CG115*CJ115*VLOOKUP('Données projet'!$B$12,Paramètres!$A$1:$I$89,3,0)*0.475*44/12</f>
        <v>9.8015738046122815E-12</v>
      </c>
      <c r="CN115" s="22">
        <f t="shared" si="66"/>
        <v>4.3043079247334166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-5.1159076974727213E-13</v>
      </c>
      <c r="O116" s="13">
        <f>N116*VLOOKUP('Données projet'!$B$9,Paramètres!$A$1:$I$89,3,0)*VLOOKUP('Données projet'!$B$9,Paramètres!$A$1:$I$89,5,0)</f>
        <v>-3.7509835237869992E-13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234.09142087023463</v>
      </c>
      <c r="T116" s="59">
        <f t="shared" si="88"/>
        <v>278.990685815294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0.47148179653585071</v>
      </c>
      <c r="AA116" s="21">
        <f>EXP(-LN(2)/25)*AA115+(1-EXP(-LN(2)/25))/(LN(2)/25)*Calculateur!V116*Calculateur!X116*VLOOKUP('Données projet'!$B$9,Paramètres!$A$1:$I$89,3,0)*0.475*44/12</f>
        <v>1.5362773600806245</v>
      </c>
      <c r="AB116" s="21">
        <f>EXP(-LN(2)/2)*AB115+(1-EXP(-LN(2)/2))/(LN(2)/2)*V116*Y116*VLOOKUP('Données projet'!$B$9,Paramètres!$A$1:$I$89,3,0)*0.475*44/12</f>
        <v>7.1236057872339215E-12</v>
      </c>
      <c r="AC116" s="22">
        <f t="shared" si="57"/>
        <v>2.0077591566235991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-1.2710188457276673E-13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255.5374979188561</v>
      </c>
      <c r="AO116" s="59">
        <f t="shared" si="90"/>
        <v>343.10418468620901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0.59716327028622429</v>
      </c>
      <c r="AV116" s="21">
        <f>EXP(-LN(2)/25)*AV115+(1-EXP(-LN(2)/25))/(LN(2)/25)*Calculateur!AQ116*Calculateur!AS116*VLOOKUP('Données projet'!$B$10,Paramètres!$A$1:$I$89,3,0)*0.475*44/12</f>
        <v>1.5981603534728077</v>
      </c>
      <c r="AW116" s="21">
        <f>EXP(-LN(2)/2)*AW115+(1-EXP(-LN(2)/2))/(LN(2)/2)*AQ116*AT116*VLOOKUP('Données projet'!$B$10,Paramètres!$A$1:$I$89,3,0)*0.475*44/12</f>
        <v>5.4428063029785376E-13</v>
      </c>
      <c r="AX116" s="21">
        <f t="shared" si="60"/>
        <v>2.1953236237595766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</v>
      </c>
      <c r="BD116" s="12">
        <f>IF('Données projet'!$A$88&gt;35,BD115+BC116-BL115,IF(A116&lt;'Données projet'!$A$88,$BA$205^A116,IF(A116='Données projet'!$A$88,'Données projet'!$B$88,BD115+BC116-BL115)))</f>
        <v>353.40000000000032</v>
      </c>
      <c r="BE116" s="13">
        <f>BD116*VLOOKUP('Données projet'!$B$11,Paramètres!$A$1:$I$89,3,0)*VLOOKUP('Données projet'!$B$11,Paramètres!$A$1:$I$89,5,0)</f>
        <v>303.21720000000033</v>
      </c>
      <c r="BF116" s="13">
        <f t="shared" si="91"/>
        <v>71.850492891887853</v>
      </c>
      <c r="BG116" s="20">
        <f t="shared" si="61"/>
        <v>653.24289845337205</v>
      </c>
      <c r="BH116" s="59">
        <f t="shared" si="62"/>
        <v>946.57623178670542</v>
      </c>
      <c r="BI116" s="59">
        <f ca="1">AVERAGE(OFFSET($BH$3,0,0,'Données projet'!$E$11+1,1))-AVERAGE(OFFSET($H$3,0,0,'Données projet'!$E$11+1,1))</f>
        <v>310.4018929413723</v>
      </c>
      <c r="BJ116" s="59">
        <f t="shared" si="92"/>
        <v>127.5231137583819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0.58952950464472553</v>
      </c>
      <c r="BR116" s="21">
        <f>EXP(-LN(2)/2)*BR115+(1-EXP(-LN(2)/2))/(LN(2)/2)*BL116*BO116*VLOOKUP('Données projet'!$B$11,Paramètres!$A$1:$I$89,3,0)*0.475*44/12</f>
        <v>2.8715837564771008E-12</v>
      </c>
      <c r="BS116" s="22">
        <f t="shared" si="63"/>
        <v>0.58952950464759712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210.04871822652808</v>
      </c>
      <c r="CE116" s="59">
        <f t="shared" si="94"/>
        <v>250.17540614049324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1.4109460195194561</v>
      </c>
      <c r="CL116" s="21">
        <f>EXP(-LN(2)/25)*CL115+(1-EXP(-LN(2)/25))/(LN(2)/25)*Calculateur!CG116*Calculateur!CI116*VLOOKUP('Données projet'!$B$12,Paramètres!$A$1:$I$89,3,0)*0.475*44/12</f>
        <v>2.7867932905116022</v>
      </c>
      <c r="CM116" s="21">
        <f>EXP(-LN(2)/2)*CM115+(1-EXP(-LN(2)/2))/(LN(2)/2)*CG116*CJ116*VLOOKUP('Données projet'!$B$12,Paramètres!$A$1:$I$89,3,0)*0.475*44/12</f>
        <v>6.9307593035417728E-12</v>
      </c>
      <c r="CN116" s="22">
        <f t="shared" si="66"/>
        <v>4.1977393100379885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-5.1159076974727213E-13</v>
      </c>
      <c r="O117" s="13">
        <f>N117*VLOOKUP('Données projet'!$B$9,Paramètres!$A$1:$I$89,3,0)*VLOOKUP('Données projet'!$B$9,Paramètres!$A$1:$I$89,5,0)</f>
        <v>-3.7509835237869992E-13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234.09142087023463</v>
      </c>
      <c r="T117" s="59">
        <f t="shared" si="88"/>
        <v>278.990685815294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0.46223632608128284</v>
      </c>
      <c r="AA117" s="21">
        <f>EXP(-LN(2)/25)*AA116+(1-EXP(-LN(2)/25))/(LN(2)/25)*Calculateur!V117*Calculateur!X117*VLOOKUP('Données projet'!$B$9,Paramètres!$A$1:$I$89,3,0)*0.475*44/12</f>
        <v>1.4942677748799047</v>
      </c>
      <c r="AB117" s="21">
        <f>EXP(-LN(2)/2)*AB116+(1-EXP(-LN(2)/2))/(LN(2)/2)*V117*Y117*VLOOKUP('Données projet'!$B$9,Paramètres!$A$1:$I$89,3,0)*0.475*44/12</f>
        <v>5.0371499586528405E-12</v>
      </c>
      <c r="AC117" s="22">
        <f t="shared" si="57"/>
        <v>1.9565041009662247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-1.2710188457276673E-13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255.5374979188561</v>
      </c>
      <c r="AO117" s="59">
        <f t="shared" si="90"/>
        <v>343.10418468620901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0.58545326278954124</v>
      </c>
      <c r="AV117" s="21">
        <f>EXP(-LN(2)/25)*AV116+(1-EXP(-LN(2)/25))/(LN(2)/25)*Calculateur!AQ117*Calculateur!AS117*VLOOKUP('Données projet'!$B$10,Paramètres!$A$1:$I$89,3,0)*0.475*44/12</f>
        <v>1.5544585745634933</v>
      </c>
      <c r="AW117" s="21">
        <f>EXP(-LN(2)/2)*AW116+(1-EXP(-LN(2)/2))/(LN(2)/2)*AQ117*AT117*VLOOKUP('Données projet'!$B$10,Paramètres!$A$1:$I$89,3,0)*0.475*44/12</f>
        <v>3.8486452455210066E-13</v>
      </c>
      <c r="AX117" s="21">
        <f t="shared" si="60"/>
        <v>2.1399118373534196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</v>
      </c>
      <c r="BD117" s="12">
        <f>IF('Données projet'!$A$88&gt;35,BD116+BC117-BL116,IF(A117&lt;'Données projet'!$A$88,$BA$205^A117,IF(A117='Données projet'!$A$88,'Données projet'!$B$88,BD116+BC117-BL116)))</f>
        <v>360.20000000000033</v>
      </c>
      <c r="BE117" s="13">
        <f>BD117*VLOOKUP('Données projet'!$B$11,Paramètres!$A$1:$I$89,3,0)*VLOOKUP('Données projet'!$B$11,Paramètres!$A$1:$I$89,5,0)</f>
        <v>309.05160000000029</v>
      </c>
      <c r="BF117" s="13">
        <f t="shared" si="91"/>
        <v>73.070731198088453</v>
      </c>
      <c r="BG117" s="20">
        <f t="shared" si="61"/>
        <v>665.52972683667122</v>
      </c>
      <c r="BH117" s="59">
        <f t="shared" si="62"/>
        <v>958.86306017000447</v>
      </c>
      <c r="BI117" s="59">
        <f ca="1">AVERAGE(OFFSET($BH$3,0,0,'Données projet'!$E$11+1,1))-AVERAGE(OFFSET($H$3,0,0,'Données projet'!$E$11+1,1))</f>
        <v>310.4018929413723</v>
      </c>
      <c r="BJ117" s="59">
        <f t="shared" si="92"/>
        <v>127.5231137583819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0.57340878933820627</v>
      </c>
      <c r="BR117" s="21">
        <f>EXP(-LN(2)/2)*BR116+(1-EXP(-LN(2)/2))/(LN(2)/2)*BL117*BO117*VLOOKUP('Données projet'!$B$11,Paramètres!$A$1:$I$89,3,0)*0.475*44/12</f>
        <v>2.0305163469500975E-12</v>
      </c>
      <c r="BS117" s="22">
        <f t="shared" si="63"/>
        <v>0.57340878934023676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210.04871822652808</v>
      </c>
      <c r="CE117" s="59">
        <f t="shared" si="94"/>
        <v>250.17540614049324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1.383278228668775</v>
      </c>
      <c r="CL117" s="21">
        <f>EXP(-LN(2)/25)*CL116+(1-EXP(-LN(2)/25))/(LN(2)/25)*Calculateur!CG117*Calculateur!CI117*VLOOKUP('Données projet'!$B$12,Paramètres!$A$1:$I$89,3,0)*0.475*44/12</f>
        <v>2.7105882814314728</v>
      </c>
      <c r="CM117" s="21">
        <f>EXP(-LN(2)/2)*CM116+(1-EXP(-LN(2)/2))/(LN(2)/2)*CG117*CJ117*VLOOKUP('Données projet'!$B$12,Paramètres!$A$1:$I$89,3,0)*0.475*44/12</f>
        <v>4.9007869023061408E-12</v>
      </c>
      <c r="CN117" s="22">
        <f t="shared" si="66"/>
        <v>4.0938665101051486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-5.1159076974727213E-13</v>
      </c>
      <c r="O118" s="13">
        <f>N118*VLOOKUP('Données projet'!$B$9,Paramètres!$A$1:$I$89,3,0)*VLOOKUP('Données projet'!$B$9,Paramètres!$A$1:$I$89,5,0)</f>
        <v>-3.7509835237869992E-13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234.09142087023463</v>
      </c>
      <c r="T118" s="59">
        <f t="shared" si="88"/>
        <v>278.990685815294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0.45317215366314889</v>
      </c>
      <c r="AA118" s="21">
        <f>EXP(-LN(2)/25)*AA117+(1-EXP(-LN(2)/25))/(LN(2)/25)*Calculateur!V118*Calculateur!X118*VLOOKUP('Données projet'!$B$9,Paramètres!$A$1:$I$89,3,0)*0.475*44/12</f>
        <v>1.4534069439956867</v>
      </c>
      <c r="AB118" s="21">
        <f>EXP(-LN(2)/2)*AB117+(1-EXP(-LN(2)/2))/(LN(2)/2)*V118*Y118*VLOOKUP('Données projet'!$B$9,Paramètres!$A$1:$I$89,3,0)*0.475*44/12</f>
        <v>3.5618028936169611E-12</v>
      </c>
      <c r="AC118" s="22">
        <f t="shared" si="57"/>
        <v>1.9065790976623973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-1.2710188457276673E-13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255.5374979188561</v>
      </c>
      <c r="AO118" s="59">
        <f t="shared" si="90"/>
        <v>343.10418468620901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0.57397288139746883</v>
      </c>
      <c r="AV118" s="21">
        <f>EXP(-LN(2)/25)*AV117+(1-EXP(-LN(2)/25))/(LN(2)/25)*Calculateur!AQ118*Calculateur!AS118*VLOOKUP('Données projet'!$B$10,Paramètres!$A$1:$I$89,3,0)*0.475*44/12</f>
        <v>1.5119518230966309</v>
      </c>
      <c r="AW118" s="21">
        <f>EXP(-LN(2)/2)*AW117+(1-EXP(-LN(2)/2))/(LN(2)/2)*AQ118*AT118*VLOOKUP('Données projet'!$B$10,Paramètres!$A$1:$I$89,3,0)*0.475*44/12</f>
        <v>2.7214031514892688E-13</v>
      </c>
      <c r="AX118" s="21">
        <f t="shared" si="60"/>
        <v>2.0859247044943721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</v>
      </c>
      <c r="BD118" s="12">
        <f>IF('Données projet'!$A$88&gt;35,BD117+BC118-BL117,IF(A118&lt;'Données projet'!$A$88,$BA$205^A118,IF(A118='Données projet'!$A$88,'Données projet'!$B$88,BD117+BC118-BL117)))</f>
        <v>367.00000000000034</v>
      </c>
      <c r="BE118" s="13">
        <f>BD118*VLOOKUP('Données projet'!$B$11,Paramètres!$A$1:$I$89,3,0)*VLOOKUP('Données projet'!$B$11,Paramètres!$A$1:$I$89,5,0)</f>
        <v>314.88600000000031</v>
      </c>
      <c r="BF118" s="13">
        <f t="shared" si="91"/>
        <v>74.288290872440228</v>
      </c>
      <c r="BG118" s="20">
        <f t="shared" si="61"/>
        <v>677.8118899361674</v>
      </c>
      <c r="BH118" s="59">
        <f t="shared" si="62"/>
        <v>971.14522326950078</v>
      </c>
      <c r="BI118" s="59">
        <f ca="1">AVERAGE(OFFSET($BH$3,0,0,'Données projet'!$E$11+1,1))-AVERAGE(OFFSET($H$3,0,0,'Données projet'!$E$11+1,1))</f>
        <v>310.4018929413723</v>
      </c>
      <c r="BJ118" s="59">
        <f t="shared" si="92"/>
        <v>127.5231137583819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0.55772889583949536</v>
      </c>
      <c r="BR118" s="21">
        <f>EXP(-LN(2)/2)*BR117+(1-EXP(-LN(2)/2))/(LN(2)/2)*BL118*BO118*VLOOKUP('Données projet'!$B$11,Paramètres!$A$1:$I$89,3,0)*0.475*44/12</f>
        <v>1.4357918782385504E-12</v>
      </c>
      <c r="BS118" s="22">
        <f t="shared" si="63"/>
        <v>0.5577288958409311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210.04871822652808</v>
      </c>
      <c r="CE118" s="59">
        <f t="shared" si="94"/>
        <v>250.17540614049324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1.3561529863209898</v>
      </c>
      <c r="CL118" s="21">
        <f>EXP(-LN(2)/25)*CL117+(1-EXP(-LN(2)/25))/(LN(2)/25)*Calculateur!CG118*Calculateur!CI118*VLOOKUP('Données projet'!$B$12,Paramètres!$A$1:$I$89,3,0)*0.475*44/12</f>
        <v>2.6364671023320865</v>
      </c>
      <c r="CM118" s="21">
        <f>EXP(-LN(2)/2)*CM117+(1-EXP(-LN(2)/2))/(LN(2)/2)*CG118*CJ118*VLOOKUP('Données projet'!$B$12,Paramètres!$A$1:$I$89,3,0)*0.475*44/12</f>
        <v>3.4653796517708864E-12</v>
      </c>
      <c r="CN118" s="22">
        <f t="shared" si="66"/>
        <v>3.9926200886565417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-5.1159076974727213E-13</v>
      </c>
      <c r="O119" s="13">
        <f>N119*VLOOKUP('Données projet'!$B$9,Paramètres!$A$1:$I$89,3,0)*VLOOKUP('Données projet'!$B$9,Paramètres!$A$1:$I$89,5,0)</f>
        <v>-3.7509835237869992E-13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234.09142087023463</v>
      </c>
      <c r="T119" s="59">
        <f t="shared" si="88"/>
        <v>278.990685815294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0.44428572413753525</v>
      </c>
      <c r="AA119" s="21">
        <f>EXP(-LN(2)/25)*AA118+(1-EXP(-LN(2)/25))/(LN(2)/25)*Calculateur!V119*Calculateur!X119*VLOOKUP('Données projet'!$B$9,Paramètres!$A$1:$I$89,3,0)*0.475*44/12</f>
        <v>1.4136634546807754</v>
      </c>
      <c r="AB119" s="21">
        <f>EXP(-LN(2)/2)*AB118+(1-EXP(-LN(2)/2))/(LN(2)/2)*V119*Y119*VLOOKUP('Données projet'!$B$9,Paramètres!$A$1:$I$89,3,0)*0.475*44/12</f>
        <v>2.5185749793264207E-12</v>
      </c>
      <c r="AC119" s="22">
        <f t="shared" si="57"/>
        <v>1.8579491788208293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-1.2710188457276673E-13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255.5374979188561</v>
      </c>
      <c r="AO119" s="59">
        <f t="shared" si="90"/>
        <v>343.10418468620901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0.56271762328215369</v>
      </c>
      <c r="AV119" s="21">
        <f>EXP(-LN(2)/25)*AV118+(1-EXP(-LN(2)/25))/(LN(2)/25)*Calculateur!AQ119*Calculateur!AS119*VLOOKUP('Données projet'!$B$10,Paramètres!$A$1:$I$89,3,0)*0.475*44/12</f>
        <v>1.4706074209839628</v>
      </c>
      <c r="AW119" s="21">
        <f>EXP(-LN(2)/2)*AW118+(1-EXP(-LN(2)/2))/(LN(2)/2)*AQ119*AT119*VLOOKUP('Données projet'!$B$10,Paramètres!$A$1:$I$89,3,0)*0.475*44/12</f>
        <v>1.9243226227605033E-13</v>
      </c>
      <c r="AX119" s="21">
        <f t="shared" si="60"/>
        <v>2.0333250442663089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</v>
      </c>
      <c r="BD119" s="12">
        <f>IF('Données projet'!$A$88&gt;35,BD118+BC119-BL118,IF(A119&lt;'Données projet'!$A$88,$BA$205^A119,IF(A119='Données projet'!$A$88,'Données projet'!$B$88,BD118+BC119-BL118)))</f>
        <v>373.80000000000035</v>
      </c>
      <c r="BE119" s="13">
        <f>BD119*VLOOKUP('Données projet'!$B$11,Paramètres!$A$1:$I$89,3,0)*VLOOKUP('Données projet'!$B$11,Paramètres!$A$1:$I$89,5,0)</f>
        <v>320.72040000000032</v>
      </c>
      <c r="BF119" s="13">
        <f t="shared" si="91"/>
        <v>75.503227270035836</v>
      </c>
      <c r="BG119" s="20">
        <f t="shared" si="61"/>
        <v>690.08948416197961</v>
      </c>
      <c r="BH119" s="59">
        <f t="shared" si="62"/>
        <v>983.42281749531298</v>
      </c>
      <c r="BI119" s="59">
        <f ca="1">AVERAGE(OFFSET($BH$3,0,0,'Données projet'!$E$11+1,1))-AVERAGE(OFFSET($H$3,0,0,'Données projet'!$E$11+1,1))</f>
        <v>310.4018929413723</v>
      </c>
      <c r="BJ119" s="59">
        <f t="shared" si="92"/>
        <v>127.5231137583819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0.54247776985307639</v>
      </c>
      <c r="BR119" s="21">
        <f>EXP(-LN(2)/2)*BR118+(1-EXP(-LN(2)/2))/(LN(2)/2)*BL119*BO119*VLOOKUP('Données projet'!$B$11,Paramètres!$A$1:$I$89,3,0)*0.475*44/12</f>
        <v>1.0152581734750487E-12</v>
      </c>
      <c r="BS119" s="22">
        <f t="shared" si="63"/>
        <v>0.54247776985409168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210.04871822652808</v>
      </c>
      <c r="CE119" s="59">
        <f t="shared" si="94"/>
        <v>250.17540614049324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1.3295596534308805</v>
      </c>
      <c r="CL119" s="21">
        <f>EXP(-LN(2)/25)*CL118+(1-EXP(-LN(2)/25))/(LN(2)/25)*Calculateur!CG119*Calculateur!CI119*VLOOKUP('Données projet'!$B$12,Paramètres!$A$1:$I$89,3,0)*0.475*44/12</f>
        <v>2.5643727707730366</v>
      </c>
      <c r="CM119" s="21">
        <f>EXP(-LN(2)/2)*CM118+(1-EXP(-LN(2)/2))/(LN(2)/2)*CG119*CJ119*VLOOKUP('Données projet'!$B$12,Paramètres!$A$1:$I$89,3,0)*0.475*44/12</f>
        <v>2.4503934511530704E-12</v>
      </c>
      <c r="CN119" s="22">
        <f t="shared" si="66"/>
        <v>3.8939324242063673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-5.1159076974727213E-13</v>
      </c>
      <c r="O120" s="13">
        <f>N120*VLOOKUP('Données projet'!$B$9,Paramètres!$A$1:$I$89,3,0)*VLOOKUP('Données projet'!$B$9,Paramètres!$A$1:$I$89,5,0)</f>
        <v>-3.7509835237869992E-13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234.09142087023463</v>
      </c>
      <c r="T120" s="59">
        <f t="shared" si="88"/>
        <v>278.990685815294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0.43557355207473214</v>
      </c>
      <c r="AA120" s="21">
        <f>EXP(-LN(2)/25)*AA119+(1-EXP(-LN(2)/25))/(LN(2)/25)*Calculateur!V120*Calculateur!X120*VLOOKUP('Données projet'!$B$9,Paramètres!$A$1:$I$89,3,0)*0.475*44/12</f>
        <v>1.3750067531711994</v>
      </c>
      <c r="AB120" s="21">
        <f>EXP(-LN(2)/2)*AB119+(1-EXP(-LN(2)/2))/(LN(2)/2)*V120*Y120*VLOOKUP('Données projet'!$B$9,Paramètres!$A$1:$I$89,3,0)*0.475*44/12</f>
        <v>1.780901446808481E-12</v>
      </c>
      <c r="AC120" s="22">
        <f t="shared" si="57"/>
        <v>1.8105803052477123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-1.2710188457276673E-13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255.5374979188561</v>
      </c>
      <c r="AO120" s="59">
        <f t="shared" si="90"/>
        <v>343.10418468620901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0.55168307391345028</v>
      </c>
      <c r="AV120" s="21">
        <f>EXP(-LN(2)/25)*AV119+(1-EXP(-LN(2)/25))/(LN(2)/25)*Calculateur!AQ120*Calculateur!AS120*VLOOKUP('Données projet'!$B$10,Paramètres!$A$1:$I$89,3,0)*0.475*44/12</f>
        <v>1.4303935837212731</v>
      </c>
      <c r="AW120" s="21">
        <f>EXP(-LN(2)/2)*AW119+(1-EXP(-LN(2)/2))/(LN(2)/2)*AQ120*AT120*VLOOKUP('Données projet'!$B$10,Paramètres!$A$1:$I$89,3,0)*0.475*44/12</f>
        <v>1.3607015757446344E-13</v>
      </c>
      <c r="AX120" s="21">
        <f t="shared" si="60"/>
        <v>1.9820766576348594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</v>
      </c>
      <c r="BD120" s="12">
        <f>IF('Données projet'!$A$88&gt;35,BD119+BC120-BL119,IF(A120&lt;'Données projet'!$A$88,$BA$205^A120,IF(A120='Données projet'!$A$88,'Données projet'!$B$88,BD119+BC120-BL119)))</f>
        <v>380.60000000000036</v>
      </c>
      <c r="BE120" s="13">
        <f>BD120*VLOOKUP('Données projet'!$B$11,Paramètres!$A$1:$I$89,3,0)*VLOOKUP('Données projet'!$B$11,Paramètres!$A$1:$I$89,5,0)</f>
        <v>326.55480000000034</v>
      </c>
      <c r="BF120" s="13">
        <f t="shared" si="91"/>
        <v>76.715593616667263</v>
      </c>
      <c r="BG120" s="20">
        <f t="shared" si="61"/>
        <v>702.36260221569603</v>
      </c>
      <c r="BH120" s="59">
        <f t="shared" si="62"/>
        <v>995.6959355490294</v>
      </c>
      <c r="BI120" s="59">
        <f ca="1">AVERAGE(OFFSET($BH$3,0,0,'Données projet'!$E$11+1,1))-AVERAGE(OFFSET($H$3,0,0,'Données projet'!$E$11+1,1))</f>
        <v>310.4018929413723</v>
      </c>
      <c r="BJ120" s="59">
        <f t="shared" si="92"/>
        <v>127.5231137583819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0.52764368670877793</v>
      </c>
      <c r="BR120" s="21">
        <f>EXP(-LN(2)/2)*BR119+(1-EXP(-LN(2)/2))/(LN(2)/2)*BL120*BO120*VLOOKUP('Données projet'!$B$11,Paramètres!$A$1:$I$89,3,0)*0.475*44/12</f>
        <v>7.1789593911927519E-13</v>
      </c>
      <c r="BS120" s="22">
        <f t="shared" si="63"/>
        <v>0.5276436867094958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210.04871822652808</v>
      </c>
      <c r="CE120" s="59">
        <f t="shared" si="94"/>
        <v>250.17540614049324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1.3034877995784147</v>
      </c>
      <c r="CL120" s="21">
        <f>EXP(-LN(2)/25)*CL119+(1-EXP(-LN(2)/25))/(LN(2)/25)*Calculateur!CG120*Calculateur!CI120*VLOOKUP('Données projet'!$B$12,Paramètres!$A$1:$I$89,3,0)*0.475*44/12</f>
        <v>2.4942498625017451</v>
      </c>
      <c r="CM120" s="21">
        <f>EXP(-LN(2)/2)*CM119+(1-EXP(-LN(2)/2))/(LN(2)/2)*CG120*CJ120*VLOOKUP('Données projet'!$B$12,Paramètres!$A$1:$I$89,3,0)*0.475*44/12</f>
        <v>1.7326898258854432E-12</v>
      </c>
      <c r="CN120" s="22">
        <f t="shared" si="66"/>
        <v>3.7977376620818926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-5.1159076974727213E-13</v>
      </c>
      <c r="O121" s="13">
        <f>N121*VLOOKUP('Données projet'!$B$9,Paramètres!$A$1:$I$89,3,0)*VLOOKUP('Données projet'!$B$9,Paramètres!$A$1:$I$89,5,0)</f>
        <v>-3.7509835237869992E-13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234.09142087023463</v>
      </c>
      <c r="T121" s="59">
        <f t="shared" si="88"/>
        <v>278.990685815294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0.42703222039218031</v>
      </c>
      <c r="AA121" s="21">
        <f>EXP(-LN(2)/25)*AA120+(1-EXP(-LN(2)/25))/(LN(2)/25)*Calculateur!V121*Calculateur!X121*VLOOKUP('Données projet'!$B$9,Paramètres!$A$1:$I$89,3,0)*0.475*44/12</f>
        <v>1.3374071211972705</v>
      </c>
      <c r="AB121" s="21">
        <f>EXP(-LN(2)/2)*AB120+(1-EXP(-LN(2)/2))/(LN(2)/2)*V121*Y121*VLOOKUP('Données projet'!$B$9,Paramètres!$A$1:$I$89,3,0)*0.475*44/12</f>
        <v>1.2592874896632105E-12</v>
      </c>
      <c r="AC121" s="22">
        <f t="shared" si="57"/>
        <v>1.76443934159071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-1.2710188457276673E-13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255.5374979188561</v>
      </c>
      <c r="AO121" s="59">
        <f t="shared" si="90"/>
        <v>343.10418468620901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0.54086490532745668</v>
      </c>
      <c r="AV121" s="21">
        <f>EXP(-LN(2)/25)*AV120+(1-EXP(-LN(2)/25))/(LN(2)/25)*Calculateur!AQ121*Calculateur!AS121*VLOOKUP('Données projet'!$B$10,Paramètres!$A$1:$I$89,3,0)*0.475*44/12</f>
        <v>1.3912793959532856</v>
      </c>
      <c r="AW121" s="21">
        <f>EXP(-LN(2)/2)*AW120+(1-EXP(-LN(2)/2))/(LN(2)/2)*AQ121*AT121*VLOOKUP('Données projet'!$B$10,Paramètres!$A$1:$I$89,3,0)*0.475*44/12</f>
        <v>9.6216131138025164E-14</v>
      </c>
      <c r="AX121" s="21">
        <f t="shared" si="60"/>
        <v>1.9321443012808384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</v>
      </c>
      <c r="BD121" s="12">
        <f>IF('Données projet'!$A$88&gt;35,BD120+BC121-BL120,IF(A121&lt;'Données projet'!$A$88,$BA$205^A121,IF(A121='Données projet'!$A$88,'Données projet'!$B$88,BD120+BC121-BL120)))</f>
        <v>387.40000000000038</v>
      </c>
      <c r="BE121" s="13">
        <f>BD121*VLOOKUP('Données projet'!$B$11,Paramètres!$A$1:$I$89,3,0)*VLOOKUP('Données projet'!$B$11,Paramètres!$A$1:$I$89,5,0)</f>
        <v>332.38920000000036</v>
      </c>
      <c r="BF121" s="13">
        <f t="shared" si="91"/>
        <v>77.925441127286135</v>
      </c>
      <c r="BG121" s="20">
        <f t="shared" si="61"/>
        <v>714.63133329669063</v>
      </c>
      <c r="BH121" s="59">
        <f t="shared" si="62"/>
        <v>1007.9646666300239</v>
      </c>
      <c r="BI121" s="59">
        <f ca="1">AVERAGE(OFFSET($BH$3,0,0,'Données projet'!$E$11+1,1))-AVERAGE(OFFSET($H$3,0,0,'Données projet'!$E$11+1,1))</f>
        <v>310.4018929413723</v>
      </c>
      <c r="BJ121" s="59">
        <f t="shared" si="92"/>
        <v>127.5231137583819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0.51321524234815086</v>
      </c>
      <c r="BR121" s="21">
        <f>EXP(-LN(2)/2)*BR120+(1-EXP(-LN(2)/2))/(LN(2)/2)*BL121*BO121*VLOOKUP('Données projet'!$B$11,Paramètres!$A$1:$I$89,3,0)*0.475*44/12</f>
        <v>5.0762908673752437E-13</v>
      </c>
      <c r="BS121" s="22">
        <f t="shared" si="63"/>
        <v>0.51321524234865845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210.04871822652808</v>
      </c>
      <c r="CE121" s="59">
        <f t="shared" si="94"/>
        <v>250.17540614049324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1.2779271988777352</v>
      </c>
      <c r="CL121" s="21">
        <f>EXP(-LN(2)/25)*CL120+(1-EXP(-LN(2)/25))/(LN(2)/25)*Calculateur!CG121*Calculateur!CI121*VLOOKUP('Données projet'!$B$12,Paramètres!$A$1:$I$89,3,0)*0.475*44/12</f>
        <v>2.4260444688447351</v>
      </c>
      <c r="CM121" s="21">
        <f>EXP(-LN(2)/2)*CM120+(1-EXP(-LN(2)/2))/(LN(2)/2)*CG121*CJ121*VLOOKUP('Données projet'!$B$12,Paramètres!$A$1:$I$89,3,0)*0.475*44/12</f>
        <v>1.2251967255765352E-12</v>
      </c>
      <c r="CN121" s="22">
        <f t="shared" si="66"/>
        <v>3.7039716677236956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-5.1159076974727213E-13</v>
      </c>
      <c r="O122" s="13">
        <f>N122*VLOOKUP('Données projet'!$B$9,Paramètres!$A$1:$I$89,3,0)*VLOOKUP('Données projet'!$B$9,Paramètres!$A$1:$I$89,5,0)</f>
        <v>-3.7509835237869992E-13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234.09142087023463</v>
      </c>
      <c r="T122" s="59">
        <f t="shared" si="88"/>
        <v>278.990685815294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0.41865837901422542</v>
      </c>
      <c r="AA122" s="21">
        <f>EXP(-LN(2)/25)*AA121+(1-EXP(-LN(2)/25))/(LN(2)/25)*Calculateur!V122*Calculateur!X122*VLOOKUP('Données projet'!$B$9,Paramètres!$A$1:$I$89,3,0)*0.475*44/12</f>
        <v>1.3008356531369474</v>
      </c>
      <c r="AB122" s="21">
        <f>EXP(-LN(2)/2)*AB121+(1-EXP(-LN(2)/2))/(LN(2)/2)*V122*Y122*VLOOKUP('Données projet'!$B$9,Paramètres!$A$1:$I$89,3,0)*0.475*44/12</f>
        <v>8.9045072340424059E-13</v>
      </c>
      <c r="AC122" s="22">
        <f t="shared" si="57"/>
        <v>1.7194940321520633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-1.2710188457276673E-13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255.5374979188561</v>
      </c>
      <c r="AO122" s="59">
        <f t="shared" si="90"/>
        <v>343.10418468620901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0.5302588744290031</v>
      </c>
      <c r="AV122" s="21">
        <f>EXP(-LN(2)/25)*AV121+(1-EXP(-LN(2)/25))/(LN(2)/25)*Calculateur!AQ122*Calculateur!AS122*VLOOKUP('Données projet'!$B$10,Paramètres!$A$1:$I$89,3,0)*0.475*44/12</f>
        <v>1.3532347877067394</v>
      </c>
      <c r="AW122" s="21">
        <f>EXP(-LN(2)/2)*AW121+(1-EXP(-LN(2)/2))/(LN(2)/2)*AQ122*AT122*VLOOKUP('Données projet'!$B$10,Paramètres!$A$1:$I$89,3,0)*0.475*44/12</f>
        <v>6.803507878723172E-14</v>
      </c>
      <c r="AX122" s="21">
        <f t="shared" si="60"/>
        <v>1.8834936621358105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6.8</v>
      </c>
      <c r="BD122" s="12">
        <f>IF('Données projet'!$A$88&gt;35,BD121+BC122-BL121,IF(A122&lt;'Données projet'!$A$88,$BA$205^A122,IF(A122='Données projet'!$A$88,'Données projet'!$B$88,BD121+BC122-BL121)))</f>
        <v>394.20000000000039</v>
      </c>
      <c r="BE122" s="13">
        <f>BD122*VLOOKUP('Données projet'!$B$11,Paramètres!$A$1:$I$89,3,0)*VLOOKUP('Données projet'!$B$11,Paramètres!$A$1:$I$89,5,0)</f>
        <v>338.22360000000037</v>
      </c>
      <c r="BF122" s="13">
        <f t="shared" si="91"/>
        <v>79.132819115910223</v>
      </c>
      <c r="BG122" s="20">
        <f t="shared" si="61"/>
        <v>726.89576329354441</v>
      </c>
      <c r="BH122" s="59">
        <f t="shared" si="62"/>
        <v>1020.2290966268777</v>
      </c>
      <c r="BI122" s="59">
        <f ca="1">AVERAGE(OFFSET($BH$3,0,0,'Données projet'!$E$11+1,1))-AVERAGE(OFFSET($H$3,0,0,'Données projet'!$E$11+1,1))</f>
        <v>310.4018929413723</v>
      </c>
      <c r="BJ122" s="59">
        <f t="shared" si="92"/>
        <v>127.5231137583819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0.49918134455732405</v>
      </c>
      <c r="BR122" s="21">
        <f>EXP(-LN(2)/2)*BR121+(1-EXP(-LN(2)/2))/(LN(2)/2)*BL122*BO122*VLOOKUP('Données projet'!$B$11,Paramètres!$A$1:$I$89,3,0)*0.475*44/12</f>
        <v>3.589479695596376E-13</v>
      </c>
      <c r="BS122" s="22">
        <f t="shared" si="63"/>
        <v>0.49918134455768298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210.04871822652808</v>
      </c>
      <c r="CE122" s="59">
        <f t="shared" si="94"/>
        <v>250.17540614049324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1.252867825966369</v>
      </c>
      <c r="CL122" s="21">
        <f>EXP(-LN(2)/25)*CL121+(1-EXP(-LN(2)/25))/(LN(2)/25)*Calculateur!CG122*Calculateur!CI122*VLOOKUP('Données projet'!$B$12,Paramètres!$A$1:$I$89,3,0)*0.475*44/12</f>
        <v>2.3597041552640419</v>
      </c>
      <c r="CM122" s="21">
        <f>EXP(-LN(2)/2)*CM121+(1-EXP(-LN(2)/2))/(LN(2)/2)*CG122*CJ122*VLOOKUP('Données projet'!$B$12,Paramètres!$A$1:$I$89,3,0)*0.475*44/12</f>
        <v>8.6634491294272159E-13</v>
      </c>
      <c r="CN122" s="22">
        <f t="shared" si="66"/>
        <v>3.6125719812312771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-5.1159076974727213E-13</v>
      </c>
      <c r="O123" s="13">
        <f>N123*VLOOKUP('Données projet'!$B$9,Paramètres!$A$1:$I$89,3,0)*VLOOKUP('Données projet'!$B$9,Paramètres!$A$1:$I$89,5,0)</f>
        <v>-3.7509835237869992E-13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234.09142087023463</v>
      </c>
      <c r="T123" s="59">
        <f t="shared" si="88"/>
        <v>278.990685815294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0.41044874355815331</v>
      </c>
      <c r="AA123" s="21">
        <f>EXP(-LN(2)/25)*AA122+(1-EXP(-LN(2)/25))/(LN(2)/25)*Calculateur!V123*Calculateur!X123*VLOOKUP('Données projet'!$B$9,Paramètres!$A$1:$I$89,3,0)*0.475*44/12</f>
        <v>1.2652642337939437</v>
      </c>
      <c r="AB123" s="21">
        <f>EXP(-LN(2)/2)*AB122+(1-EXP(-LN(2)/2))/(LN(2)/2)*V123*Y123*VLOOKUP('Données projet'!$B$9,Paramètres!$A$1:$I$89,3,0)*0.475*44/12</f>
        <v>6.2964374483160537E-13</v>
      </c>
      <c r="AC123" s="22">
        <f t="shared" si="57"/>
        <v>1.6757129773527266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-1.2710188457276673E-13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255.5374979188561</v>
      </c>
      <c r="AO123" s="59">
        <f t="shared" si="90"/>
        <v>343.10418468620901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0.51986082132742806</v>
      </c>
      <c r="AV123" s="21">
        <f>EXP(-LN(2)/25)*AV122+(1-EXP(-LN(2)/25))/(LN(2)/25)*Calculateur!AQ123*Calculateur!AS123*VLOOKUP('Données projet'!$B$10,Paramètres!$A$1:$I$89,3,0)*0.475*44/12</f>
        <v>1.3162305112733741</v>
      </c>
      <c r="AW123" s="21">
        <f>EXP(-LN(2)/2)*AW122+(1-EXP(-LN(2)/2))/(LN(2)/2)*AQ123*AT123*VLOOKUP('Données projet'!$B$10,Paramètres!$A$1:$I$89,3,0)*0.475*44/12</f>
        <v>4.8108065569012582E-14</v>
      </c>
      <c r="AX123" s="21">
        <f t="shared" si="60"/>
        <v>1.8360913326008503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401</v>
      </c>
      <c r="BB123" s="12">
        <f>VLOOKUP(A123,'Données projet'!$A$87:$I$107,9,0)</f>
        <v>6.8</v>
      </c>
      <c r="BC123" s="12">
        <f t="array" ref="BC123">INDEX(BB:BB,MIN(IF(ISNUMBER(BB123:BB319),ROW(BB123:BB319),"")))</f>
        <v>6.8</v>
      </c>
      <c r="BD123" s="12">
        <f>IF('Données projet'!$A$88&gt;35,BD122+BC123-BL122,IF(A123&lt;'Données projet'!$A$88,$BA$205^A123,IF(A123='Données projet'!$A$88,'Données projet'!$B$88,BD122+BC123-BL122)))</f>
        <v>401.0000000000004</v>
      </c>
      <c r="BE123" s="13">
        <f>BD123*VLOOKUP('Données projet'!$B$11,Paramètres!$A$1:$I$89,3,0)*VLOOKUP('Données projet'!$B$11,Paramètres!$A$1:$I$89,5,0)</f>
        <v>344.05800000000039</v>
      </c>
      <c r="BF123" s="13">
        <f t="shared" si="91"/>
        <v>80.337775097732305</v>
      </c>
      <c r="BG123" s="20">
        <f t="shared" si="61"/>
        <v>739.15597496188423</v>
      </c>
      <c r="BH123" s="59">
        <f t="shared" si="62"/>
        <v>1032.4893082952176</v>
      </c>
      <c r="BI123" s="59">
        <f ca="1">AVERAGE(OFFSET($BH$3,0,0,'Données projet'!$E$11+1,1))-AVERAGE(OFFSET($H$3,0,0,'Données projet'!$E$11+1,1))</f>
        <v>310.4018929413723</v>
      </c>
      <c r="BJ123" s="59">
        <f t="shared" si="92"/>
        <v>127.5231137583819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53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0.48553120443959802</v>
      </c>
      <c r="BR123" s="21">
        <f>EXP(-LN(2)/2)*BR122+(1-EXP(-LN(2)/2))/(LN(2)/2)*BL123*BO123*VLOOKUP('Données projet'!$B$11,Paramètres!$A$1:$I$89,3,0)*0.475*44/12</f>
        <v>2.5381454336876218E-13</v>
      </c>
      <c r="BS123" s="22">
        <f t="shared" si="63"/>
        <v>0.48553120443985182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210.04871822652808</v>
      </c>
      <c r="CE123" s="59">
        <f t="shared" si="94"/>
        <v>250.17540614049324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1.2282998520730866</v>
      </c>
      <c r="CL123" s="21">
        <f>EXP(-LN(2)/25)*CL122+(1-EXP(-LN(2)/25))/(LN(2)/25)*Calculateur!CG123*Calculateur!CI123*VLOOKUP('Données projet'!$B$12,Paramètres!$A$1:$I$89,3,0)*0.475*44/12</f>
        <v>2.2951779210468981</v>
      </c>
      <c r="CM123" s="21">
        <f>EXP(-LN(2)/2)*CM122+(1-EXP(-LN(2)/2))/(LN(2)/2)*CG123*CJ123*VLOOKUP('Données projet'!$B$12,Paramètres!$A$1:$I$89,3,0)*0.475*44/12</f>
        <v>6.125983627882676E-13</v>
      </c>
      <c r="CN123" s="22">
        <f t="shared" si="66"/>
        <v>3.5234777731205971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-5.1159076974727213E-13</v>
      </c>
      <c r="O124" s="13">
        <f>N124*VLOOKUP('Données projet'!$B$9,Paramètres!$A$1:$I$89,3,0)*VLOOKUP('Données projet'!$B$9,Paramètres!$A$1:$I$89,5,0)</f>
        <v>-3.7509835237869992E-13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234.09142087023463</v>
      </c>
      <c r="T124" s="59">
        <f t="shared" si="88"/>
        <v>278.990685815294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0.40240009404599159</v>
      </c>
      <c r="AA124" s="21">
        <f>EXP(-LN(2)/25)*AA123+(1-EXP(-LN(2)/25))/(LN(2)/25)*Calculateur!V124*Calculateur!X124*VLOOKUP('Données projet'!$B$9,Paramètres!$A$1:$I$89,3,0)*0.475*44/12</f>
        <v>1.2306655167834941</v>
      </c>
      <c r="AB124" s="21">
        <f>EXP(-LN(2)/2)*AB123+(1-EXP(-LN(2)/2))/(LN(2)/2)*V124*Y124*VLOOKUP('Données projet'!$B$9,Paramètres!$A$1:$I$89,3,0)*0.475*44/12</f>
        <v>4.4522536170212039E-13</v>
      </c>
      <c r="AC124" s="22">
        <f t="shared" si="57"/>
        <v>1.6330656108299308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-1.2710188457276673E-13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255.5374979188561</v>
      </c>
      <c r="AO124" s="59">
        <f t="shared" si="90"/>
        <v>343.10418468620901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0.50966666770498881</v>
      </c>
      <c r="AV124" s="21">
        <f>EXP(-LN(2)/25)*AV123+(1-EXP(-LN(2)/25))/(LN(2)/25)*Calculateur!AQ124*Calculateur!AS124*VLOOKUP('Données projet'!$B$10,Paramètres!$A$1:$I$89,3,0)*0.475*44/12</f>
        <v>1.2802381187250493</v>
      </c>
      <c r="AW124" s="21">
        <f>EXP(-LN(2)/2)*AW123+(1-EXP(-LN(2)/2))/(LN(2)/2)*AQ124*AT124*VLOOKUP('Données projet'!$B$10,Paramètres!$A$1:$I$89,3,0)*0.475*44/12</f>
        <v>3.401753939361586E-14</v>
      </c>
      <c r="AX124" s="21">
        <f t="shared" si="60"/>
        <v>1.7899047864300721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5.9</v>
      </c>
      <c r="BD124" s="12">
        <f>IF('Données projet'!$A$88&gt;35,BD123+BC124-BL123,IF(A124&lt;'Données projet'!$A$88,$BA$205^A124,IF(A124='Données projet'!$A$88,'Données projet'!$B$88,BD123+BC124-BL123)))</f>
        <v>353.90000000000038</v>
      </c>
      <c r="BE124" s="13">
        <f>BD124*VLOOKUP('Données projet'!$B$11,Paramètres!$A$1:$I$89,3,0)*VLOOKUP('Données projet'!$B$11,Paramètres!$A$1:$I$89,5,0)</f>
        <v>303.64620000000036</v>
      </c>
      <c r="BF124" s="13">
        <f t="shared" si="91"/>
        <v>71.940308781184143</v>
      </c>
      <c r="BG124" s="20">
        <f t="shared" si="61"/>
        <v>654.14650279389639</v>
      </c>
      <c r="BH124" s="59">
        <f t="shared" si="62"/>
        <v>947.47983612722965</v>
      </c>
      <c r="BI124" s="59">
        <f ca="1">AVERAGE(OFFSET($BH$3,0,0,'Données projet'!$E$11+1,1))-AVERAGE(OFFSET($H$3,0,0,'Données projet'!$E$11+1,1))</f>
        <v>310.4018929413723</v>
      </c>
      <c r="BJ124" s="59">
        <f t="shared" si="92"/>
        <v>127.5231137583819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0.47225432812122087</v>
      </c>
      <c r="BR124" s="21">
        <f>EXP(-LN(2)/2)*BR123+(1-EXP(-LN(2)/2))/(LN(2)/2)*BL124*BO124*VLOOKUP('Données projet'!$B$11,Paramètres!$A$1:$I$89,3,0)*0.475*44/12</f>
        <v>1.794739847798188E-13</v>
      </c>
      <c r="BS124" s="22">
        <f t="shared" si="63"/>
        <v>0.47225432812140034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210.04871822652808</v>
      </c>
      <c r="CE124" s="59">
        <f t="shared" si="94"/>
        <v>250.17540614049324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1.2042136411628668</v>
      </c>
      <c r="CL124" s="21">
        <f>EXP(-LN(2)/25)*CL123+(1-EXP(-LN(2)/25))/(LN(2)/25)*Calculateur!CG124*Calculateur!CI124*VLOOKUP('Données projet'!$B$12,Paramètres!$A$1:$I$89,3,0)*0.475*44/12</f>
        <v>2.2324161600977095</v>
      </c>
      <c r="CM124" s="21">
        <f>EXP(-LN(2)/2)*CM123+(1-EXP(-LN(2)/2))/(LN(2)/2)*CG124*CJ124*VLOOKUP('Données projet'!$B$12,Paramètres!$A$1:$I$89,3,0)*0.475*44/12</f>
        <v>4.331724564713608E-13</v>
      </c>
      <c r="CN124" s="22">
        <f t="shared" si="66"/>
        <v>3.436629801261009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-5.1159076974727213E-13</v>
      </c>
      <c r="O125" s="13">
        <f>N125*VLOOKUP('Données projet'!$B$9,Paramètres!$A$1:$I$89,3,0)*VLOOKUP('Données projet'!$B$9,Paramètres!$A$1:$I$89,5,0)</f>
        <v>-3.7509835237869992E-13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234.09142087023463</v>
      </c>
      <c r="T125" s="59">
        <f t="shared" si="88"/>
        <v>278.990685815294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0.3945092736415719</v>
      </c>
      <c r="AA125" s="21">
        <f>EXP(-LN(2)/25)*AA124+(1-EXP(-LN(2)/25))/(LN(2)/25)*Calculateur!V125*Calculateur!X125*VLOOKUP('Données projet'!$B$9,Paramètres!$A$1:$I$89,3,0)*0.475*44/12</f>
        <v>1.1970129035091626</v>
      </c>
      <c r="AB125" s="21">
        <f>EXP(-LN(2)/2)*AB124+(1-EXP(-LN(2)/2))/(LN(2)/2)*V125*Y125*VLOOKUP('Données projet'!$B$9,Paramètres!$A$1:$I$89,3,0)*0.475*44/12</f>
        <v>3.1482187241580273E-13</v>
      </c>
      <c r="AC125" s="22">
        <f t="shared" si="57"/>
        <v>1.5915221771510493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-1.2710188457276673E-13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255.5374979188561</v>
      </c>
      <c r="AO125" s="59">
        <f t="shared" si="90"/>
        <v>343.10418468620901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0.4996724152172658</v>
      </c>
      <c r="AV125" s="21">
        <f>EXP(-LN(2)/25)*AV124+(1-EXP(-LN(2)/25))/(LN(2)/25)*Calculateur!AQ125*Calculateur!AS125*VLOOKUP('Données projet'!$B$10,Paramètres!$A$1:$I$89,3,0)*0.475*44/12</f>
        <v>1.2452299400437161</v>
      </c>
      <c r="AW125" s="21">
        <f>EXP(-LN(2)/2)*AW124+(1-EXP(-LN(2)/2))/(LN(2)/2)*AQ125*AT125*VLOOKUP('Données projet'!$B$10,Paramètres!$A$1:$I$89,3,0)*0.475*44/12</f>
        <v>2.4054032784506291E-14</v>
      </c>
      <c r="AX125" s="21">
        <f t="shared" si="60"/>
        <v>1.7449023552610059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5.9</v>
      </c>
      <c r="BD125" s="12">
        <f>IF('Données projet'!$A$88&gt;35,BD124+BC125-BL124,IF(A125&lt;'Données projet'!$A$88,$BA$205^A125,IF(A125='Données projet'!$A$88,'Données projet'!$B$88,BD124+BC125-BL124)))</f>
        <v>359.80000000000035</v>
      </c>
      <c r="BE125" s="13">
        <f>BD125*VLOOKUP('Données projet'!$B$11,Paramètres!$A$1:$I$89,3,0)*VLOOKUP('Données projet'!$B$11,Paramètres!$A$1:$I$89,5,0)</f>
        <v>308.70840000000032</v>
      </c>
      <c r="BF125" s="13">
        <f t="shared" si="91"/>
        <v>72.999027175082958</v>
      </c>
      <c r="BG125" s="20">
        <f t="shared" si="61"/>
        <v>664.8071023299367</v>
      </c>
      <c r="BH125" s="59">
        <f t="shared" si="62"/>
        <v>958.14043566326995</v>
      </c>
      <c r="BI125" s="59">
        <f ca="1">AVERAGE(OFFSET($BH$3,0,0,'Données projet'!$E$11+1,1))-AVERAGE(OFFSET($H$3,0,0,'Données projet'!$E$11+1,1))</f>
        <v>310.4018929413723</v>
      </c>
      <c r="BJ125" s="59">
        <f t="shared" si="92"/>
        <v>127.5231137583819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0.45934050868397031</v>
      </c>
      <c r="BR125" s="21">
        <f>EXP(-LN(2)/2)*BR124+(1-EXP(-LN(2)/2))/(LN(2)/2)*BL125*BO125*VLOOKUP('Données projet'!$B$11,Paramètres!$A$1:$I$89,3,0)*0.475*44/12</f>
        <v>1.2690727168438109E-13</v>
      </c>
      <c r="BS125" s="22">
        <f t="shared" si="63"/>
        <v>0.4593405086840972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210.04871822652808</v>
      </c>
      <c r="CE125" s="59">
        <f t="shared" si="94"/>
        <v>250.17540614049324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1.1805997461574584</v>
      </c>
      <c r="CL125" s="21">
        <f>EXP(-LN(2)/25)*CL124+(1-EXP(-LN(2)/25))/(LN(2)/25)*Calculateur!CG125*Calculateur!CI125*VLOOKUP('Données projet'!$B$12,Paramètres!$A$1:$I$89,3,0)*0.475*44/12</f>
        <v>2.1713706228021739</v>
      </c>
      <c r="CM125" s="21">
        <f>EXP(-LN(2)/2)*CM124+(1-EXP(-LN(2)/2))/(LN(2)/2)*CG125*CJ125*VLOOKUP('Données projet'!$B$12,Paramètres!$A$1:$I$89,3,0)*0.475*44/12</f>
        <v>3.062991813941338E-13</v>
      </c>
      <c r="CN125" s="22">
        <f t="shared" si="66"/>
        <v>3.3519703689599387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-5.1159076974727213E-13</v>
      </c>
      <c r="O126" s="13">
        <f>N126*VLOOKUP('Données projet'!$B$9,Paramètres!$A$1:$I$89,3,0)*VLOOKUP('Données projet'!$B$9,Paramètres!$A$1:$I$89,5,0)</f>
        <v>-3.7509835237869992E-13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234.09142087023463</v>
      </c>
      <c r="T126" s="59">
        <f t="shared" si="88"/>
        <v>278.990685815294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0.38677318741235767</v>
      </c>
      <c r="AA126" s="21">
        <f>EXP(-LN(2)/25)*AA125+(1-EXP(-LN(2)/25))/(LN(2)/25)*Calculateur!V126*Calculateur!X126*VLOOKUP('Données projet'!$B$9,Paramètres!$A$1:$I$89,3,0)*0.475*44/12</f>
        <v>1.1642805227145316</v>
      </c>
      <c r="AB126" s="21">
        <f>EXP(-LN(2)/2)*AB125+(1-EXP(-LN(2)/2))/(LN(2)/2)*V126*Y126*VLOOKUP('Données projet'!$B$9,Paramètres!$A$1:$I$89,3,0)*0.475*44/12</f>
        <v>2.2261268085106022E-13</v>
      </c>
      <c r="AC126" s="22">
        <f t="shared" si="57"/>
        <v>1.551053710127112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-1.2710188457276673E-13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255.5374979188561</v>
      </c>
      <c r="AO126" s="59">
        <f t="shared" si="90"/>
        <v>343.10418468620901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0.48987414392493495</v>
      </c>
      <c r="AV126" s="21">
        <f>EXP(-LN(2)/25)*AV125+(1-EXP(-LN(2)/25))/(LN(2)/25)*Calculateur!AQ126*Calculateur!AS126*VLOOKUP('Données projet'!$B$10,Paramètres!$A$1:$I$89,3,0)*0.475*44/12</f>
        <v>1.2111790618494243</v>
      </c>
      <c r="AW126" s="21">
        <f>EXP(-LN(2)/2)*AW125+(1-EXP(-LN(2)/2))/(LN(2)/2)*AQ126*AT126*VLOOKUP('Données projet'!$B$10,Paramètres!$A$1:$I$89,3,0)*0.475*44/12</f>
        <v>1.700876969680793E-14</v>
      </c>
      <c r="AX126" s="21">
        <f t="shared" si="60"/>
        <v>1.7010532057743764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5.9</v>
      </c>
      <c r="BD126" s="12">
        <f>IF('Données projet'!$A$88&gt;35,BD125+BC126-BL125,IF(A126&lt;'Données projet'!$A$88,$BA$205^A126,IF(A126='Données projet'!$A$88,'Données projet'!$B$88,BD125+BC126-BL125)))</f>
        <v>365.70000000000033</v>
      </c>
      <c r="BE126" s="13">
        <f>BD126*VLOOKUP('Données projet'!$B$11,Paramètres!$A$1:$I$89,3,0)*VLOOKUP('Données projet'!$B$11,Paramètres!$A$1:$I$89,5,0)</f>
        <v>313.77060000000029</v>
      </c>
      <c r="BF126" s="13">
        <f t="shared" si="91"/>
        <v>74.055726596216218</v>
      </c>
      <c r="BG126" s="20">
        <f t="shared" si="61"/>
        <v>675.46418548841041</v>
      </c>
      <c r="BH126" s="59">
        <f t="shared" si="62"/>
        <v>968.79751882174378</v>
      </c>
      <c r="BI126" s="59">
        <f ca="1">AVERAGE(OFFSET($BH$3,0,0,'Données projet'!$E$11+1,1))-AVERAGE(OFFSET($H$3,0,0,'Données projet'!$E$11+1,1))</f>
        <v>310.4018929413723</v>
      </c>
      <c r="BJ126" s="59">
        <f t="shared" si="92"/>
        <v>127.5231137583819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0.44677981831833963</v>
      </c>
      <c r="BR126" s="21">
        <f>EXP(-LN(2)/2)*BR125+(1-EXP(-LN(2)/2))/(LN(2)/2)*BL126*BO126*VLOOKUP('Données projet'!$B$11,Paramètres!$A$1:$I$89,3,0)*0.475*44/12</f>
        <v>8.9736992389909399E-14</v>
      </c>
      <c r="BS126" s="22">
        <f t="shared" si="63"/>
        <v>0.44677981831842939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210.04871822652808</v>
      </c>
      <c r="CE126" s="59">
        <f t="shared" si="94"/>
        <v>250.17540614049324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1.1574489052300523</v>
      </c>
      <c r="CL126" s="21">
        <f>EXP(-LN(2)/25)*CL125+(1-EXP(-LN(2)/25))/(LN(2)/25)*Calculateur!CG126*Calculateur!CI126*VLOOKUP('Données projet'!$B$12,Paramètres!$A$1:$I$89,3,0)*0.475*44/12</f>
        <v>2.1119943789342299</v>
      </c>
      <c r="CM126" s="21">
        <f>EXP(-LN(2)/2)*CM125+(1-EXP(-LN(2)/2))/(LN(2)/2)*CG126*CJ126*VLOOKUP('Données projet'!$B$12,Paramètres!$A$1:$I$89,3,0)*0.475*44/12</f>
        <v>2.165862282356804E-13</v>
      </c>
      <c r="CN126" s="22">
        <f t="shared" si="66"/>
        <v>3.2694432841644989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-5.1159076974727213E-13</v>
      </c>
      <c r="O127" s="13">
        <f>N127*VLOOKUP('Données projet'!$B$9,Paramètres!$A$1:$I$89,3,0)*VLOOKUP('Données projet'!$B$9,Paramètres!$A$1:$I$89,5,0)</f>
        <v>-3.7509835237869992E-13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234.09142087023463</v>
      </c>
      <c r="T127" s="59">
        <f t="shared" si="88"/>
        <v>278.990685815294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0.37918880111555164</v>
      </c>
      <c r="AA127" s="21">
        <f>EXP(-LN(2)/25)*AA126+(1-EXP(-LN(2)/25))/(LN(2)/25)*Calculateur!V127*Calculateur!X127*VLOOKUP('Données projet'!$B$9,Paramètres!$A$1:$I$89,3,0)*0.475*44/12</f>
        <v>1.1324432105940512</v>
      </c>
      <c r="AB127" s="21">
        <f>EXP(-LN(2)/2)*AB126+(1-EXP(-LN(2)/2))/(LN(2)/2)*V127*Y127*VLOOKUP('Données projet'!$B$9,Paramètres!$A$1:$I$89,3,0)*0.475*44/12</f>
        <v>1.5741093620790139E-13</v>
      </c>
      <c r="AC127" s="22">
        <f t="shared" si="57"/>
        <v>1.5116320117097601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-1.2710188457276673E-13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255.5374979188561</v>
      </c>
      <c r="AO127" s="59">
        <f t="shared" si="90"/>
        <v>343.10418468620901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0.48026801075629133</v>
      </c>
      <c r="AV127" s="21">
        <f>EXP(-LN(2)/25)*AV126+(1-EXP(-LN(2)/25))/(LN(2)/25)*Calculateur!AQ127*Calculateur!AS127*VLOOKUP('Données projet'!$B$10,Paramètres!$A$1:$I$89,3,0)*0.475*44/12</f>
        <v>1.1780593067100131</v>
      </c>
      <c r="AW127" s="21">
        <f>EXP(-LN(2)/2)*AW126+(1-EXP(-LN(2)/2))/(LN(2)/2)*AQ127*AT127*VLOOKUP('Données projet'!$B$10,Paramètres!$A$1:$I$89,3,0)*0.475*44/12</f>
        <v>1.2027016392253146E-14</v>
      </c>
      <c r="AX127" s="21">
        <f t="shared" si="60"/>
        <v>1.6583273174663165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5.9</v>
      </c>
      <c r="BD127" s="12">
        <f>IF('Données projet'!$A$88&gt;35,BD126+BC127-BL126,IF(A127&lt;'Données projet'!$A$88,$BA$205^A127,IF(A127='Données projet'!$A$88,'Données projet'!$B$88,BD126+BC127-BL126)))</f>
        <v>371.60000000000031</v>
      </c>
      <c r="BE127" s="13">
        <f>BD127*VLOOKUP('Données projet'!$B$11,Paramètres!$A$1:$I$89,3,0)*VLOOKUP('Données projet'!$B$11,Paramètres!$A$1:$I$89,5,0)</f>
        <v>318.8328000000003</v>
      </c>
      <c r="BF127" s="13">
        <f t="shared" si="91"/>
        <v>75.110443378112123</v>
      </c>
      <c r="BG127" s="20">
        <f t="shared" si="61"/>
        <v>686.11781555021241</v>
      </c>
      <c r="BH127" s="59">
        <f t="shared" si="62"/>
        <v>979.45114888354578</v>
      </c>
      <c r="BI127" s="59">
        <f ca="1">AVERAGE(OFFSET($BH$3,0,0,'Données projet'!$E$11+1,1))-AVERAGE(OFFSET($H$3,0,0,'Données projet'!$E$11+1,1))</f>
        <v>310.4018929413723</v>
      </c>
      <c r="BJ127" s="59">
        <f t="shared" si="92"/>
        <v>127.5231137583819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0.4345626006912951</v>
      </c>
      <c r="BR127" s="21">
        <f>EXP(-LN(2)/2)*BR126+(1-EXP(-LN(2)/2))/(LN(2)/2)*BL127*BO127*VLOOKUP('Données projet'!$B$11,Paramètres!$A$1:$I$89,3,0)*0.475*44/12</f>
        <v>6.3453635842190546E-14</v>
      </c>
      <c r="BS127" s="22">
        <f t="shared" si="63"/>
        <v>0.43456260069135855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210.04871822652808</v>
      </c>
      <c r="CE127" s="59">
        <f t="shared" si="94"/>
        <v>250.17540614049324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1.1347520381726139</v>
      </c>
      <c r="CL127" s="21">
        <f>EXP(-LN(2)/25)*CL126+(1-EXP(-LN(2)/25))/(LN(2)/25)*Calculateur!CG127*Calculateur!CI127*VLOOKUP('Données projet'!$B$12,Paramètres!$A$1:$I$89,3,0)*0.475*44/12</f>
        <v>2.054241781577316</v>
      </c>
      <c r="CM127" s="21">
        <f>EXP(-LN(2)/2)*CM126+(1-EXP(-LN(2)/2))/(LN(2)/2)*CG127*CJ127*VLOOKUP('Données projet'!$B$12,Paramètres!$A$1:$I$89,3,0)*0.475*44/12</f>
        <v>1.531495906970669E-13</v>
      </c>
      <c r="CN127" s="22">
        <f t="shared" si="66"/>
        <v>3.1889938197500833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-5.1159076974727213E-13</v>
      </c>
      <c r="O128" s="13">
        <f>N128*VLOOKUP('Données projet'!$B$9,Paramètres!$A$1:$I$89,3,0)*VLOOKUP('Données projet'!$B$9,Paramètres!$A$1:$I$89,5,0)</f>
        <v>-3.7509835237869992E-13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234.09142087023463</v>
      </c>
      <c r="T128" s="59">
        <f t="shared" si="88"/>
        <v>278.990685815294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0.37175314000800713</v>
      </c>
      <c r="AA128" s="21">
        <f>EXP(-LN(2)/25)*AA127+(1-EXP(-LN(2)/25))/(LN(2)/25)*Calculateur!V128*Calculateur!X128*VLOOKUP('Données projet'!$B$9,Paramètres!$A$1:$I$89,3,0)*0.475*44/12</f>
        <v>1.1014764914477566</v>
      </c>
      <c r="AB128" s="21">
        <f>EXP(-LN(2)/2)*AB127+(1-EXP(-LN(2)/2))/(LN(2)/2)*V128*Y128*VLOOKUP('Données projet'!$B$9,Paramètres!$A$1:$I$89,3,0)*0.475*44/12</f>
        <v>1.1130634042553012E-13</v>
      </c>
      <c r="AC128" s="22">
        <f t="shared" si="57"/>
        <v>1.473229631455875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-1.2710188457276673E-13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255.5374979188561</v>
      </c>
      <c r="AO128" s="59">
        <f t="shared" si="90"/>
        <v>343.10418468620901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0.47085024799992214</v>
      </c>
      <c r="AV128" s="21">
        <f>EXP(-LN(2)/25)*AV127+(1-EXP(-LN(2)/25))/(LN(2)/25)*Calculateur!AQ128*Calculateur!AS128*VLOOKUP('Données projet'!$B$10,Paramètres!$A$1:$I$89,3,0)*0.475*44/12</f>
        <v>1.1458452130165813</v>
      </c>
      <c r="AW128" s="21">
        <f>EXP(-LN(2)/2)*AW127+(1-EXP(-LN(2)/2))/(LN(2)/2)*AQ128*AT128*VLOOKUP('Données projet'!$B$10,Paramètres!$A$1:$I$89,3,0)*0.475*44/12</f>
        <v>8.504384848403965E-15</v>
      </c>
      <c r="AX128" s="21">
        <f t="shared" si="60"/>
        <v>1.6166954610165118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5.9</v>
      </c>
      <c r="BD128" s="12">
        <f>IF('Données projet'!$A$88&gt;35,BD127+BC128-BL127,IF(A128&lt;'Données projet'!$A$88,$BA$205^A128,IF(A128='Données projet'!$A$88,'Données projet'!$B$88,BD127+BC128-BL127)))</f>
        <v>377.50000000000028</v>
      </c>
      <c r="BE128" s="13">
        <f>BD128*VLOOKUP('Données projet'!$B$11,Paramètres!$A$1:$I$89,3,0)*VLOOKUP('Données projet'!$B$11,Paramètres!$A$1:$I$89,5,0)</f>
        <v>323.89500000000027</v>
      </c>
      <c r="BF128" s="13">
        <f t="shared" si="91"/>
        <v>76.163212634369074</v>
      </c>
      <c r="BG128" s="20">
        <f t="shared" si="61"/>
        <v>696.76805367152656</v>
      </c>
      <c r="BH128" s="59">
        <f t="shared" si="62"/>
        <v>990.10138700485982</v>
      </c>
      <c r="BI128" s="59">
        <f ca="1">AVERAGE(OFFSET($BH$3,0,0,'Données projet'!$E$11+1,1))-AVERAGE(OFFSET($H$3,0,0,'Données projet'!$E$11+1,1))</f>
        <v>310.4018929413723</v>
      </c>
      <c r="BJ128" s="59">
        <f t="shared" si="92"/>
        <v>127.5231137583819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0.42267946352273766</v>
      </c>
      <c r="BR128" s="21">
        <f>EXP(-LN(2)/2)*BR127+(1-EXP(-LN(2)/2))/(LN(2)/2)*BL128*BO128*VLOOKUP('Données projet'!$B$11,Paramètres!$A$1:$I$89,3,0)*0.475*44/12</f>
        <v>4.48684961949547E-14</v>
      </c>
      <c r="BS128" s="22">
        <f t="shared" si="63"/>
        <v>0.42267946352278252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210.04871822652808</v>
      </c>
      <c r="CE128" s="59">
        <f t="shared" si="94"/>
        <v>250.17540614049324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1.1125002428344501</v>
      </c>
      <c r="CL128" s="21">
        <f>EXP(-LN(2)/25)*CL127+(1-EXP(-LN(2)/25))/(LN(2)/25)*Calculateur!CG128*Calculateur!CI128*VLOOKUP('Données projet'!$B$12,Paramètres!$A$1:$I$89,3,0)*0.475*44/12</f>
        <v>1.998068432032204</v>
      </c>
      <c r="CM128" s="21">
        <f>EXP(-LN(2)/2)*CM127+(1-EXP(-LN(2)/2))/(LN(2)/2)*CG128*CJ128*VLOOKUP('Données projet'!$B$12,Paramètres!$A$1:$I$89,3,0)*0.475*44/12</f>
        <v>1.082931141178402E-13</v>
      </c>
      <c r="CN128" s="22">
        <f t="shared" si="66"/>
        <v>3.1105686748667623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-5.1159076974727213E-13</v>
      </c>
      <c r="O129" s="13">
        <f>N129*VLOOKUP('Données projet'!$B$9,Paramètres!$A$1:$I$89,3,0)*VLOOKUP('Données projet'!$B$9,Paramètres!$A$1:$I$89,5,0)</f>
        <v>-3.7509835237869992E-13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234.09142087023463</v>
      </c>
      <c r="T129" s="59">
        <f t="shared" si="88"/>
        <v>278.990685815294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0.36446328767947611</v>
      </c>
      <c r="AA129" s="21">
        <f>EXP(-LN(2)/25)*AA128+(1-EXP(-LN(2)/25))/(LN(2)/25)*Calculateur!V129*Calculateur!X129*VLOOKUP('Données projet'!$B$9,Paramètres!$A$1:$I$89,3,0)*0.475*44/12</f>
        <v>1.0713565588649865</v>
      </c>
      <c r="AB129" s="21">
        <f>EXP(-LN(2)/2)*AB128+(1-EXP(-LN(2)/2))/(LN(2)/2)*V129*Y129*VLOOKUP('Données projet'!$B$9,Paramètres!$A$1:$I$89,3,0)*0.475*44/12</f>
        <v>7.8705468103950709E-14</v>
      </c>
      <c r="AC129" s="22">
        <f t="shared" si="57"/>
        <v>1.4358198465445411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-1.2710188457276673E-13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255.5374979188561</v>
      </c>
      <c r="AO129" s="59">
        <f t="shared" si="90"/>
        <v>343.10418468620901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0.46161716182693724</v>
      </c>
      <c r="AV129" s="21">
        <f>EXP(-LN(2)/25)*AV128+(1-EXP(-LN(2)/25))/(LN(2)/25)*Calculateur!AQ129*Calculateur!AS129*VLOOKUP('Données projet'!$B$10,Paramètres!$A$1:$I$89,3,0)*0.475*44/12</f>
        <v>1.114512015409262</v>
      </c>
      <c r="AW129" s="21">
        <f>EXP(-LN(2)/2)*AW128+(1-EXP(-LN(2)/2))/(LN(2)/2)*AQ129*AT129*VLOOKUP('Données projet'!$B$10,Paramètres!$A$1:$I$89,3,0)*0.475*44/12</f>
        <v>6.0135081961265728E-15</v>
      </c>
      <c r="AX129" s="21">
        <f t="shared" si="60"/>
        <v>1.5761291772362054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5.9</v>
      </c>
      <c r="BD129" s="12">
        <f>IF('Données projet'!$A$88&gt;35,BD128+BC129-BL128,IF(A129&lt;'Données projet'!$A$88,$BA$205^A129,IF(A129='Données projet'!$A$88,'Données projet'!$B$88,BD128+BC129-BL128)))</f>
        <v>383.40000000000026</v>
      </c>
      <c r="BE129" s="13">
        <f>BD129*VLOOKUP('Données projet'!$B$11,Paramètres!$A$1:$I$89,3,0)*VLOOKUP('Données projet'!$B$11,Paramètres!$A$1:$I$89,5,0)</f>
        <v>328.95720000000023</v>
      </c>
      <c r="BF129" s="13">
        <f t="shared" si="91"/>
        <v>77.214068318029646</v>
      </c>
      <c r="BG129" s="20">
        <f t="shared" si="61"/>
        <v>707.41495898723531</v>
      </c>
      <c r="BH129" s="59">
        <f t="shared" si="62"/>
        <v>1000.7482923205687</v>
      </c>
      <c r="BI129" s="59">
        <f ca="1">AVERAGE(OFFSET($BH$3,0,0,'Données projet'!$E$11+1,1))-AVERAGE(OFFSET($H$3,0,0,'Données projet'!$E$11+1,1))</f>
        <v>310.4018929413723</v>
      </c>
      <c r="BJ129" s="59">
        <f t="shared" si="92"/>
        <v>127.5231137583819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0.41112127136496146</v>
      </c>
      <c r="BR129" s="21">
        <f>EXP(-LN(2)/2)*BR128+(1-EXP(-LN(2)/2))/(LN(2)/2)*BL129*BO129*VLOOKUP('Données projet'!$B$11,Paramètres!$A$1:$I$89,3,0)*0.475*44/12</f>
        <v>3.1726817921095273E-14</v>
      </c>
      <c r="BS129" s="22">
        <f t="shared" si="63"/>
        <v>0.41112127136499321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210.04871822652808</v>
      </c>
      <c r="CE129" s="59">
        <f t="shared" si="94"/>
        <v>250.17540614049324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1.0906847916306126</v>
      </c>
      <c r="CL129" s="21">
        <f>EXP(-LN(2)/25)*CL128+(1-EXP(-LN(2)/25))/(LN(2)/25)*Calculateur!CG129*Calculateur!CI129*VLOOKUP('Données projet'!$B$12,Paramètres!$A$1:$I$89,3,0)*0.475*44/12</f>
        <v>1.9434311456844311</v>
      </c>
      <c r="CM129" s="21">
        <f>EXP(-LN(2)/2)*CM128+(1-EXP(-LN(2)/2))/(LN(2)/2)*CG129*CJ129*VLOOKUP('Données projet'!$B$12,Paramètres!$A$1:$I$89,3,0)*0.475*44/12</f>
        <v>7.6574795348533449E-14</v>
      </c>
      <c r="CN129" s="22">
        <f t="shared" si="66"/>
        <v>3.0341159373151201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-5.1159076974727213E-13</v>
      </c>
      <c r="O130" s="13">
        <f>N130*VLOOKUP('Données projet'!$B$9,Paramètres!$A$1:$I$89,3,0)*VLOOKUP('Données projet'!$B$9,Paramètres!$A$1:$I$89,5,0)</f>
        <v>-3.7509835237869992E-13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234.09142087023463</v>
      </c>
      <c r="T130" s="59">
        <f t="shared" si="88"/>
        <v>278.990685815294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0.35731638490873668</v>
      </c>
      <c r="AA130" s="21">
        <f>EXP(-LN(2)/25)*AA129+(1-EXP(-LN(2)/25))/(LN(2)/25)*Calculateur!V130*Calculateur!X130*VLOOKUP('Données projet'!$B$9,Paramètres!$A$1:$I$89,3,0)*0.475*44/12</f>
        <v>1.0420602574226305</v>
      </c>
      <c r="AB130" s="21">
        <f>EXP(-LN(2)/2)*AB129+(1-EXP(-LN(2)/2))/(LN(2)/2)*V130*Y130*VLOOKUP('Données projet'!$B$9,Paramètres!$A$1:$I$89,3,0)*0.475*44/12</f>
        <v>5.5653170212765074E-14</v>
      </c>
      <c r="AC130" s="22">
        <f t="shared" si="57"/>
        <v>1.3993766423314229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-1.2710188457276673E-13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255.5374979188561</v>
      </c>
      <c r="AO130" s="59">
        <f t="shared" si="90"/>
        <v>343.10418468620901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0.45256513084217809</v>
      </c>
      <c r="AV130" s="21">
        <f>EXP(-LN(2)/25)*AV129+(1-EXP(-LN(2)/25))/(LN(2)/25)*Calculateur!AQ130*Calculateur!AS130*VLOOKUP('Données projet'!$B$10,Paramètres!$A$1:$I$89,3,0)*0.475*44/12</f>
        <v>1.0840356257382562</v>
      </c>
      <c r="AW130" s="21">
        <f>EXP(-LN(2)/2)*AW129+(1-EXP(-LN(2)/2))/(LN(2)/2)*AQ130*AT130*VLOOKUP('Données projet'!$B$10,Paramètres!$A$1:$I$89,3,0)*0.475*44/12</f>
        <v>4.2521924242019825E-15</v>
      </c>
      <c r="AX130" s="21">
        <f t="shared" si="60"/>
        <v>1.5366007565804385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5.9</v>
      </c>
      <c r="BD130" s="12">
        <f>IF('Données projet'!$A$88&gt;35,BD129+BC130-BL129,IF(A130&lt;'Données projet'!$A$88,$BA$205^A130,IF(A130='Données projet'!$A$88,'Données projet'!$B$88,BD129+BC130-BL129)))</f>
        <v>389.30000000000024</v>
      </c>
      <c r="BE130" s="13">
        <f>BD130*VLOOKUP('Données projet'!$B$11,Paramètres!$A$1:$I$89,3,0)*VLOOKUP('Données projet'!$B$11,Paramètres!$A$1:$I$89,5,0)</f>
        <v>334.01940000000025</v>
      </c>
      <c r="BF130" s="13">
        <f t="shared" si="91"/>
        <v>78.263043277196772</v>
      </c>
      <c r="BG130" s="20">
        <f t="shared" si="61"/>
        <v>718.05858870778468</v>
      </c>
      <c r="BH130" s="59">
        <f t="shared" si="62"/>
        <v>1011.3919220411181</v>
      </c>
      <c r="BI130" s="59">
        <f ca="1">AVERAGE(OFFSET($BH$3,0,0,'Données projet'!$E$11+1,1))-AVERAGE(OFFSET($H$3,0,0,'Données projet'!$E$11+1,1))</f>
        <v>310.4018929413723</v>
      </c>
      <c r="BJ130" s="59">
        <f t="shared" si="92"/>
        <v>127.5231137583819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0.39987913857955854</v>
      </c>
      <c r="BR130" s="21">
        <f>EXP(-LN(2)/2)*BR129+(1-EXP(-LN(2)/2))/(LN(2)/2)*BL130*BO130*VLOOKUP('Données projet'!$B$11,Paramètres!$A$1:$I$89,3,0)*0.475*44/12</f>
        <v>2.243424809747735E-14</v>
      </c>
      <c r="BS130" s="22">
        <f t="shared" si="63"/>
        <v>0.39987913857958096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210.04871822652808</v>
      </c>
      <c r="CE130" s="59">
        <f t="shared" si="94"/>
        <v>250.17540614049324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1.0692971281187711</v>
      </c>
      <c r="CL130" s="21">
        <f>EXP(-LN(2)/25)*CL129+(1-EXP(-LN(2)/25))/(LN(2)/25)*Calculateur!CG130*Calculateur!CI130*VLOOKUP('Données projet'!$B$12,Paramètres!$A$1:$I$89,3,0)*0.475*44/12</f>
        <v>1.8902879188050881</v>
      </c>
      <c r="CM130" s="21">
        <f>EXP(-LN(2)/2)*CM129+(1-EXP(-LN(2)/2))/(LN(2)/2)*CG130*CJ130*VLOOKUP('Données projet'!$B$12,Paramètres!$A$1:$I$89,3,0)*0.475*44/12</f>
        <v>5.41465570589201E-14</v>
      </c>
      <c r="CN130" s="22">
        <f t="shared" si="66"/>
        <v>2.9595850469239133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-5.1159076974727213E-13</v>
      </c>
      <c r="O131" s="13">
        <f>N131*VLOOKUP('Données projet'!$B$9,Paramètres!$A$1:$I$89,3,0)*VLOOKUP('Données projet'!$B$9,Paramètres!$A$1:$I$89,5,0)</f>
        <v>-3.7509835237869992E-13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234.09142087023463</v>
      </c>
      <c r="T131" s="59">
        <f t="shared" si="88"/>
        <v>278.990685815294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0.3503096285421512</v>
      </c>
      <c r="AA131" s="21">
        <f>EXP(-LN(2)/25)*AA130+(1-EXP(-LN(2)/25))/(LN(2)/25)*Calculateur!V131*Calculateur!X131*VLOOKUP('Données projet'!$B$9,Paramètres!$A$1:$I$89,3,0)*0.475*44/12</f>
        <v>1.0135650648838415</v>
      </c>
      <c r="AB131" s="21">
        <f>EXP(-LN(2)/2)*AB130+(1-EXP(-LN(2)/2))/(LN(2)/2)*V131*Y131*VLOOKUP('Données projet'!$B$9,Paramètres!$A$1:$I$89,3,0)*0.475*44/12</f>
        <v>3.9352734051975361E-14</v>
      </c>
      <c r="AC131" s="22">
        <f t="shared" si="57"/>
        <v>1.363874693426032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-1.2710188457276673E-13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255.5374979188561</v>
      </c>
      <c r="AO131" s="59">
        <f t="shared" si="90"/>
        <v>343.10418468620901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0.44369060466383636</v>
      </c>
      <c r="AV131" s="21">
        <f>EXP(-LN(2)/25)*AV130+(1-EXP(-LN(2)/25))/(LN(2)/25)*Calculateur!AQ131*Calculateur!AS131*VLOOKUP('Données projet'!$B$10,Paramètres!$A$1:$I$89,3,0)*0.475*44/12</f>
        <v>1.0543926145454876</v>
      </c>
      <c r="AW131" s="21">
        <f>EXP(-LN(2)/2)*AW130+(1-EXP(-LN(2)/2))/(LN(2)/2)*AQ131*AT131*VLOOKUP('Données projet'!$B$10,Paramètres!$A$1:$I$89,3,0)*0.475*44/12</f>
        <v>3.0067540980632864E-15</v>
      </c>
      <c r="AX131" s="21">
        <f t="shared" si="60"/>
        <v>1.498083219209327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5.9</v>
      </c>
      <c r="BD131" s="12">
        <f>IF('Données projet'!$A$88&gt;35,BD130+BC131-BL130,IF(A131&lt;'Données projet'!$A$88,$BA$205^A131,IF(A131='Données projet'!$A$88,'Données projet'!$B$88,BD130+BC131-BL130)))</f>
        <v>395.20000000000022</v>
      </c>
      <c r="BE131" s="13">
        <f>BD131*VLOOKUP('Données projet'!$B$11,Paramètres!$A$1:$I$89,3,0)*VLOOKUP('Données projet'!$B$11,Paramètres!$A$1:$I$89,5,0)</f>
        <v>339.08160000000021</v>
      </c>
      <c r="BF131" s="13">
        <f t="shared" si="91"/>
        <v>79.310169307181994</v>
      </c>
      <c r="BG131" s="20">
        <f t="shared" si="61"/>
        <v>728.69899821000888</v>
      </c>
      <c r="BH131" s="59">
        <f t="shared" si="62"/>
        <v>1022.0323315433423</v>
      </c>
      <c r="BI131" s="59">
        <f ca="1">AVERAGE(OFFSET($BH$3,0,0,'Données projet'!$E$11+1,1))-AVERAGE(OFFSET($H$3,0,0,'Données projet'!$E$11+1,1))</f>
        <v>310.4018929413723</v>
      </c>
      <c r="BJ131" s="59">
        <f t="shared" si="92"/>
        <v>127.5231137583819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0.38894442250637057</v>
      </c>
      <c r="BR131" s="21">
        <f>EXP(-LN(2)/2)*BR130+(1-EXP(-LN(2)/2))/(LN(2)/2)*BL131*BO131*VLOOKUP('Données projet'!$B$11,Paramètres!$A$1:$I$89,3,0)*0.475*44/12</f>
        <v>1.5863408960547636E-14</v>
      </c>
      <c r="BS131" s="22">
        <f t="shared" si="63"/>
        <v>0.38894442250638644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210.04871822652808</v>
      </c>
      <c r="CE131" s="59">
        <f t="shared" si="94"/>
        <v>250.17540614049324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1.04832886364321</v>
      </c>
      <c r="CL131" s="21">
        <f>EXP(-LN(2)/25)*CL130+(1-EXP(-LN(2)/25))/(LN(2)/25)*Calculateur!CG131*Calculateur!CI131*VLOOKUP('Données projet'!$B$12,Paramètres!$A$1:$I$89,3,0)*0.475*44/12</f>
        <v>1.8385978962594416</v>
      </c>
      <c r="CM131" s="21">
        <f>EXP(-LN(2)/2)*CM130+(1-EXP(-LN(2)/2))/(LN(2)/2)*CG131*CJ131*VLOOKUP('Données projet'!$B$12,Paramètres!$A$1:$I$89,3,0)*0.475*44/12</f>
        <v>3.8287397674266725E-14</v>
      </c>
      <c r="CN131" s="22">
        <f t="shared" si="66"/>
        <v>2.88692675990269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-5.1159076974727213E-13</v>
      </c>
      <c r="O132" s="13">
        <f>N132*VLOOKUP('Données projet'!$B$9,Paramètres!$A$1:$I$89,3,0)*VLOOKUP('Données projet'!$B$9,Paramètres!$A$1:$I$89,5,0)</f>
        <v>-3.7509835237869992E-13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234.09142087023463</v>
      </c>
      <c r="T132" s="59">
        <f t="shared" si="88"/>
        <v>278.990685815294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0.3434402703942151</v>
      </c>
      <c r="AA132" s="21">
        <f>EXP(-LN(2)/25)*AA131+(1-EXP(-LN(2)/25))/(LN(2)/25)*Calculateur!V132*Calculateur!X132*VLOOKUP('Données projet'!$B$9,Paramètres!$A$1:$I$89,3,0)*0.475*44/12</f>
        <v>0.98584907488352258</v>
      </c>
      <c r="AB132" s="21">
        <f>EXP(-LN(2)/2)*AB131+(1-EXP(-LN(2)/2))/(LN(2)/2)*V132*Y132*VLOOKUP('Données projet'!$B$9,Paramètres!$A$1:$I$89,3,0)*0.475*44/12</f>
        <v>2.782658510638254E-14</v>
      </c>
      <c r="AC132" s="22">
        <f t="shared" ref="AC132:AC153" si="111">SUM(Z132:AB132)</f>
        <v>1.3292893452777654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-1.2710188457276673E-13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255.5374979188561</v>
      </c>
      <c r="AO132" s="59">
        <f t="shared" si="90"/>
        <v>343.10418468620901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0.4349901025309254</v>
      </c>
      <c r="AV132" s="21">
        <f>EXP(-LN(2)/25)*AV131+(1-EXP(-LN(2)/25))/(LN(2)/25)*Calculateur!AQ132*Calculateur!AS132*VLOOKUP('Données projet'!$B$10,Paramètres!$A$1:$I$89,3,0)*0.475*44/12</f>
        <v>1.0255601930526435</v>
      </c>
      <c r="AW132" s="21">
        <f>EXP(-LN(2)/2)*AW131+(1-EXP(-LN(2)/2))/(LN(2)/2)*AQ132*AT132*VLOOKUP('Données projet'!$B$10,Paramètres!$A$1:$I$89,3,0)*0.475*44/12</f>
        <v>2.1260962121009913E-15</v>
      </c>
      <c r="AX132" s="21">
        <f t="shared" ref="AX132:AX153" si="114">SUM(AU132:AW132)</f>
        <v>1.460550295583571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5.9</v>
      </c>
      <c r="BD132" s="12">
        <f>IF('Données projet'!$A$88&gt;35,BD131+BC132-BL131,IF(A132&lt;'Données projet'!$A$88,$BA$205^A132,IF(A132='Données projet'!$A$88,'Données projet'!$B$88,BD131+BC132-BL131)))</f>
        <v>401.10000000000019</v>
      </c>
      <c r="BE132" s="13">
        <f>BD132*VLOOKUP('Données projet'!$B$11,Paramètres!$A$1:$I$89,3,0)*VLOOKUP('Données projet'!$B$11,Paramètres!$A$1:$I$89,5,0)</f>
        <v>344.14380000000023</v>
      </c>
      <c r="BF132" s="13">
        <f t="shared" si="91"/>
        <v>80.355477199451585</v>
      </c>
      <c r="BG132" s="20">
        <f t="shared" ref="BG132:BG153" si="115">(BE132+BF132)*0.475*44/12</f>
        <v>739.33624112237851</v>
      </c>
      <c r="BH132" s="59">
        <f t="shared" ref="BH132:BH195" si="116">BG132+(AY132+AZ132)*44/12</f>
        <v>1032.6695744557119</v>
      </c>
      <c r="BI132" s="59">
        <f ca="1">AVERAGE(OFFSET($BH$3,0,0,'Données projet'!$E$11+1,1))-AVERAGE(OFFSET($H$3,0,0,'Données projet'!$E$11+1,1))</f>
        <v>310.4018929413723</v>
      </c>
      <c r="BJ132" s="59">
        <f t="shared" si="92"/>
        <v>127.5231137583819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0.37830871681923561</v>
      </c>
      <c r="BR132" s="21">
        <f>EXP(-LN(2)/2)*BR131+(1-EXP(-LN(2)/2))/(LN(2)/2)*BL132*BO132*VLOOKUP('Données projet'!$B$11,Paramètres!$A$1:$I$89,3,0)*0.475*44/12</f>
        <v>1.1217124048738675E-14</v>
      </c>
      <c r="BS132" s="22">
        <f t="shared" ref="BS132:BS153" si="117">SUM(BP132:BR132)</f>
        <v>0.37830871681924683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210.04871822652808</v>
      </c>
      <c r="CE132" s="59">
        <f t="shared" si="94"/>
        <v>250.17540614049324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1.0277717740446362</v>
      </c>
      <c r="CL132" s="21">
        <f>EXP(-LN(2)/25)*CL131+(1-EXP(-LN(2)/25))/(LN(2)/25)*Calculateur!CG132*Calculateur!CI132*VLOOKUP('Données projet'!$B$12,Paramètres!$A$1:$I$89,3,0)*0.475*44/12</f>
        <v>1.788321340098566</v>
      </c>
      <c r="CM132" s="21">
        <f>EXP(-LN(2)/2)*CM131+(1-EXP(-LN(2)/2))/(LN(2)/2)*CG132*CJ132*VLOOKUP('Données projet'!$B$12,Paramètres!$A$1:$I$89,3,0)*0.475*44/12</f>
        <v>2.707327852946005E-14</v>
      </c>
      <c r="CN132" s="22">
        <f t="shared" ref="CN132:CN153" si="120">SUM(CK132:CM132)</f>
        <v>2.816093114143229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-5.1159076974727213E-13</v>
      </c>
      <c r="O133" s="13">
        <f>N133*VLOOKUP('Données projet'!$B$9,Paramètres!$A$1:$I$89,3,0)*VLOOKUP('Données projet'!$B$9,Paramètres!$A$1:$I$89,5,0)</f>
        <v>-3.7509835237869992E-13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234.09142087023463</v>
      </c>
      <c r="T133" s="59">
        <f t="shared" ref="T133:T196" si="142">$T$3</f>
        <v>278.990685815294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0.33670561616966527</v>
      </c>
      <c r="AA133" s="21">
        <f>EXP(-LN(2)/25)*AA132+(1-EXP(-LN(2)/25))/(LN(2)/25)*Calculateur!V133*Calculateur!X133*VLOOKUP('Données projet'!$B$9,Paramètres!$A$1:$I$89,3,0)*0.475*44/12</f>
        <v>0.95889098008728302</v>
      </c>
      <c r="AB133" s="21">
        <f>EXP(-LN(2)/2)*AB132+(1-EXP(-LN(2)/2))/(LN(2)/2)*V133*Y133*VLOOKUP('Données projet'!$B$9,Paramètres!$A$1:$I$89,3,0)*0.475*44/12</f>
        <v>1.9676367025987683E-14</v>
      </c>
      <c r="AC133" s="22">
        <f t="shared" si="111"/>
        <v>1.295596596256968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-1.2710188457276673E-13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255.5374979188561</v>
      </c>
      <c r="AO133" s="59">
        <f t="shared" ref="AO133:AO196" si="144">$AO$3</f>
        <v>343.10418468620901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0.42646021193805855</v>
      </c>
      <c r="AV133" s="21">
        <f>EXP(-LN(2)/25)*AV132+(1-EXP(-LN(2)/25))/(LN(2)/25)*Calculateur!AQ133*Calculateur!AS133*VLOOKUP('Données projet'!$B$10,Paramètres!$A$1:$I$89,3,0)*0.475*44/12</f>
        <v>0.99751619564175231</v>
      </c>
      <c r="AW133" s="21">
        <f>EXP(-LN(2)/2)*AW132+(1-EXP(-LN(2)/2))/(LN(2)/2)*AQ133*AT133*VLOOKUP('Données projet'!$B$10,Paramètres!$A$1:$I$89,3,0)*0.475*44/12</f>
        <v>1.5033770490316432E-15</v>
      </c>
      <c r="AX133" s="21">
        <f t="shared" si="114"/>
        <v>1.4239764075798125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407</v>
      </c>
      <c r="BB133" s="12">
        <f>VLOOKUP(A133,'Données projet'!$A$87:$I$107,9,0)</f>
        <v>5.9</v>
      </c>
      <c r="BC133" s="12">
        <f t="array" ref="BC133">INDEX(BB:BB,MIN(IF(ISNUMBER(BB133:BB329),ROW(BB133:BB329),"")))</f>
        <v>5.9</v>
      </c>
      <c r="BD133" s="12">
        <f>IF('Données projet'!$A$88&gt;35,BD132+BC133-BL132,IF(A133&lt;'Données projet'!$A$88,$BA$205^A133,IF(A133='Données projet'!$A$88,'Données projet'!$B$88,BD132+BC133-BL132)))</f>
        <v>407.00000000000017</v>
      </c>
      <c r="BE133" s="13">
        <f>BD133*VLOOKUP('Données projet'!$B$11,Paramètres!$A$1:$I$89,3,0)*VLOOKUP('Données projet'!$B$11,Paramètres!$A$1:$I$89,5,0)</f>
        <v>349.20600000000019</v>
      </c>
      <c r="BF133" s="13">
        <f t="shared" ref="BF133:BF153" si="145">EXP(-1.0587+0.8836*LN(BE133)+0.284)</f>
        <v>81.39899678761104</v>
      </c>
      <c r="BG133" s="20">
        <f t="shared" si="115"/>
        <v>749.97036940508951</v>
      </c>
      <c r="BH133" s="59">
        <f t="shared" si="116"/>
        <v>1043.3037027384228</v>
      </c>
      <c r="BI133" s="59">
        <f ca="1">AVERAGE(OFFSET($BH$3,0,0,'Données projet'!$E$11+1,1))-AVERAGE(OFFSET($H$3,0,0,'Données projet'!$E$11+1,1))</f>
        <v>310.4018929413723</v>
      </c>
      <c r="BJ133" s="59">
        <f t="shared" ref="BJ133:BJ196" si="146">$BJ$3</f>
        <v>127.5231137583819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47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0.36796384506342283</v>
      </c>
      <c r="BR133" s="21">
        <f>EXP(-LN(2)/2)*BR132+(1-EXP(-LN(2)/2))/(LN(2)/2)*BL133*BO133*VLOOKUP('Données projet'!$B$11,Paramètres!$A$1:$I$89,3,0)*0.475*44/12</f>
        <v>7.9317044802738182E-15</v>
      </c>
      <c r="BS133" s="22">
        <f t="shared" si="117"/>
        <v>0.36796384506343077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210.04871822652808</v>
      </c>
      <c r="CE133" s="59">
        <f t="shared" ref="CE133:CE196" si="148">$CE$3</f>
        <v>250.17540614049324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1.0076177964345039</v>
      </c>
      <c r="CL133" s="21">
        <f>EXP(-LN(2)/25)*CL132+(1-EXP(-LN(2)/25))/(LN(2)/25)*Calculateur!CG133*Calculateur!CI133*VLOOKUP('Données projet'!$B$12,Paramètres!$A$1:$I$89,3,0)*0.475*44/12</f>
        <v>1.7394195990098387</v>
      </c>
      <c r="CM133" s="21">
        <f>EXP(-LN(2)/2)*CM132+(1-EXP(-LN(2)/2))/(LN(2)/2)*CG133*CJ133*VLOOKUP('Données projet'!$B$12,Paramètres!$A$1:$I$89,3,0)*0.475*44/12</f>
        <v>1.9143698837133362E-14</v>
      </c>
      <c r="CN133" s="22">
        <f t="shared" si="120"/>
        <v>2.7470373954443619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-5.1159076974727213E-13</v>
      </c>
      <c r="O134" s="13">
        <f>N134*VLOOKUP('Données projet'!$B$9,Paramètres!$A$1:$I$89,3,0)*VLOOKUP('Données projet'!$B$9,Paramètres!$A$1:$I$89,5,0)</f>
        <v>-3.7509835237869992E-13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234.09142087023463</v>
      </c>
      <c r="T134" s="59">
        <f t="shared" si="142"/>
        <v>278.990685815294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0.3301030244067254</v>
      </c>
      <c r="AA134" s="21">
        <f>EXP(-LN(2)/25)*AA133+(1-EXP(-LN(2)/25))/(LN(2)/25)*Calculateur!V134*Calculateur!X134*VLOOKUP('Données projet'!$B$9,Paramètres!$A$1:$I$89,3,0)*0.475*44/12</f>
        <v>0.93267005581091122</v>
      </c>
      <c r="AB134" s="21">
        <f>EXP(-LN(2)/2)*AB133+(1-EXP(-LN(2)/2))/(LN(2)/2)*V134*Y134*VLOOKUP('Données projet'!$B$9,Paramètres!$A$1:$I$89,3,0)*0.475*44/12</f>
        <v>1.3913292553191273E-14</v>
      </c>
      <c r="AC134" s="22">
        <f t="shared" si="111"/>
        <v>1.2627730802176507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-1.2710188457276673E-13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255.5374979188561</v>
      </c>
      <c r="AO134" s="59">
        <f t="shared" si="144"/>
        <v>343.10418468620901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0.41809758729699825</v>
      </c>
      <c r="AV134" s="21">
        <f>EXP(-LN(2)/25)*AV133+(1-EXP(-LN(2)/25))/(LN(2)/25)*Calculateur!AQ134*Calculateur!AS134*VLOOKUP('Données projet'!$B$10,Paramètres!$A$1:$I$89,3,0)*0.475*44/12</f>
        <v>0.97023906281483174</v>
      </c>
      <c r="AW134" s="21">
        <f>EXP(-LN(2)/2)*AW133+(1-EXP(-LN(2)/2))/(LN(2)/2)*AQ134*AT134*VLOOKUP('Données projet'!$B$10,Paramètres!$A$1:$I$89,3,0)*0.475*44/12</f>
        <v>1.0630481060504956E-15</v>
      </c>
      <c r="AX134" s="21">
        <f t="shared" si="114"/>
        <v>1.388336650111831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5.0999999999999996</v>
      </c>
      <c r="BD134" s="12">
        <f>IF('Données projet'!$A$88&gt;35,BD133+BC134-BL133,IF(A134&lt;'Données projet'!$A$88,$BA$205^A134,IF(A134='Données projet'!$A$88,'Données projet'!$B$88,BD133+BC134-BL133)))</f>
        <v>365.10000000000019</v>
      </c>
      <c r="BE134" s="13">
        <f>BD134*VLOOKUP('Données projet'!$B$11,Paramètres!$A$1:$I$89,3,0)*VLOOKUP('Données projet'!$B$11,Paramètres!$A$1:$I$89,5,0)</f>
        <v>313.25580000000019</v>
      </c>
      <c r="BF134" s="13">
        <f t="shared" si="145"/>
        <v>73.948356797752027</v>
      </c>
      <c r="BG134" s="20">
        <f t="shared" si="115"/>
        <v>674.38057308941836</v>
      </c>
      <c r="BH134" s="59">
        <f t="shared" si="116"/>
        <v>967.71390642275173</v>
      </c>
      <c r="BI134" s="59">
        <f ca="1">AVERAGE(OFFSET($BH$3,0,0,'Données projet'!$E$11+1,1))-AVERAGE(OFFSET($H$3,0,0,'Données projet'!$E$11+1,1))</f>
        <v>310.4018929413723</v>
      </c>
      <c r="BJ134" s="59">
        <f t="shared" si="146"/>
        <v>127.5231137583819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0.35790185436978594</v>
      </c>
      <c r="BR134" s="21">
        <f>EXP(-LN(2)/2)*BR133+(1-EXP(-LN(2)/2))/(LN(2)/2)*BL134*BO134*VLOOKUP('Données projet'!$B$11,Paramètres!$A$1:$I$89,3,0)*0.475*44/12</f>
        <v>5.6085620243693375E-15</v>
      </c>
      <c r="BS134" s="22">
        <f t="shared" si="117"/>
        <v>0.35790185436979155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210.04871822652808</v>
      </c>
      <c r="CE134" s="59">
        <f t="shared" si="148"/>
        <v>250.17540614049324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0.98785902603259379</v>
      </c>
      <c r="CL134" s="21">
        <f>EXP(-LN(2)/25)*CL133+(1-EXP(-LN(2)/25))/(LN(2)/25)*Calculateur!CG134*Calculateur!CI134*VLOOKUP('Données projet'!$B$12,Paramètres!$A$1:$I$89,3,0)*0.475*44/12</f>
        <v>1.6918550786028135</v>
      </c>
      <c r="CM134" s="21">
        <f>EXP(-LN(2)/2)*CM133+(1-EXP(-LN(2)/2))/(LN(2)/2)*CG134*CJ134*VLOOKUP('Données projet'!$B$12,Paramètres!$A$1:$I$89,3,0)*0.475*44/12</f>
        <v>1.3536639264730025E-14</v>
      </c>
      <c r="CN134" s="22">
        <f t="shared" si="120"/>
        <v>2.6797141046354205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-5.1159076974727213E-13</v>
      </c>
      <c r="O135" s="13">
        <f>N135*VLOOKUP('Données projet'!$B$9,Paramètres!$A$1:$I$89,3,0)*VLOOKUP('Données projet'!$B$9,Paramètres!$A$1:$I$89,5,0)</f>
        <v>-3.7509835237869992E-13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234.09142087023463</v>
      </c>
      <c r="T135" s="59">
        <f t="shared" si="142"/>
        <v>278.990685815294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0.32362990544107345</v>
      </c>
      <c r="AA135" s="21">
        <f>EXP(-LN(2)/25)*AA134+(1-EXP(-LN(2)/25))/(LN(2)/25)*Calculateur!V135*Calculateur!X135*VLOOKUP('Données projet'!$B$9,Paramètres!$A$1:$I$89,3,0)*0.475*44/12</f>
        <v>0.90716614408777529</v>
      </c>
      <c r="AB135" s="21">
        <f>EXP(-LN(2)/2)*AB134+(1-EXP(-LN(2)/2))/(LN(2)/2)*V135*Y135*VLOOKUP('Données projet'!$B$9,Paramètres!$A$1:$I$89,3,0)*0.475*44/12</f>
        <v>9.8381835129938433E-15</v>
      </c>
      <c r="AC135" s="22">
        <f t="shared" si="111"/>
        <v>1.2307960495288586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-1.2710188457276673E-13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255.5374979188561</v>
      </c>
      <c r="AO135" s="59">
        <f t="shared" si="144"/>
        <v>343.10418468620901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0.40989894862445181</v>
      </c>
      <c r="AV135" s="21">
        <f>EXP(-LN(2)/25)*AV134+(1-EXP(-LN(2)/25))/(LN(2)/25)*Calculateur!AQ135*Calculateur!AS135*VLOOKUP('Données projet'!$B$10,Paramètres!$A$1:$I$89,3,0)*0.475*44/12</f>
        <v>0.94370782461950542</v>
      </c>
      <c r="AW135" s="21">
        <f>EXP(-LN(2)/2)*AW134+(1-EXP(-LN(2)/2))/(LN(2)/2)*AQ135*AT135*VLOOKUP('Données projet'!$B$10,Paramètres!$A$1:$I$89,3,0)*0.475*44/12</f>
        <v>7.5168852451582159E-16</v>
      </c>
      <c r="AX135" s="21">
        <f t="shared" si="114"/>
        <v>1.3536067732439578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5.0999999999999996</v>
      </c>
      <c r="BD135" s="12">
        <f>IF('Données projet'!$A$88&gt;35,BD134+BC135-BL134,IF(A135&lt;'Données projet'!$A$88,$BA$205^A135,IF(A135='Données projet'!$A$88,'Données projet'!$B$88,BD134+BC135-BL134)))</f>
        <v>370.20000000000022</v>
      </c>
      <c r="BE135" s="13">
        <f>BD135*VLOOKUP('Données projet'!$B$11,Paramètres!$A$1:$I$89,3,0)*VLOOKUP('Données projet'!$B$11,Paramètres!$A$1:$I$89,5,0)</f>
        <v>317.63160000000022</v>
      </c>
      <c r="BF135" s="13">
        <f t="shared" si="145"/>
        <v>74.860349124335784</v>
      </c>
      <c r="BG135" s="20">
        <f t="shared" si="115"/>
        <v>683.59014472488514</v>
      </c>
      <c r="BH135" s="59">
        <f t="shared" si="116"/>
        <v>976.92347805821851</v>
      </c>
      <c r="BI135" s="59">
        <f ca="1">AVERAGE(OFFSET($BH$3,0,0,'Données projet'!$E$11+1,1))-AVERAGE(OFFSET($H$3,0,0,'Données projet'!$E$11+1,1))</f>
        <v>310.4018929413723</v>
      </c>
      <c r="BJ135" s="59">
        <f t="shared" si="146"/>
        <v>127.5231137583819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0.34811500934080364</v>
      </c>
      <c r="BR135" s="21">
        <f>EXP(-LN(2)/2)*BR134+(1-EXP(-LN(2)/2))/(LN(2)/2)*BL135*BO135*VLOOKUP('Données projet'!$B$11,Paramètres!$A$1:$I$89,3,0)*0.475*44/12</f>
        <v>3.9658522401369091E-15</v>
      </c>
      <c r="BS135" s="22">
        <f t="shared" si="117"/>
        <v>0.34811500934080758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210.04871822652808</v>
      </c>
      <c r="CE135" s="59">
        <f t="shared" si="148"/>
        <v>250.17540614049324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0.96848771306660519</v>
      </c>
      <c r="CL135" s="21">
        <f>EXP(-LN(2)/25)*CL134+(1-EXP(-LN(2)/25))/(LN(2)/25)*Calculateur!CG135*Calculateur!CI135*VLOOKUP('Données projet'!$B$12,Paramètres!$A$1:$I$89,3,0)*0.475*44/12</f>
        <v>1.6455912125076277</v>
      </c>
      <c r="CM135" s="21">
        <f>EXP(-LN(2)/2)*CM134+(1-EXP(-LN(2)/2))/(LN(2)/2)*CG135*CJ135*VLOOKUP('Données projet'!$B$12,Paramètres!$A$1:$I$89,3,0)*0.475*44/12</f>
        <v>9.5718494185666812E-15</v>
      </c>
      <c r="CN135" s="22">
        <f t="shared" si="120"/>
        <v>2.6140789255742427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-5.1159076974727213E-13</v>
      </c>
      <c r="O136" s="13">
        <f>N136*VLOOKUP('Données projet'!$B$9,Paramètres!$A$1:$I$89,3,0)*VLOOKUP('Données projet'!$B$9,Paramètres!$A$1:$I$89,5,0)</f>
        <v>-3.7509835237869992E-13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234.09142087023463</v>
      </c>
      <c r="T136" s="59">
        <f t="shared" si="142"/>
        <v>278.990685815294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0.3172837203901252</v>
      </c>
      <c r="AA136" s="21">
        <f>EXP(-LN(2)/25)*AA135+(1-EXP(-LN(2)/25))/(LN(2)/25)*Calculateur!V136*Calculateur!X136*VLOOKUP('Données projet'!$B$9,Paramètres!$A$1:$I$89,3,0)*0.475*44/12</f>
        <v>0.88235963817190088</v>
      </c>
      <c r="AB136" s="21">
        <f>EXP(-LN(2)/2)*AB135+(1-EXP(-LN(2)/2))/(LN(2)/2)*V136*Y136*VLOOKUP('Données projet'!$B$9,Paramètres!$A$1:$I$89,3,0)*0.475*44/12</f>
        <v>6.9566462765956375E-15</v>
      </c>
      <c r="AC136" s="22">
        <f t="shared" si="111"/>
        <v>1.199643358562033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-1.2710188457276673E-13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255.5374979188561</v>
      </c>
      <c r="AO136" s="59">
        <f t="shared" si="144"/>
        <v>343.10418468620901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0.40186108025559819</v>
      </c>
      <c r="AV136" s="21">
        <f>EXP(-LN(2)/25)*AV135+(1-EXP(-LN(2)/25))/(LN(2)/25)*Calculateur!AQ136*Calculateur!AS136*VLOOKUP('Données projet'!$B$10,Paramètres!$A$1:$I$89,3,0)*0.475*44/12</f>
        <v>0.91790208452784738</v>
      </c>
      <c r="AW136" s="21">
        <f>EXP(-LN(2)/2)*AW135+(1-EXP(-LN(2)/2))/(LN(2)/2)*AQ136*AT136*VLOOKUP('Données projet'!$B$10,Paramètres!$A$1:$I$89,3,0)*0.475*44/12</f>
        <v>5.3152405302524782E-16</v>
      </c>
      <c r="AX136" s="21">
        <f t="shared" si="114"/>
        <v>1.319763164783446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5.0999999999999996</v>
      </c>
      <c r="BD136" s="12">
        <f>IF('Données projet'!$A$88&gt;35,BD135+BC136-BL135,IF(A136&lt;'Données projet'!$A$88,$BA$205^A136,IF(A136='Données projet'!$A$88,'Données projet'!$B$88,BD135+BC136-BL135)))</f>
        <v>375.30000000000024</v>
      </c>
      <c r="BE136" s="13">
        <f>BD136*VLOOKUP('Données projet'!$B$11,Paramètres!$A$1:$I$89,3,0)*VLOOKUP('Données projet'!$B$11,Paramètres!$A$1:$I$89,5,0)</f>
        <v>322.00740000000025</v>
      </c>
      <c r="BF136" s="13">
        <f t="shared" si="145"/>
        <v>75.770880134416487</v>
      </c>
      <c r="BG136" s="20">
        <f t="shared" si="115"/>
        <v>692.7971712341091</v>
      </c>
      <c r="BH136" s="59">
        <f t="shared" si="116"/>
        <v>986.13050456744236</v>
      </c>
      <c r="BI136" s="59">
        <f ca="1">AVERAGE(OFFSET($BH$3,0,0,'Données projet'!$E$11+1,1))-AVERAGE(OFFSET($H$3,0,0,'Données projet'!$E$11+1,1))</f>
        <v>310.4018929413723</v>
      </c>
      <c r="BJ136" s="59">
        <f t="shared" si="146"/>
        <v>127.5231137583819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0.33859578610380664</v>
      </c>
      <c r="BR136" s="21">
        <f>EXP(-LN(2)/2)*BR135+(1-EXP(-LN(2)/2))/(LN(2)/2)*BL136*BO136*VLOOKUP('Données projet'!$B$11,Paramètres!$A$1:$I$89,3,0)*0.475*44/12</f>
        <v>2.8042810121846687E-15</v>
      </c>
      <c r="BS136" s="22">
        <f t="shared" si="117"/>
        <v>0.33859578610380947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210.04871822652808</v>
      </c>
      <c r="CE136" s="59">
        <f t="shared" si="148"/>
        <v>250.17540614049324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0.94949625973254537</v>
      </c>
      <c r="CL136" s="21">
        <f>EXP(-LN(2)/25)*CL135+(1-EXP(-LN(2)/25))/(LN(2)/25)*Calculateur!CG136*Calculateur!CI136*VLOOKUP('Données projet'!$B$12,Paramètres!$A$1:$I$89,3,0)*0.475*44/12</f>
        <v>1.6005924342637259</v>
      </c>
      <c r="CM136" s="21">
        <f>EXP(-LN(2)/2)*CM135+(1-EXP(-LN(2)/2))/(LN(2)/2)*CG136*CJ136*VLOOKUP('Données projet'!$B$12,Paramètres!$A$1:$I$89,3,0)*0.475*44/12</f>
        <v>6.7683196323650125E-15</v>
      </c>
      <c r="CN136" s="22">
        <f t="shared" si="120"/>
        <v>2.5500886939962779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-5.1159076974727213E-13</v>
      </c>
      <c r="O137" s="13">
        <f>N137*VLOOKUP('Données projet'!$B$9,Paramètres!$A$1:$I$89,3,0)*VLOOKUP('Données projet'!$B$9,Paramètres!$A$1:$I$89,5,0)</f>
        <v>-3.7509835237869992E-13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234.09142087023463</v>
      </c>
      <c r="T137" s="59">
        <f t="shared" si="142"/>
        <v>278.990685815294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0.31106198015723541</v>
      </c>
      <c r="AA137" s="21">
        <f>EXP(-LN(2)/25)*AA136+(1-EXP(-LN(2)/25))/(LN(2)/25)*Calculateur!V137*Calculateur!X137*VLOOKUP('Données projet'!$B$9,Paramètres!$A$1:$I$89,3,0)*0.475*44/12</f>
        <v>0.85823146746481349</v>
      </c>
      <c r="AB137" s="21">
        <f>EXP(-LN(2)/2)*AB136+(1-EXP(-LN(2)/2))/(LN(2)/2)*V137*Y137*VLOOKUP('Données projet'!$B$9,Paramètres!$A$1:$I$89,3,0)*0.475*44/12</f>
        <v>4.9190917564969224E-15</v>
      </c>
      <c r="AC137" s="22">
        <f t="shared" si="111"/>
        <v>1.1692934476220538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-1.2710188457276673E-13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255.5374979188561</v>
      </c>
      <c r="AO137" s="59">
        <f t="shared" si="144"/>
        <v>343.10418468620901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0.39398082958284214</v>
      </c>
      <c r="AV137" s="21">
        <f>EXP(-LN(2)/25)*AV136+(1-EXP(-LN(2)/25))/(LN(2)/25)*Calculateur!AQ137*Calculateur!AS137*VLOOKUP('Données projet'!$B$10,Paramètres!$A$1:$I$89,3,0)*0.475*44/12</f>
        <v>0.89280200375606067</v>
      </c>
      <c r="AW137" s="21">
        <f>EXP(-LN(2)/2)*AW136+(1-EXP(-LN(2)/2))/(LN(2)/2)*AQ137*AT137*VLOOKUP('Données projet'!$B$10,Paramètres!$A$1:$I$89,3,0)*0.475*44/12</f>
        <v>3.758442622579108E-16</v>
      </c>
      <c r="AX137" s="21">
        <f t="shared" si="114"/>
        <v>1.2867828333389033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5.0999999999999996</v>
      </c>
      <c r="BD137" s="12">
        <f>IF('Données projet'!$A$88&gt;35,BD136+BC137-BL136,IF(A137&lt;'Données projet'!$A$88,$BA$205^A137,IF(A137='Données projet'!$A$88,'Données projet'!$B$88,BD136+BC137-BL136)))</f>
        <v>380.40000000000026</v>
      </c>
      <c r="BE137" s="13">
        <f>BD137*VLOOKUP('Données projet'!$B$11,Paramètres!$A$1:$I$89,3,0)*VLOOKUP('Données projet'!$B$11,Paramètres!$A$1:$I$89,5,0)</f>
        <v>326.38320000000027</v>
      </c>
      <c r="BF137" s="13">
        <f t="shared" si="145"/>
        <v>76.679971981333125</v>
      </c>
      <c r="BG137" s="20">
        <f t="shared" si="115"/>
        <v>702.00169120082239</v>
      </c>
      <c r="BH137" s="59">
        <f t="shared" si="116"/>
        <v>995.33502453415576</v>
      </c>
      <c r="BI137" s="59">
        <f ca="1">AVERAGE(OFFSET($BH$3,0,0,'Données projet'!$E$11+1,1))-AVERAGE(OFFSET($H$3,0,0,'Données projet'!$E$11+1,1))</f>
        <v>310.4018929413723</v>
      </c>
      <c r="BJ137" s="59">
        <f t="shared" si="146"/>
        <v>127.5231137583819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0.32933686652681954</v>
      </c>
      <c r="BR137" s="21">
        <f>EXP(-LN(2)/2)*BR136+(1-EXP(-LN(2)/2))/(LN(2)/2)*BL137*BO137*VLOOKUP('Données projet'!$B$11,Paramètres!$A$1:$I$89,3,0)*0.475*44/12</f>
        <v>1.9829261200684546E-15</v>
      </c>
      <c r="BS137" s="22">
        <f t="shared" si="117"/>
        <v>0.32933686652682154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210.04871822652808</v>
      </c>
      <c r="CE137" s="59">
        <f t="shared" si="148"/>
        <v>250.17540614049324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0.93087721721472372</v>
      </c>
      <c r="CL137" s="21">
        <f>EXP(-LN(2)/25)*CL136+(1-EXP(-LN(2)/25))/(LN(2)/25)*Calculateur!CG137*Calculateur!CI137*VLOOKUP('Données projet'!$B$12,Paramètres!$A$1:$I$89,3,0)*0.475*44/12</f>
        <v>1.5568241499772864</v>
      </c>
      <c r="CM137" s="21">
        <f>EXP(-LN(2)/2)*CM136+(1-EXP(-LN(2)/2))/(LN(2)/2)*CG137*CJ137*VLOOKUP('Données projet'!$B$12,Paramètres!$A$1:$I$89,3,0)*0.475*44/12</f>
        <v>4.7859247092833406E-15</v>
      </c>
      <c r="CN137" s="22">
        <f t="shared" si="120"/>
        <v>2.487701367192015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-5.1159076974727213E-13</v>
      </c>
      <c r="O138" s="13">
        <f>N138*VLOOKUP('Données projet'!$B$9,Paramètres!$A$1:$I$89,3,0)*VLOOKUP('Données projet'!$B$9,Paramètres!$A$1:$I$89,5,0)</f>
        <v>-3.7509835237869992E-13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234.09142087023463</v>
      </c>
      <c r="T138" s="59">
        <f t="shared" si="142"/>
        <v>278.990685815294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0.30496224445542575</v>
      </c>
      <c r="AA138" s="21">
        <f>EXP(-LN(2)/25)*AA137+(1-EXP(-LN(2)/25))/(LN(2)/25)*Calculateur!V138*Calculateur!X138*VLOOKUP('Données projet'!$B$9,Paramètres!$A$1:$I$89,3,0)*0.475*44/12</f>
        <v>0.8347630828545568</v>
      </c>
      <c r="AB138" s="21">
        <f>EXP(-LN(2)/2)*AB137+(1-EXP(-LN(2)/2))/(LN(2)/2)*V138*Y138*VLOOKUP('Données projet'!$B$9,Paramètres!$A$1:$I$89,3,0)*0.475*44/12</f>
        <v>3.4783231382978191E-15</v>
      </c>
      <c r="AC138" s="22">
        <f t="shared" si="111"/>
        <v>1.1397253273099861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-1.2710188457276673E-13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255.5374979188561</v>
      </c>
      <c r="AO138" s="59">
        <f t="shared" si="144"/>
        <v>343.10418468620901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0.38625510581930056</v>
      </c>
      <c r="AV138" s="21">
        <f>EXP(-LN(2)/25)*AV137+(1-EXP(-LN(2)/25))/(LN(2)/25)*Calculateur!AQ138*Calculateur!AS138*VLOOKUP('Données projet'!$B$10,Paramètres!$A$1:$I$89,3,0)*0.475*44/12</f>
        <v>0.86838828601293439</v>
      </c>
      <c r="AW138" s="21">
        <f>EXP(-LN(2)/2)*AW137+(1-EXP(-LN(2)/2))/(LN(2)/2)*AQ138*AT138*VLOOKUP('Données projet'!$B$10,Paramètres!$A$1:$I$89,3,0)*0.475*44/12</f>
        <v>2.6576202651262391E-16</v>
      </c>
      <c r="AX138" s="21">
        <f t="shared" si="114"/>
        <v>1.2546433918322351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5.0999999999999996</v>
      </c>
      <c r="BD138" s="12">
        <f>IF('Données projet'!$A$88&gt;35,BD137+BC138-BL137,IF(A138&lt;'Données projet'!$A$88,$BA$205^A138,IF(A138='Données projet'!$A$88,'Données projet'!$B$88,BD137+BC138-BL137)))</f>
        <v>385.50000000000028</v>
      </c>
      <c r="BE138" s="13">
        <f>BD138*VLOOKUP('Données projet'!$B$11,Paramètres!$A$1:$I$89,3,0)*VLOOKUP('Données projet'!$B$11,Paramètres!$A$1:$I$89,5,0)</f>
        <v>330.7590000000003</v>
      </c>
      <c r="BF138" s="13">
        <f t="shared" si="145"/>
        <v>77.587646190269894</v>
      </c>
      <c r="BG138" s="20">
        <f t="shared" si="115"/>
        <v>711.20374211472051</v>
      </c>
      <c r="BH138" s="59">
        <f t="shared" si="116"/>
        <v>1004.5370754480539</v>
      </c>
      <c r="BI138" s="59">
        <f ca="1">AVERAGE(OFFSET($BH$3,0,0,'Données projet'!$E$11+1,1))-AVERAGE(OFFSET($H$3,0,0,'Données projet'!$E$11+1,1))</f>
        <v>310.4018929413723</v>
      </c>
      <c r="BJ138" s="59">
        <f t="shared" si="146"/>
        <v>127.5231137583819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0.32033113259257057</v>
      </c>
      <c r="BR138" s="21">
        <f>EXP(-LN(2)/2)*BR137+(1-EXP(-LN(2)/2))/(LN(2)/2)*BL138*BO138*VLOOKUP('Données projet'!$B$11,Paramètres!$A$1:$I$89,3,0)*0.475*44/12</f>
        <v>1.4021405060923344E-15</v>
      </c>
      <c r="BS138" s="22">
        <f t="shared" si="117"/>
        <v>0.32033113259257195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210.04871822652808</v>
      </c>
      <c r="CE138" s="59">
        <f t="shared" si="148"/>
        <v>250.17540614049324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0.91262328276418192</v>
      </c>
      <c r="CL138" s="21">
        <f>EXP(-LN(2)/25)*CL137+(1-EXP(-LN(2)/25))/(LN(2)/25)*Calculateur!CG138*Calculateur!CI138*VLOOKUP('Données projet'!$B$12,Paramètres!$A$1:$I$89,3,0)*0.475*44/12</f>
        <v>1.5142527117263336</v>
      </c>
      <c r="CM138" s="21">
        <f>EXP(-LN(2)/2)*CM137+(1-EXP(-LN(2)/2))/(LN(2)/2)*CG138*CJ138*VLOOKUP('Données projet'!$B$12,Paramètres!$A$1:$I$89,3,0)*0.475*44/12</f>
        <v>3.3841598161825062E-15</v>
      </c>
      <c r="CN138" s="22">
        <f t="shared" si="120"/>
        <v>2.4268759944905192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-5.1159076974727213E-13</v>
      </c>
      <c r="O139" s="13">
        <f>N139*VLOOKUP('Données projet'!$B$9,Paramètres!$A$1:$I$89,3,0)*VLOOKUP('Données projet'!$B$9,Paramètres!$A$1:$I$89,5,0)</f>
        <v>-3.7509835237869992E-13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234.09142087023463</v>
      </c>
      <c r="T139" s="59">
        <f t="shared" si="142"/>
        <v>278.990685815294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0.29898212085025716</v>
      </c>
      <c r="AA139" s="21">
        <f>EXP(-LN(2)/25)*AA138+(1-EXP(-LN(2)/25))/(LN(2)/25)*Calculateur!V139*Calculateur!X139*VLOOKUP('Données projet'!$B$9,Paramètres!$A$1:$I$89,3,0)*0.475*44/12</f>
        <v>0.81193644245561625</v>
      </c>
      <c r="AB139" s="21">
        <f>EXP(-LN(2)/2)*AB138+(1-EXP(-LN(2)/2))/(LN(2)/2)*V139*Y139*VLOOKUP('Données projet'!$B$9,Paramètres!$A$1:$I$89,3,0)*0.475*44/12</f>
        <v>2.4595458782484616E-15</v>
      </c>
      <c r="AC139" s="22">
        <f t="shared" si="111"/>
        <v>1.1109185633058758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-1.2710188457276673E-13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255.5374979188561</v>
      </c>
      <c r="AO139" s="59">
        <f t="shared" si="144"/>
        <v>343.10418468620901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0.37868087878653584</v>
      </c>
      <c r="AV139" s="21">
        <f>EXP(-LN(2)/25)*AV138+(1-EXP(-LN(2)/25))/(LN(2)/25)*Calculateur!AQ139*Calculateur!AS139*VLOOKUP('Données projet'!$B$10,Paramètres!$A$1:$I$89,3,0)*0.475*44/12</f>
        <v>0.84464216266535541</v>
      </c>
      <c r="AW139" s="21">
        <f>EXP(-LN(2)/2)*AW138+(1-EXP(-LN(2)/2))/(LN(2)/2)*AQ139*AT139*VLOOKUP('Données projet'!$B$10,Paramètres!$A$1:$I$89,3,0)*0.475*44/12</f>
        <v>1.879221311289554E-16</v>
      </c>
      <c r="AX139" s="21">
        <f t="shared" si="114"/>
        <v>1.2233230414518914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5.0999999999999996</v>
      </c>
      <c r="BD139" s="12">
        <f>IF('Données projet'!$A$88&gt;35,BD138+BC139-BL138,IF(A139&lt;'Données projet'!$A$88,$BA$205^A139,IF(A139='Données projet'!$A$88,'Données projet'!$B$88,BD138+BC139-BL138)))</f>
        <v>390.60000000000031</v>
      </c>
      <c r="BE139" s="13">
        <f>BD139*VLOOKUP('Données projet'!$B$11,Paramètres!$A$1:$I$89,3,0)*VLOOKUP('Données projet'!$B$11,Paramètres!$A$1:$I$89,5,0)</f>
        <v>335.13480000000033</v>
      </c>
      <c r="BF139" s="13">
        <f t="shared" si="145"/>
        <v>78.493923684137798</v>
      </c>
      <c r="BG139" s="20">
        <f t="shared" si="115"/>
        <v>720.40336041654052</v>
      </c>
      <c r="BH139" s="59">
        <f t="shared" si="116"/>
        <v>1013.7366937498739</v>
      </c>
      <c r="BI139" s="59">
        <f ca="1">AVERAGE(OFFSET($BH$3,0,0,'Données projet'!$E$11+1,1))-AVERAGE(OFFSET($H$3,0,0,'Données projet'!$E$11+1,1))</f>
        <v>310.4018929413723</v>
      </c>
      <c r="BJ139" s="59">
        <f t="shared" si="146"/>
        <v>127.5231137583819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0.31157166092634458</v>
      </c>
      <c r="BR139" s="21">
        <f>EXP(-LN(2)/2)*BR138+(1-EXP(-LN(2)/2))/(LN(2)/2)*BL139*BO139*VLOOKUP('Données projet'!$B$11,Paramètres!$A$1:$I$89,3,0)*0.475*44/12</f>
        <v>9.9146306003422728E-16</v>
      </c>
      <c r="BS139" s="22">
        <f t="shared" si="117"/>
        <v>0.31157166092634558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210.04871822652808</v>
      </c>
      <c r="CE139" s="59">
        <f t="shared" si="148"/>
        <v>250.17540614049324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0.89472729683441465</v>
      </c>
      <c r="CL139" s="21">
        <f>EXP(-LN(2)/25)*CL138+(1-EXP(-LN(2)/25))/(LN(2)/25)*Calculateur!CG139*Calculateur!CI139*VLOOKUP('Données projet'!$B$12,Paramètres!$A$1:$I$89,3,0)*0.475*44/12</f>
        <v>1.4728453916930877</v>
      </c>
      <c r="CM139" s="21">
        <f>EXP(-LN(2)/2)*CM138+(1-EXP(-LN(2)/2))/(LN(2)/2)*CG139*CJ139*VLOOKUP('Données projet'!$B$12,Paramètres!$A$1:$I$89,3,0)*0.475*44/12</f>
        <v>2.3929623546416703E-15</v>
      </c>
      <c r="CN139" s="22">
        <f t="shared" si="120"/>
        <v>2.3675726885275048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-5.1159076974727213E-13</v>
      </c>
      <c r="O140" s="13">
        <f>N140*VLOOKUP('Données projet'!$B$9,Paramètres!$A$1:$I$89,3,0)*VLOOKUP('Données projet'!$B$9,Paramètres!$A$1:$I$89,5,0)</f>
        <v>-3.7509835237869992E-13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234.09142087023463</v>
      </c>
      <c r="T140" s="59">
        <f t="shared" si="142"/>
        <v>278.990685815294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0.29311926382147069</v>
      </c>
      <c r="AA140" s="21">
        <f>EXP(-LN(2)/25)*AA139+(1-EXP(-LN(2)/25))/(LN(2)/25)*Calculateur!V140*Calculateur!X140*VLOOKUP('Données projet'!$B$9,Paramètres!$A$1:$I$89,3,0)*0.475*44/12</f>
        <v>0.78973399773878561</v>
      </c>
      <c r="AB140" s="21">
        <f>EXP(-LN(2)/2)*AB139+(1-EXP(-LN(2)/2))/(LN(2)/2)*V140*Y140*VLOOKUP('Données projet'!$B$9,Paramètres!$A$1:$I$89,3,0)*0.475*44/12</f>
        <v>1.73916156914891E-15</v>
      </c>
      <c r="AC140" s="22">
        <f t="shared" si="111"/>
        <v>1.082853261560258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-1.2710188457276673E-13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255.5374979188561</v>
      </c>
      <c r="AO140" s="59">
        <f t="shared" si="144"/>
        <v>343.10418468620901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0.37125517772606126</v>
      </c>
      <c r="AV140" s="21">
        <f>EXP(-LN(2)/25)*AV139+(1-EXP(-LN(2)/25))/(LN(2)/25)*Calculateur!AQ140*Calculateur!AS140*VLOOKUP('Données projet'!$B$10,Paramètres!$A$1:$I$89,3,0)*0.475*44/12</f>
        <v>0.82154537830947039</v>
      </c>
      <c r="AW140" s="21">
        <f>EXP(-LN(2)/2)*AW139+(1-EXP(-LN(2)/2))/(LN(2)/2)*AQ140*AT140*VLOOKUP('Données projet'!$B$10,Paramètres!$A$1:$I$89,3,0)*0.475*44/12</f>
        <v>1.3288101325631195E-16</v>
      </c>
      <c r="AX140" s="21">
        <f t="shared" si="114"/>
        <v>1.1928005560355319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5.0999999999999996</v>
      </c>
      <c r="BD140" s="12">
        <f>IF('Données projet'!$A$88&gt;35,BD139+BC140-BL139,IF(A140&lt;'Données projet'!$A$88,$BA$205^A140,IF(A140='Données projet'!$A$88,'Données projet'!$B$88,BD139+BC140-BL139)))</f>
        <v>395.70000000000033</v>
      </c>
      <c r="BE140" s="13">
        <f>BD140*VLOOKUP('Données projet'!$B$11,Paramètres!$A$1:$I$89,3,0)*VLOOKUP('Données projet'!$B$11,Paramètres!$A$1:$I$89,5,0)</f>
        <v>339.5106000000003</v>
      </c>
      <c r="BF140" s="13">
        <f t="shared" si="145"/>
        <v>79.398824808064774</v>
      </c>
      <c r="BG140" s="20">
        <f t="shared" si="115"/>
        <v>729.60058154071328</v>
      </c>
      <c r="BH140" s="59">
        <f t="shared" si="116"/>
        <v>1022.9339148740466</v>
      </c>
      <c r="BI140" s="59">
        <f ca="1">AVERAGE(OFFSET($BH$3,0,0,'Données projet'!$E$11+1,1))-AVERAGE(OFFSET($H$3,0,0,'Données projet'!$E$11+1,1))</f>
        <v>310.4018929413723</v>
      </c>
      <c r="BJ140" s="59">
        <f t="shared" si="146"/>
        <v>127.5231137583819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0.30305171747347215</v>
      </c>
      <c r="BR140" s="21">
        <f>EXP(-LN(2)/2)*BR139+(1-EXP(-LN(2)/2))/(LN(2)/2)*BL140*BO140*VLOOKUP('Données projet'!$B$11,Paramètres!$A$1:$I$89,3,0)*0.475*44/12</f>
        <v>7.0107025304616718E-16</v>
      </c>
      <c r="BS140" s="22">
        <f t="shared" si="117"/>
        <v>0.30305171747347287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210.04871822652808</v>
      </c>
      <c r="CE140" s="59">
        <f t="shared" si="148"/>
        <v>250.17540614049324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0.87718224027325653</v>
      </c>
      <c r="CL140" s="21">
        <f>EXP(-LN(2)/25)*CL139+(1-EXP(-LN(2)/25))/(LN(2)/25)*Calculateur!CG140*Calculateur!CI140*VLOOKUP('Données projet'!$B$12,Paramètres!$A$1:$I$89,3,0)*0.475*44/12</f>
        <v>1.4325703570036672</v>
      </c>
      <c r="CM140" s="21">
        <f>EXP(-LN(2)/2)*CM139+(1-EXP(-LN(2)/2))/(LN(2)/2)*CG140*CJ140*VLOOKUP('Données projet'!$B$12,Paramètres!$A$1:$I$89,3,0)*0.475*44/12</f>
        <v>1.6920799080912531E-15</v>
      </c>
      <c r="CN140" s="22">
        <f t="shared" si="120"/>
        <v>2.3097525972769253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-5.1159076974727213E-13</v>
      </c>
      <c r="O141" s="13">
        <f>N141*VLOOKUP('Données projet'!$B$9,Paramètres!$A$1:$I$89,3,0)*VLOOKUP('Données projet'!$B$9,Paramètres!$A$1:$I$89,5,0)</f>
        <v>-3.7509835237869992E-13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234.09142087023463</v>
      </c>
      <c r="T141" s="59">
        <f t="shared" si="142"/>
        <v>278.990685815294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0.28737137384302902</v>
      </c>
      <c r="AA141" s="21">
        <f>EXP(-LN(2)/25)*AA140+(1-EXP(-LN(2)/25))/(LN(2)/25)*Calculateur!V141*Calculateur!X141*VLOOKUP('Données projet'!$B$9,Paramètres!$A$1:$I$89,3,0)*0.475*44/12</f>
        <v>0.76813868004031249</v>
      </c>
      <c r="AB141" s="21">
        <f>EXP(-LN(2)/2)*AB140+(1-EXP(-LN(2)/2))/(LN(2)/2)*V141*Y141*VLOOKUP('Données projet'!$B$9,Paramètres!$A$1:$I$89,3,0)*0.475*44/12</f>
        <v>1.229772939124231E-15</v>
      </c>
      <c r="AC141" s="22">
        <f t="shared" si="111"/>
        <v>1.0555100538833428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-1.2710188457276673E-13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255.5374979188561</v>
      </c>
      <c r="AO141" s="59">
        <f t="shared" si="144"/>
        <v>343.10418468620901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0.36397509013415219</v>
      </c>
      <c r="AV141" s="21">
        <f>EXP(-LN(2)/25)*AV140+(1-EXP(-LN(2)/25))/(LN(2)/25)*Calculateur!AQ141*Calculateur!AS141*VLOOKUP('Données projet'!$B$10,Paramètres!$A$1:$I$89,3,0)*0.475*44/12</f>
        <v>0.79908017673640419</v>
      </c>
      <c r="AW141" s="21">
        <f>EXP(-LN(2)/2)*AW140+(1-EXP(-LN(2)/2))/(LN(2)/2)*AQ141*AT141*VLOOKUP('Données projet'!$B$10,Paramètres!$A$1:$I$89,3,0)*0.475*44/12</f>
        <v>9.3961065564477699E-17</v>
      </c>
      <c r="AX141" s="21">
        <f t="shared" si="114"/>
        <v>1.1630552668705563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5.0999999999999996</v>
      </c>
      <c r="BD141" s="12">
        <f>IF('Données projet'!$A$88&gt;35,BD140+BC141-BL140,IF(A141&lt;'Données projet'!$A$88,$BA$205^A141,IF(A141='Données projet'!$A$88,'Données projet'!$B$88,BD140+BC141-BL140)))</f>
        <v>400.80000000000035</v>
      </c>
      <c r="BE141" s="13">
        <f>BD141*VLOOKUP('Données projet'!$B$11,Paramètres!$A$1:$I$89,3,0)*VLOOKUP('Données projet'!$B$11,Paramètres!$A$1:$I$89,5,0)</f>
        <v>343.88640000000038</v>
      </c>
      <c r="BF141" s="13">
        <f t="shared" si="145"/>
        <v>80.302369352588414</v>
      </c>
      <c r="BG141" s="20">
        <f t="shared" si="115"/>
        <v>738.79543995575875</v>
      </c>
      <c r="BH141" s="59">
        <f t="shared" si="116"/>
        <v>1032.1287732890921</v>
      </c>
      <c r="BI141" s="59">
        <f ca="1">AVERAGE(OFFSET($BH$3,0,0,'Données projet'!$E$11+1,1))-AVERAGE(OFFSET($H$3,0,0,'Données projet'!$E$11+1,1))</f>
        <v>310.4018929413723</v>
      </c>
      <c r="BJ141" s="59">
        <f t="shared" si="146"/>
        <v>127.5231137583819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0.29476475232236288</v>
      </c>
      <c r="BR141" s="21">
        <f>EXP(-LN(2)/2)*BR140+(1-EXP(-LN(2)/2))/(LN(2)/2)*BL141*BO141*VLOOKUP('Données projet'!$B$11,Paramètres!$A$1:$I$89,3,0)*0.475*44/12</f>
        <v>4.9573153001711364E-16</v>
      </c>
      <c r="BS141" s="22">
        <f t="shared" si="117"/>
        <v>0.29476475232236338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210.04871822652808</v>
      </c>
      <c r="CE141" s="59">
        <f t="shared" si="148"/>
        <v>250.17540614049324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0.85998123156983486</v>
      </c>
      <c r="CL141" s="21">
        <f>EXP(-LN(2)/25)*CL140+(1-EXP(-LN(2)/25))/(LN(2)/25)*Calculateur!CG141*Calculateur!CI141*VLOOKUP('Données projet'!$B$12,Paramètres!$A$1:$I$89,3,0)*0.475*44/12</f>
        <v>1.3933966452558011</v>
      </c>
      <c r="CM141" s="21">
        <f>EXP(-LN(2)/2)*CM140+(1-EXP(-LN(2)/2))/(LN(2)/2)*CG141*CJ141*VLOOKUP('Données projet'!$B$12,Paramètres!$A$1:$I$89,3,0)*0.475*44/12</f>
        <v>1.1964811773208351E-15</v>
      </c>
      <c r="CN141" s="22">
        <f t="shared" si="120"/>
        <v>2.2533778768256374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-5.1159076974727213E-13</v>
      </c>
      <c r="O142" s="13">
        <f>N142*VLOOKUP('Données projet'!$B$9,Paramètres!$A$1:$I$89,3,0)*VLOOKUP('Données projet'!$B$9,Paramètres!$A$1:$I$89,5,0)</f>
        <v>-3.7509835237869992E-13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234.09142087023463</v>
      </c>
      <c r="T142" s="59">
        <f t="shared" si="142"/>
        <v>278.990685815294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0.28173619648119785</v>
      </c>
      <c r="AA142" s="21">
        <f>EXP(-LN(2)/25)*AA141+(1-EXP(-LN(2)/25))/(LN(2)/25)*Calculateur!V142*Calculateur!X142*VLOOKUP('Données projet'!$B$9,Paramètres!$A$1:$I$89,3,0)*0.475*44/12</f>
        <v>0.74713388743995257</v>
      </c>
      <c r="AB142" s="21">
        <f>EXP(-LN(2)/2)*AB141+(1-EXP(-LN(2)/2))/(LN(2)/2)*V142*Y142*VLOOKUP('Données projet'!$B$9,Paramètres!$A$1:$I$89,3,0)*0.475*44/12</f>
        <v>8.6958078457445508E-16</v>
      </c>
      <c r="AC142" s="22">
        <f t="shared" si="111"/>
        <v>1.0288700839211513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-1.2710188457276673E-13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255.5374979188561</v>
      </c>
      <c r="AO142" s="59">
        <f t="shared" si="144"/>
        <v>343.10418468620901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0.35683776061950551</v>
      </c>
      <c r="AV142" s="21">
        <f>EXP(-LN(2)/25)*AV141+(1-EXP(-LN(2)/25))/(LN(2)/25)*Calculateur!AQ142*Calculateur!AS142*VLOOKUP('Données projet'!$B$10,Paramètres!$A$1:$I$89,3,0)*0.475*44/12</f>
        <v>0.77722928728174701</v>
      </c>
      <c r="AW142" s="21">
        <f>EXP(-LN(2)/2)*AW141+(1-EXP(-LN(2)/2))/(LN(2)/2)*AQ142*AT142*VLOOKUP('Données projet'!$B$10,Paramètres!$A$1:$I$89,3,0)*0.475*44/12</f>
        <v>6.6440506628155977E-17</v>
      </c>
      <c r="AX142" s="21">
        <f t="shared" si="114"/>
        <v>1.1340670479012525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5.0999999999999996</v>
      </c>
      <c r="BD142" s="12">
        <f>IF('Données projet'!$A$88&gt;35,BD141+BC142-BL141,IF(A142&lt;'Données projet'!$A$88,$BA$205^A142,IF(A142='Données projet'!$A$88,'Données projet'!$B$88,BD141+BC142-BL141)))</f>
        <v>405.90000000000038</v>
      </c>
      <c r="BE142" s="13">
        <f>BD142*VLOOKUP('Données projet'!$B$11,Paramètres!$A$1:$I$89,3,0)*VLOOKUP('Données projet'!$B$11,Paramètres!$A$1:$I$89,5,0)</f>
        <v>348.26220000000035</v>
      </c>
      <c r="BF142" s="13">
        <f t="shared" si="145"/>
        <v>81.204576575634022</v>
      </c>
      <c r="BG142" s="20">
        <f t="shared" si="115"/>
        <v>747.98796920256325</v>
      </c>
      <c r="BH142" s="59">
        <f t="shared" si="116"/>
        <v>1041.3213025358966</v>
      </c>
      <c r="BI142" s="59">
        <f ca="1">AVERAGE(OFFSET($BH$3,0,0,'Données projet'!$E$11+1,1))-AVERAGE(OFFSET($H$3,0,0,'Données projet'!$E$11+1,1))</f>
        <v>310.4018929413723</v>
      </c>
      <c r="BJ142" s="59">
        <f t="shared" si="146"/>
        <v>127.5231137583819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0.28670439466910325</v>
      </c>
      <c r="BR142" s="21">
        <f>EXP(-LN(2)/2)*BR141+(1-EXP(-LN(2)/2))/(LN(2)/2)*BL142*BO142*VLOOKUP('Données projet'!$B$11,Paramètres!$A$1:$I$89,3,0)*0.475*44/12</f>
        <v>3.5053512652308359E-16</v>
      </c>
      <c r="BS142" s="22">
        <f t="shared" si="117"/>
        <v>0.28670439466910358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210.04871822652808</v>
      </c>
      <c r="CE142" s="59">
        <f t="shared" si="148"/>
        <v>250.17540614049324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0.843117524155508</v>
      </c>
      <c r="CL142" s="21">
        <f>EXP(-LN(2)/25)*CL141+(1-EXP(-LN(2)/25))/(LN(2)/25)*Calculateur!CG142*Calculateur!CI142*VLOOKUP('Données projet'!$B$12,Paramètres!$A$1:$I$89,3,0)*0.475*44/12</f>
        <v>1.3552941407157364</v>
      </c>
      <c r="CM142" s="21">
        <f>EXP(-LN(2)/2)*CM141+(1-EXP(-LN(2)/2))/(LN(2)/2)*CG142*CJ142*VLOOKUP('Données projet'!$B$12,Paramètres!$A$1:$I$89,3,0)*0.475*44/12</f>
        <v>8.4603995404562656E-16</v>
      </c>
      <c r="CN142" s="22">
        <f t="shared" si="120"/>
        <v>2.1984116648712453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-5.1159076974727213E-13</v>
      </c>
      <c r="O143" s="13">
        <f>N143*VLOOKUP('Données projet'!$B$9,Paramètres!$A$1:$I$89,3,0)*VLOOKUP('Données projet'!$B$9,Paramètres!$A$1:$I$89,5,0)</f>
        <v>-3.7509835237869992E-13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234.09142087023463</v>
      </c>
      <c r="T143" s="59">
        <f t="shared" si="142"/>
        <v>278.990685815294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0.27621152151031342</v>
      </c>
      <c r="AA143" s="21">
        <f>EXP(-LN(2)/25)*AA142+(1-EXP(-LN(2)/25))/(LN(2)/25)*Calculateur!V143*Calculateur!X143*VLOOKUP('Données projet'!$B$9,Paramètres!$A$1:$I$89,3,0)*0.475*44/12</f>
        <v>0.72670347199784358</v>
      </c>
      <c r="AB143" s="21">
        <f>EXP(-LN(2)/2)*AB142+(1-EXP(-LN(2)/2))/(LN(2)/2)*V143*Y143*VLOOKUP('Données projet'!$B$9,Paramètres!$A$1:$I$89,3,0)*0.475*44/12</f>
        <v>6.148864695621156E-16</v>
      </c>
      <c r="AC143" s="22">
        <f t="shared" si="111"/>
        <v>1.0029149935081576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-1.2710188457276673E-13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255.5374979188561</v>
      </c>
      <c r="AO143" s="59">
        <f t="shared" si="144"/>
        <v>343.10418468620901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0.3498403897832999</v>
      </c>
      <c r="AV143" s="21">
        <f>EXP(-LN(2)/25)*AV142+(1-EXP(-LN(2)/25))/(LN(2)/25)*Calculateur!AQ143*Calculateur!AS143*VLOOKUP('Données projet'!$B$10,Paramètres!$A$1:$I$89,3,0)*0.475*44/12</f>
        <v>0.75597591154831578</v>
      </c>
      <c r="AW143" s="21">
        <f>EXP(-LN(2)/2)*AW142+(1-EXP(-LN(2)/2))/(LN(2)/2)*AQ143*AT143*VLOOKUP('Données projet'!$B$10,Paramètres!$A$1:$I$89,3,0)*0.475*44/12</f>
        <v>4.698053278223885E-17</v>
      </c>
      <c r="AX143" s="21">
        <f t="shared" si="114"/>
        <v>1.1058163013316156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411</v>
      </c>
      <c r="BB143" s="12">
        <f>VLOOKUP(A143,'Données projet'!$A$87:$I$107,9,0)</f>
        <v>5.0999999999999996</v>
      </c>
      <c r="BC143" s="12">
        <f t="array" ref="BC143">INDEX(BB:BB,MIN(IF(ISNUMBER(BB143:BB339),ROW(BB143:BB339),"")))</f>
        <v>5.0999999999999996</v>
      </c>
      <c r="BD143" s="12">
        <f>IF('Données projet'!$A$88&gt;35,BD142+BC143-BL142,IF(A143&lt;'Données projet'!$A$88,$BA$205^A143,IF(A143='Données projet'!$A$88,'Données projet'!$B$88,BD142+BC143-BL142)))</f>
        <v>411.0000000000004</v>
      </c>
      <c r="BE143" s="13">
        <f>BD143*VLOOKUP('Données projet'!$B$11,Paramètres!$A$1:$I$89,3,0)*VLOOKUP('Données projet'!$B$11,Paramètres!$A$1:$I$89,5,0)</f>
        <v>352.63800000000037</v>
      </c>
      <c r="BF143" s="13">
        <f t="shared" si="145"/>
        <v>82.105465223356973</v>
      </c>
      <c r="BG143" s="20">
        <f t="shared" si="115"/>
        <v>757.17820193068076</v>
      </c>
      <c r="BH143" s="59">
        <f t="shared" si="116"/>
        <v>1050.5115352640141</v>
      </c>
      <c r="BI143" s="59">
        <f ca="1">AVERAGE(OFFSET($BH$3,0,0,'Données projet'!$E$11+1,1))-AVERAGE(OFFSET($H$3,0,0,'Données projet'!$E$11+1,1))</f>
        <v>310.4018929413723</v>
      </c>
      <c r="BJ143" s="59">
        <f t="shared" si="146"/>
        <v>127.5231137583819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0.27886444791974779</v>
      </c>
      <c r="BR143" s="21">
        <f>EXP(-LN(2)/2)*BR142+(1-EXP(-LN(2)/2))/(LN(2)/2)*BL143*BO143*VLOOKUP('Données projet'!$B$11,Paramètres!$A$1:$I$89,3,0)*0.475*44/12</f>
        <v>2.4786576500855682E-16</v>
      </c>
      <c r="BS143" s="22">
        <f t="shared" si="117"/>
        <v>0.27886444791974802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210.04871822652808</v>
      </c>
      <c r="CE143" s="59">
        <f t="shared" si="148"/>
        <v>250.17540614049324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0.82658450375773018</v>
      </c>
      <c r="CL143" s="21">
        <f>EXP(-LN(2)/25)*CL142+(1-EXP(-LN(2)/25))/(LN(2)/25)*Calculateur!CG143*Calculateur!CI143*VLOOKUP('Données projet'!$B$12,Paramètres!$A$1:$I$89,3,0)*0.475*44/12</f>
        <v>1.3182335511660432</v>
      </c>
      <c r="CM143" s="21">
        <f>EXP(-LN(2)/2)*CM142+(1-EXP(-LN(2)/2))/(LN(2)/2)*CG143*CJ143*VLOOKUP('Données projet'!$B$12,Paramètres!$A$1:$I$89,3,0)*0.475*44/12</f>
        <v>5.9824058866041757E-16</v>
      </c>
      <c r="CN143" s="22">
        <f t="shared" si="120"/>
        <v>2.1448180549237739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-5.1159076974727213E-13</v>
      </c>
      <c r="O144" s="13">
        <f>N144*VLOOKUP('Données projet'!$B$9,Paramètres!$A$1:$I$89,3,0)*VLOOKUP('Données projet'!$B$9,Paramètres!$A$1:$I$89,5,0)</f>
        <v>-3.7509835237869992E-13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234.09142087023463</v>
      </c>
      <c r="T144" s="59">
        <f t="shared" si="142"/>
        <v>278.990685815294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0.27079518204588904</v>
      </c>
      <c r="AA144" s="21">
        <f>EXP(-LN(2)/25)*AA143+(1-EXP(-LN(2)/25))/(LN(2)/25)*Calculateur!V144*Calculateur!X144*VLOOKUP('Données projet'!$B$9,Paramètres!$A$1:$I$89,3,0)*0.475*44/12</f>
        <v>0.70683172734038791</v>
      </c>
      <c r="AB144" s="21">
        <f>EXP(-LN(2)/2)*AB143+(1-EXP(-LN(2)/2))/(LN(2)/2)*V144*Y144*VLOOKUP('Données projet'!$B$9,Paramètres!$A$1:$I$89,3,0)*0.475*44/12</f>
        <v>4.3479039228722764E-16</v>
      </c>
      <c r="AC144" s="22">
        <f t="shared" si="111"/>
        <v>0.97762690938627739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-1.2710188457276673E-13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255.5374979188561</v>
      </c>
      <c r="AO144" s="59">
        <f t="shared" si="144"/>
        <v>343.10418468620901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0.34298023312121745</v>
      </c>
      <c r="AV144" s="21">
        <f>EXP(-LN(2)/25)*AV143+(1-EXP(-LN(2)/25))/(LN(2)/25)*Calculateur!AQ144*Calculateur!AS144*VLOOKUP('Données projet'!$B$10,Paramètres!$A$1:$I$89,3,0)*0.475*44/12</f>
        <v>0.73530371049198173</v>
      </c>
      <c r="AW144" s="21">
        <f>EXP(-LN(2)/2)*AW143+(1-EXP(-LN(2)/2))/(LN(2)/2)*AQ144*AT144*VLOOKUP('Données projet'!$B$10,Paramètres!$A$1:$I$89,3,0)*0.475*44/12</f>
        <v>3.3220253314077988E-17</v>
      </c>
      <c r="AX144" s="21">
        <f t="shared" si="114"/>
        <v>1.0782839436131992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4.5</v>
      </c>
      <c r="BD144" s="12">
        <f>IF('Données projet'!$A$88&gt;35,BD143+BC144-BL143,IF(A144&lt;'Données projet'!$A$88,$BA$205^A144,IF(A144='Données projet'!$A$88,'Données projet'!$B$88,BD143+BC144-BL143)))</f>
        <v>374.5000000000004</v>
      </c>
      <c r="BE144" s="13">
        <f>BD144*VLOOKUP('Données projet'!$B$11,Paramètres!$A$1:$I$89,3,0)*VLOOKUP('Données projet'!$B$11,Paramètres!$A$1:$I$89,5,0)</f>
        <v>321.32100000000037</v>
      </c>
      <c r="BF144" s="13">
        <f t="shared" si="145"/>
        <v>75.628147467658394</v>
      </c>
      <c r="BG144" s="20">
        <f t="shared" si="115"/>
        <v>691.35309850617239</v>
      </c>
      <c r="BH144" s="59">
        <f t="shared" si="116"/>
        <v>984.68643183950576</v>
      </c>
      <c r="BI144" s="59">
        <f ca="1">AVERAGE(OFFSET($BH$3,0,0,'Données projet'!$E$11+1,1))-AVERAGE(OFFSET($H$3,0,0,'Données projet'!$E$11+1,1))</f>
        <v>310.4018929413723</v>
      </c>
      <c r="BJ144" s="59">
        <f t="shared" si="146"/>
        <v>127.5231137583819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0.2712388849265383</v>
      </c>
      <c r="BR144" s="21">
        <f>EXP(-LN(2)/2)*BR143+(1-EXP(-LN(2)/2))/(LN(2)/2)*BL144*BO144*VLOOKUP('Données projet'!$B$11,Paramètres!$A$1:$I$89,3,0)*0.475*44/12</f>
        <v>1.752675632615418E-16</v>
      </c>
      <c r="BS144" s="22">
        <f t="shared" si="117"/>
        <v>0.27123888492653847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210.04871822652808</v>
      </c>
      <c r="CE144" s="59">
        <f t="shared" si="148"/>
        <v>250.17540614049324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0.8103756858058061</v>
      </c>
      <c r="CL144" s="21">
        <f>EXP(-LN(2)/25)*CL143+(1-EXP(-LN(2)/25))/(LN(2)/25)*Calculateur!CG144*Calculateur!CI144*VLOOKUP('Données projet'!$B$12,Paramètres!$A$1:$I$89,3,0)*0.475*44/12</f>
        <v>1.2821863853865183</v>
      </c>
      <c r="CM144" s="21">
        <f>EXP(-LN(2)/2)*CM143+(1-EXP(-LN(2)/2))/(LN(2)/2)*CG144*CJ144*VLOOKUP('Données projet'!$B$12,Paramètres!$A$1:$I$89,3,0)*0.475*44/12</f>
        <v>4.2301997702281328E-16</v>
      </c>
      <c r="CN144" s="22">
        <f t="shared" si="120"/>
        <v>2.092562071192325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-5.1159076974727213E-13</v>
      </c>
      <c r="O145" s="13">
        <f>N145*VLOOKUP('Données projet'!$B$9,Paramètres!$A$1:$I$89,3,0)*VLOOKUP('Données projet'!$B$9,Paramètres!$A$1:$I$89,5,0)</f>
        <v>-3.7509835237869992E-13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234.09142087023463</v>
      </c>
      <c r="T145" s="59">
        <f t="shared" si="142"/>
        <v>278.990685815294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0.26548505369472114</v>
      </c>
      <c r="AA145" s="21">
        <f>EXP(-LN(2)/25)*AA144+(1-EXP(-LN(2)/25))/(LN(2)/25)*Calculateur!V145*Calculateur!X145*VLOOKUP('Données projet'!$B$9,Paramètres!$A$1:$I$89,3,0)*0.475*44/12</f>
        <v>0.6875033765855999</v>
      </c>
      <c r="AB145" s="21">
        <f>EXP(-LN(2)/2)*AB144+(1-EXP(-LN(2)/2))/(LN(2)/2)*V145*Y145*VLOOKUP('Données projet'!$B$9,Paramètres!$A$1:$I$89,3,0)*0.475*44/12</f>
        <v>3.0744323478105785E-16</v>
      </c>
      <c r="AC145" s="22">
        <f t="shared" si="111"/>
        <v>0.95298843028032143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-1.2710188457276673E-13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255.5374979188561</v>
      </c>
      <c r="AO145" s="59">
        <f t="shared" si="144"/>
        <v>343.10418468620901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0.33625459994699608</v>
      </c>
      <c r="AV145" s="21">
        <f>EXP(-LN(2)/25)*AV144+(1-EXP(-LN(2)/25))/(LN(2)/25)*Calculateur!AQ145*Calculateur!AS145*VLOOKUP('Données projet'!$B$10,Paramètres!$A$1:$I$89,3,0)*0.475*44/12</f>
        <v>0.71519679186063689</v>
      </c>
      <c r="AW145" s="21">
        <f>EXP(-LN(2)/2)*AW144+(1-EXP(-LN(2)/2))/(LN(2)/2)*AQ145*AT145*VLOOKUP('Données projet'!$B$10,Paramètres!$A$1:$I$89,3,0)*0.475*44/12</f>
        <v>2.3490266391119425E-17</v>
      </c>
      <c r="AX145" s="21">
        <f t="shared" si="114"/>
        <v>1.0514513918076329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4.5</v>
      </c>
      <c r="BD145" s="12">
        <f>IF('Données projet'!$A$88&gt;35,BD144+BC145-BL144,IF(A145&lt;'Données projet'!$A$88,$BA$205^A145,IF(A145='Données projet'!$A$88,'Données projet'!$B$88,BD144+BC145-BL144)))</f>
        <v>379.0000000000004</v>
      </c>
      <c r="BE145" s="13">
        <f>BD145*VLOOKUP('Données projet'!$B$11,Paramètres!$A$1:$I$89,3,0)*VLOOKUP('Données projet'!$B$11,Paramètres!$A$1:$I$89,5,0)</f>
        <v>325.18200000000041</v>
      </c>
      <c r="BF145" s="13">
        <f t="shared" si="145"/>
        <v>76.430559420348956</v>
      </c>
      <c r="BG145" s="20">
        <f t="shared" si="115"/>
        <v>699.47520765710851</v>
      </c>
      <c r="BH145" s="59">
        <f t="shared" si="116"/>
        <v>992.80854099044177</v>
      </c>
      <c r="BI145" s="59">
        <f ca="1">AVERAGE(OFFSET($BH$3,0,0,'Données projet'!$E$11+1,1))-AVERAGE(OFFSET($H$3,0,0,'Données projet'!$E$11+1,1))</f>
        <v>310.4018929413723</v>
      </c>
      <c r="BJ145" s="59">
        <f t="shared" si="146"/>
        <v>127.5231137583819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0.26382184335438907</v>
      </c>
      <c r="BR145" s="21">
        <f>EXP(-LN(2)/2)*BR144+(1-EXP(-LN(2)/2))/(LN(2)/2)*BL145*BO145*VLOOKUP('Données projet'!$B$11,Paramètres!$A$1:$I$89,3,0)*0.475*44/12</f>
        <v>1.2393288250427841E-16</v>
      </c>
      <c r="BS145" s="22">
        <f t="shared" si="117"/>
        <v>0.26382184335438918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210.04871822652808</v>
      </c>
      <c r="CE145" s="59">
        <f t="shared" si="148"/>
        <v>250.17540614049324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0.79448471288751643</v>
      </c>
      <c r="CL145" s="21">
        <f>EXP(-LN(2)/25)*CL144+(1-EXP(-LN(2)/25))/(LN(2)/25)*Calculateur!CG145*Calculateur!CI145*VLOOKUP('Données projet'!$B$12,Paramètres!$A$1:$I$89,3,0)*0.475*44/12</f>
        <v>1.2471249312508725</v>
      </c>
      <c r="CM145" s="21">
        <f>EXP(-LN(2)/2)*CM144+(1-EXP(-LN(2)/2))/(LN(2)/2)*CG145*CJ145*VLOOKUP('Données projet'!$B$12,Paramètres!$A$1:$I$89,3,0)*0.475*44/12</f>
        <v>2.9912029433020879E-16</v>
      </c>
      <c r="CN145" s="22">
        <f t="shared" si="120"/>
        <v>2.0416096441383895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-5.1159076974727213E-13</v>
      </c>
      <c r="O146" s="13">
        <f>N146*VLOOKUP('Données projet'!$B$9,Paramètres!$A$1:$I$89,3,0)*VLOOKUP('Données projet'!$B$9,Paramètres!$A$1:$I$89,5,0)</f>
        <v>-3.7509835237869992E-13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234.09142087023463</v>
      </c>
      <c r="T146" s="59">
        <f t="shared" si="142"/>
        <v>278.990685815294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0.26027905372166116</v>
      </c>
      <c r="AA146" s="21">
        <f>EXP(-LN(2)/25)*AA145+(1-EXP(-LN(2)/25))/(LN(2)/25)*Calculateur!V146*Calculateur!X146*VLOOKUP('Données projet'!$B$9,Paramètres!$A$1:$I$89,3,0)*0.475*44/12</f>
        <v>0.66870356059863545</v>
      </c>
      <c r="AB146" s="21">
        <f>EXP(-LN(2)/2)*AB145+(1-EXP(-LN(2)/2))/(LN(2)/2)*V146*Y146*VLOOKUP('Données projet'!$B$9,Paramètres!$A$1:$I$89,3,0)*0.475*44/12</f>
        <v>2.1739519614361384E-16</v>
      </c>
      <c r="AC146" s="22">
        <f t="shared" si="111"/>
        <v>0.92898261432029683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-1.2710188457276673E-13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255.5374979188561</v>
      </c>
      <c r="AO146" s="59">
        <f t="shared" si="144"/>
        <v>343.10418468620901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0.32966085233709003</v>
      </c>
      <c r="AV146" s="21">
        <f>EXP(-LN(2)/25)*AV145+(1-EXP(-LN(2)/25))/(LN(2)/25)*Calculateur!AQ146*Calculateur!AS146*VLOOKUP('Données projet'!$B$10,Paramètres!$A$1:$I$89,3,0)*0.475*44/12</f>
        <v>0.69563969797664305</v>
      </c>
      <c r="AW146" s="21">
        <f>EXP(-LN(2)/2)*AW145+(1-EXP(-LN(2)/2))/(LN(2)/2)*AQ146*AT146*VLOOKUP('Données projet'!$B$10,Paramètres!$A$1:$I$89,3,0)*0.475*44/12</f>
        <v>1.6610126657038994E-17</v>
      </c>
      <c r="AX146" s="21">
        <f t="shared" si="114"/>
        <v>1.0253005503137331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4.5</v>
      </c>
      <c r="BD146" s="12">
        <f>IF('Données projet'!$A$88&gt;35,BD145+BC146-BL145,IF(A146&lt;'Données projet'!$A$88,$BA$205^A146,IF(A146='Données projet'!$A$88,'Données projet'!$B$88,BD145+BC146-BL145)))</f>
        <v>383.5000000000004</v>
      </c>
      <c r="BE146" s="13">
        <f>BD146*VLOOKUP('Données projet'!$B$11,Paramètres!$A$1:$I$89,3,0)*VLOOKUP('Données projet'!$B$11,Paramètres!$A$1:$I$89,5,0)</f>
        <v>329.0430000000004</v>
      </c>
      <c r="BF146" s="13">
        <f t="shared" si="145"/>
        <v>77.231863131590558</v>
      </c>
      <c r="BG146" s="20">
        <f t="shared" si="115"/>
        <v>707.59538662085424</v>
      </c>
      <c r="BH146" s="59">
        <f t="shared" si="116"/>
        <v>1000.9287199541875</v>
      </c>
      <c r="BI146" s="59">
        <f ca="1">AVERAGE(OFFSET($BH$3,0,0,'Données projet'!$E$11+1,1))-AVERAGE(OFFSET($H$3,0,0,'Données projet'!$E$11+1,1))</f>
        <v>310.4018929413723</v>
      </c>
      <c r="BJ146" s="59">
        <f t="shared" si="146"/>
        <v>127.5231137583819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0.25660762117407554</v>
      </c>
      <c r="BR146" s="21">
        <f>EXP(-LN(2)/2)*BR145+(1-EXP(-LN(2)/2))/(LN(2)/2)*BL146*BO146*VLOOKUP('Données projet'!$B$11,Paramètres!$A$1:$I$89,3,0)*0.475*44/12</f>
        <v>8.7633781630770898E-17</v>
      </c>
      <c r="BS146" s="22">
        <f t="shared" si="117"/>
        <v>0.25660762117407565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210.04871822652808</v>
      </c>
      <c r="CE146" s="59">
        <f t="shared" si="148"/>
        <v>250.17540614049324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0.77890535225561797</v>
      </c>
      <c r="CL146" s="21">
        <f>EXP(-LN(2)/25)*CL145+(1-EXP(-LN(2)/25))/(LN(2)/25)*Calculateur!CG146*Calculateur!CI146*VLOOKUP('Données projet'!$B$12,Paramètres!$A$1:$I$89,3,0)*0.475*44/12</f>
        <v>1.2130222344223676</v>
      </c>
      <c r="CM146" s="21">
        <f>EXP(-LN(2)/2)*CM145+(1-EXP(-LN(2)/2))/(LN(2)/2)*CG146*CJ146*VLOOKUP('Données projet'!$B$12,Paramètres!$A$1:$I$89,3,0)*0.475*44/12</f>
        <v>2.1150998851140664E-16</v>
      </c>
      <c r="CN146" s="22">
        <f t="shared" si="120"/>
        <v>1.9919275866779858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-5.1159076974727213E-13</v>
      </c>
      <c r="O147" s="13">
        <f>N147*VLOOKUP('Données projet'!$B$9,Paramètres!$A$1:$I$89,3,0)*VLOOKUP('Données projet'!$B$9,Paramètres!$A$1:$I$89,5,0)</f>
        <v>-3.7509835237869992E-13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234.09142087023463</v>
      </c>
      <c r="T147" s="59">
        <f t="shared" si="142"/>
        <v>278.990685815294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0.25517514023272642</v>
      </c>
      <c r="AA147" s="21">
        <f>EXP(-LN(2)/25)*AA146+(1-EXP(-LN(2)/25))/(LN(2)/25)*Calculateur!V147*Calculateur!X147*VLOOKUP('Données projet'!$B$9,Paramètres!$A$1:$I$89,3,0)*0.475*44/12</f>
        <v>0.6504178265684738</v>
      </c>
      <c r="AB147" s="21">
        <f>EXP(-LN(2)/2)*AB146+(1-EXP(-LN(2)/2))/(LN(2)/2)*V147*Y147*VLOOKUP('Données projet'!$B$9,Paramètres!$A$1:$I$89,3,0)*0.475*44/12</f>
        <v>1.5372161739052895E-16</v>
      </c>
      <c r="AC147" s="22">
        <f t="shared" si="111"/>
        <v>0.90559296680120027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-1.2710188457276673E-13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255.5374979188561</v>
      </c>
      <c r="AO147" s="59">
        <f t="shared" si="144"/>
        <v>343.10418468620901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0.32319640409602529</v>
      </c>
      <c r="AV147" s="21">
        <f>EXP(-LN(2)/25)*AV146+(1-EXP(-LN(2)/25))/(LN(2)/25)*Calculateur!AQ147*Calculateur!AS147*VLOOKUP('Données projet'!$B$10,Paramètres!$A$1:$I$89,3,0)*0.475*44/12</f>
        <v>0.67661739385336994</v>
      </c>
      <c r="AW147" s="21">
        <f>EXP(-LN(2)/2)*AW146+(1-EXP(-LN(2)/2))/(LN(2)/2)*AQ147*AT147*VLOOKUP('Données projet'!$B$10,Paramètres!$A$1:$I$89,3,0)*0.475*44/12</f>
        <v>1.1745133195559712E-17</v>
      </c>
      <c r="AX147" s="21">
        <f t="shared" si="114"/>
        <v>0.99981379794939529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4.5</v>
      </c>
      <c r="BD147" s="12">
        <f>IF('Données projet'!$A$88&gt;35,BD146+BC147-BL146,IF(A147&lt;'Données projet'!$A$88,$BA$205^A147,IF(A147='Données projet'!$A$88,'Données projet'!$B$88,BD146+BC147-BL146)))</f>
        <v>388.0000000000004</v>
      </c>
      <c r="BE147" s="13">
        <f>BD147*VLOOKUP('Données projet'!$B$11,Paramètres!$A$1:$I$89,3,0)*VLOOKUP('Données projet'!$B$11,Paramètres!$A$1:$I$89,5,0)</f>
        <v>332.90400000000039</v>
      </c>
      <c r="BF147" s="13">
        <f t="shared" si="145"/>
        <v>78.032073109961104</v>
      </c>
      <c r="BG147" s="20">
        <f t="shared" si="115"/>
        <v>715.71366066651626</v>
      </c>
      <c r="BH147" s="59">
        <f t="shared" si="116"/>
        <v>1009.0469939998495</v>
      </c>
      <c r="BI147" s="59">
        <f ca="1">AVERAGE(OFFSET($BH$3,0,0,'Données projet'!$E$11+1,1))-AVERAGE(OFFSET($H$3,0,0,'Données projet'!$E$11+1,1))</f>
        <v>310.4018929413723</v>
      </c>
      <c r="BJ147" s="59">
        <f t="shared" si="146"/>
        <v>127.5231137583819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0.24959067227866213</v>
      </c>
      <c r="BR147" s="21">
        <f>EXP(-LN(2)/2)*BR146+(1-EXP(-LN(2)/2))/(LN(2)/2)*BL147*BO147*VLOOKUP('Données projet'!$B$11,Paramètres!$A$1:$I$89,3,0)*0.475*44/12</f>
        <v>6.1966441252139205E-17</v>
      </c>
      <c r="BS147" s="22">
        <f t="shared" si="117"/>
        <v>0.24959067227866219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210.04871822652808</v>
      </c>
      <c r="CE147" s="59">
        <f t="shared" si="148"/>
        <v>250.17540614049324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0.76363149338323943</v>
      </c>
      <c r="CL147" s="21">
        <f>EXP(-LN(2)/25)*CL146+(1-EXP(-LN(2)/25))/(LN(2)/25)*Calculateur!CG147*Calculateur!CI147*VLOOKUP('Données projet'!$B$12,Paramètres!$A$1:$I$89,3,0)*0.475*44/12</f>
        <v>1.1798520776320209</v>
      </c>
      <c r="CM147" s="21">
        <f>EXP(-LN(2)/2)*CM146+(1-EXP(-LN(2)/2))/(LN(2)/2)*CG147*CJ147*VLOOKUP('Données projet'!$B$12,Paramètres!$A$1:$I$89,3,0)*0.475*44/12</f>
        <v>1.4956014716510439E-16</v>
      </c>
      <c r="CN147" s="22">
        <f t="shared" si="120"/>
        <v>1.9434835710152607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-5.1159076974727213E-13</v>
      </c>
      <c r="O148" s="13">
        <f>N148*VLOOKUP('Données projet'!$B$9,Paramètres!$A$1:$I$89,3,0)*VLOOKUP('Données projet'!$B$9,Paramètres!$A$1:$I$89,5,0)</f>
        <v>-3.7509835237869992E-13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234.09142087023463</v>
      </c>
      <c r="T148" s="59">
        <f t="shared" si="142"/>
        <v>278.990685815294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0.25017131137422988</v>
      </c>
      <c r="AA148" s="21">
        <f>EXP(-LN(2)/25)*AA147+(1-EXP(-LN(2)/25))/(LN(2)/25)*Calculateur!V148*Calculateur!X148*VLOOKUP('Données projet'!$B$9,Paramètres!$A$1:$I$89,3,0)*0.475*44/12</f>
        <v>0.63263211689697196</v>
      </c>
      <c r="AB148" s="21">
        <f>EXP(-LN(2)/2)*AB147+(1-EXP(-LN(2)/2))/(LN(2)/2)*V148*Y148*VLOOKUP('Données projet'!$B$9,Paramètres!$A$1:$I$89,3,0)*0.475*44/12</f>
        <v>1.0869759807180693E-16</v>
      </c>
      <c r="AC148" s="22">
        <f t="shared" si="111"/>
        <v>0.88280342827120195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-1.2710188457276673E-13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255.5374979188561</v>
      </c>
      <c r="AO148" s="59">
        <f t="shared" si="144"/>
        <v>343.10418468620901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0.31685871974204372</v>
      </c>
      <c r="AV148" s="21">
        <f>EXP(-LN(2)/25)*AV147+(1-EXP(-LN(2)/25))/(LN(2)/25)*Calculateur!AQ148*Calculateur!AS148*VLOOKUP('Données projet'!$B$10,Paramètres!$A$1:$I$89,3,0)*0.475*44/12</f>
        <v>0.65811525563668727</v>
      </c>
      <c r="AW148" s="21">
        <f>EXP(-LN(2)/2)*AW147+(1-EXP(-LN(2)/2))/(LN(2)/2)*AQ148*AT148*VLOOKUP('Données projet'!$B$10,Paramètres!$A$1:$I$89,3,0)*0.475*44/12</f>
        <v>8.3050633285194971E-18</v>
      </c>
      <c r="AX148" s="21">
        <f t="shared" si="114"/>
        <v>0.97497397537873098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4.5</v>
      </c>
      <c r="BD148" s="12">
        <f>IF('Données projet'!$A$88&gt;35,BD147+BC148-BL147,IF(A148&lt;'Données projet'!$A$88,$BA$205^A148,IF(A148='Données projet'!$A$88,'Données projet'!$B$88,BD147+BC148-BL147)))</f>
        <v>392.5000000000004</v>
      </c>
      <c r="BE148" s="13">
        <f>BD148*VLOOKUP('Données projet'!$B$11,Paramètres!$A$1:$I$89,3,0)*VLOOKUP('Données projet'!$B$11,Paramètres!$A$1:$I$89,5,0)</f>
        <v>336.76500000000038</v>
      </c>
      <c r="BF148" s="13">
        <f t="shared" si="145"/>
        <v>78.831203508129136</v>
      </c>
      <c r="BG148" s="20">
        <f t="shared" si="115"/>
        <v>723.83005444332548</v>
      </c>
      <c r="BH148" s="59">
        <f t="shared" si="116"/>
        <v>1017.1633877766587</v>
      </c>
      <c r="BI148" s="59">
        <f ca="1">AVERAGE(OFFSET($BH$3,0,0,'Données projet'!$E$11+1,1))-AVERAGE(OFFSET($H$3,0,0,'Données projet'!$E$11+1,1))</f>
        <v>310.4018929413723</v>
      </c>
      <c r="BJ148" s="59">
        <f t="shared" si="146"/>
        <v>127.5231137583819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0.24276560221979912</v>
      </c>
      <c r="BR148" s="21">
        <f>EXP(-LN(2)/2)*BR147+(1-EXP(-LN(2)/2))/(LN(2)/2)*BL148*BO148*VLOOKUP('Données projet'!$B$11,Paramètres!$A$1:$I$89,3,0)*0.475*44/12</f>
        <v>4.3816890815385449E-17</v>
      </c>
      <c r="BS148" s="22">
        <f t="shared" si="117"/>
        <v>0.24276560221979918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210.04871822652808</v>
      </c>
      <c r="CE148" s="59">
        <f t="shared" si="148"/>
        <v>250.17540614049324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0.74865714556721419</v>
      </c>
      <c r="CL148" s="21">
        <f>EXP(-LN(2)/25)*CL147+(1-EXP(-LN(2)/25))/(LN(2)/25)*Calculateur!CG148*Calculateur!CI148*VLOOKUP('Données projet'!$B$12,Paramètres!$A$1:$I$89,3,0)*0.475*44/12</f>
        <v>1.1475889605234491</v>
      </c>
      <c r="CM148" s="21">
        <f>EXP(-LN(2)/2)*CM147+(1-EXP(-LN(2)/2))/(LN(2)/2)*CG148*CJ148*VLOOKUP('Données projet'!$B$12,Paramètres!$A$1:$I$89,3,0)*0.475*44/12</f>
        <v>1.0575499425570332E-16</v>
      </c>
      <c r="CN148" s="22">
        <f t="shared" si="120"/>
        <v>1.8962461060906632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-5.1159076974727213E-13</v>
      </c>
      <c r="O149" s="13">
        <f>N149*VLOOKUP('Données projet'!$B$9,Paramètres!$A$1:$I$89,3,0)*VLOOKUP('Données projet'!$B$9,Paramètres!$A$1:$I$89,5,0)</f>
        <v>-3.7509835237869992E-13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234.09142087023463</v>
      </c>
      <c r="T149" s="59">
        <f t="shared" si="142"/>
        <v>278.990685815294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0.2452656045476142</v>
      </c>
      <c r="AA149" s="21">
        <f>EXP(-LN(2)/25)*AA148+(1-EXP(-LN(2)/25))/(LN(2)/25)*Calculateur!V149*Calculateur!X149*VLOOKUP('Données projet'!$B$9,Paramètres!$A$1:$I$89,3,0)*0.475*44/12</f>
        <v>0.61533275839174717</v>
      </c>
      <c r="AB149" s="21">
        <f>EXP(-LN(2)/2)*AB148+(1-EXP(-LN(2)/2))/(LN(2)/2)*V149*Y149*VLOOKUP('Données projet'!$B$9,Paramètres!$A$1:$I$89,3,0)*0.475*44/12</f>
        <v>7.6860808695264487E-17</v>
      </c>
      <c r="AC149" s="22">
        <f t="shared" si="111"/>
        <v>0.86059836293936154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-1.2710188457276673E-13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255.5374979188561</v>
      </c>
      <c r="AO149" s="59">
        <f t="shared" si="144"/>
        <v>343.10418468620901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0.31064531351263797</v>
      </c>
      <c r="AV149" s="21">
        <f>EXP(-LN(2)/25)*AV148+(1-EXP(-LN(2)/25))/(LN(2)/25)*Calculateur!AQ149*Calculateur!AS149*VLOOKUP('Données projet'!$B$10,Paramètres!$A$1:$I$89,3,0)*0.475*44/12</f>
        <v>0.64011905936252489</v>
      </c>
      <c r="AW149" s="21">
        <f>EXP(-LN(2)/2)*AW148+(1-EXP(-LN(2)/2))/(LN(2)/2)*AQ149*AT149*VLOOKUP('Données projet'!$B$10,Paramètres!$A$1:$I$89,3,0)*0.475*44/12</f>
        <v>5.8725665977798562E-18</v>
      </c>
      <c r="AX149" s="21">
        <f t="shared" si="114"/>
        <v>0.95076437287516291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4.5</v>
      </c>
      <c r="BD149" s="12">
        <f>IF('Données projet'!$A$88&gt;35,BD148+BC149-BL148,IF(A149&lt;'Données projet'!$A$88,$BA$205^A149,IF(A149='Données projet'!$A$88,'Données projet'!$B$88,BD148+BC149-BL148)))</f>
        <v>397.0000000000004</v>
      </c>
      <c r="BE149" s="13">
        <f>BD149*VLOOKUP('Données projet'!$B$11,Paramètres!$A$1:$I$89,3,0)*VLOOKUP('Données projet'!$B$11,Paramètres!$A$1:$I$89,5,0)</f>
        <v>340.62600000000037</v>
      </c>
      <c r="BF149" s="13">
        <f t="shared" si="145"/>
        <v>79.629268135563379</v>
      </c>
      <c r="BG149" s="20">
        <f t="shared" si="115"/>
        <v>731.94459200277345</v>
      </c>
      <c r="BH149" s="59">
        <f t="shared" si="116"/>
        <v>1025.2779253361068</v>
      </c>
      <c r="BI149" s="59">
        <f ca="1">AVERAGE(OFFSET($BH$3,0,0,'Données projet'!$E$11+1,1))-AVERAGE(OFFSET($H$3,0,0,'Données projet'!$E$11+1,1))</f>
        <v>310.4018929413723</v>
      </c>
      <c r="BJ149" s="59">
        <f t="shared" si="146"/>
        <v>127.5231137583819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0.23612716406061054</v>
      </c>
      <c r="BR149" s="21">
        <f>EXP(-LN(2)/2)*BR148+(1-EXP(-LN(2)/2))/(LN(2)/2)*BL149*BO149*VLOOKUP('Données projet'!$B$11,Paramètres!$A$1:$I$89,3,0)*0.475*44/12</f>
        <v>3.0983220626069602E-17</v>
      </c>
      <c r="BS149" s="22">
        <f t="shared" si="117"/>
        <v>0.23612716406061057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210.04871822652808</v>
      </c>
      <c r="CE149" s="59">
        <f t="shared" si="148"/>
        <v>250.17540614049324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0.73397643557841086</v>
      </c>
      <c r="CL149" s="21">
        <f>EXP(-LN(2)/25)*CL148+(1-EXP(-LN(2)/25))/(LN(2)/25)*Calculateur!CG149*Calculateur!CI149*VLOOKUP('Données projet'!$B$12,Paramètres!$A$1:$I$89,3,0)*0.475*44/12</f>
        <v>1.1162080800488547</v>
      </c>
      <c r="CM149" s="21">
        <f>EXP(-LN(2)/2)*CM148+(1-EXP(-LN(2)/2))/(LN(2)/2)*CG149*CJ149*VLOOKUP('Données projet'!$B$12,Paramètres!$A$1:$I$89,3,0)*0.475*44/12</f>
        <v>7.4780073582552197E-17</v>
      </c>
      <c r="CN149" s="22">
        <f t="shared" si="120"/>
        <v>1.8501845156272656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-5.1159076974727213E-13</v>
      </c>
      <c r="O150" s="13">
        <f>N150*VLOOKUP('Données projet'!$B$9,Paramètres!$A$1:$I$89,3,0)*VLOOKUP('Données projet'!$B$9,Paramètres!$A$1:$I$89,5,0)</f>
        <v>-3.7509835237869992E-13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234.09142087023463</v>
      </c>
      <c r="T150" s="59">
        <f t="shared" si="142"/>
        <v>278.990685815294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0.24045609563968276</v>
      </c>
      <c r="AA150" s="21">
        <f>EXP(-LN(2)/25)*AA149+(1-EXP(-LN(2)/25))/(LN(2)/25)*Calculateur!V150*Calculateur!X150*VLOOKUP('Données projet'!$B$9,Paramètres!$A$1:$I$89,3,0)*0.475*44/12</f>
        <v>0.59850645175458139</v>
      </c>
      <c r="AB150" s="21">
        <f>EXP(-LN(2)/2)*AB149+(1-EXP(-LN(2)/2))/(LN(2)/2)*V150*Y150*VLOOKUP('Données projet'!$B$9,Paramètres!$A$1:$I$89,3,0)*0.475*44/12</f>
        <v>5.4348799035903479E-17</v>
      </c>
      <c r="AC150" s="22">
        <f t="shared" si="111"/>
        <v>0.83896254739426412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-1.2710188457276673E-13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255.5374979188561</v>
      </c>
      <c r="AO150" s="59">
        <f t="shared" si="144"/>
        <v>343.10418468620901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0.30455374838958726</v>
      </c>
      <c r="AV150" s="21">
        <f>EXP(-LN(2)/25)*AV149+(1-EXP(-LN(2)/25))/(LN(2)/25)*Calculateur!AQ150*Calculateur!AS150*VLOOKUP('Données projet'!$B$10,Paramètres!$A$1:$I$89,3,0)*0.475*44/12</f>
        <v>0.62261497002185828</v>
      </c>
      <c r="AW150" s="21">
        <f>EXP(-LN(2)/2)*AW149+(1-EXP(-LN(2)/2))/(LN(2)/2)*AQ150*AT150*VLOOKUP('Données projet'!$B$10,Paramètres!$A$1:$I$89,3,0)*0.475*44/12</f>
        <v>4.1525316642597486E-18</v>
      </c>
      <c r="AX150" s="21">
        <f t="shared" si="114"/>
        <v>0.92716871841144555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4.5</v>
      </c>
      <c r="BD150" s="12">
        <f>IF('Données projet'!$A$88&gt;35,BD149+BC150-BL149,IF(A150&lt;'Données projet'!$A$88,$BA$205^A150,IF(A150='Données projet'!$A$88,'Données projet'!$B$88,BD149+BC150-BL149)))</f>
        <v>401.5000000000004</v>
      </c>
      <c r="BE150" s="13">
        <f>BD150*VLOOKUP('Données projet'!$B$11,Paramètres!$A$1:$I$89,3,0)*VLOOKUP('Données projet'!$B$11,Paramètres!$A$1:$I$89,5,0)</f>
        <v>344.48700000000042</v>
      </c>
      <c r="BF150" s="13">
        <f t="shared" si="145"/>
        <v>80.426280470648379</v>
      </c>
      <c r="BG150" s="20">
        <f t="shared" si="115"/>
        <v>740.05729681971332</v>
      </c>
      <c r="BH150" s="59">
        <f t="shared" si="116"/>
        <v>1033.3906301530467</v>
      </c>
      <c r="BI150" s="59">
        <f ca="1">AVERAGE(OFFSET($BH$3,0,0,'Données projet'!$E$11+1,1))-AVERAGE(OFFSET($H$3,0,0,'Données projet'!$E$11+1,1))</f>
        <v>310.4018929413723</v>
      </c>
      <c r="BJ150" s="59">
        <f t="shared" si="146"/>
        <v>127.5231137583819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0.22967025434198526</v>
      </c>
      <c r="BR150" s="21">
        <f>EXP(-LN(2)/2)*BR149+(1-EXP(-LN(2)/2))/(LN(2)/2)*BL150*BO150*VLOOKUP('Données projet'!$B$11,Paramètres!$A$1:$I$89,3,0)*0.475*44/12</f>
        <v>2.1908445407692724E-17</v>
      </c>
      <c r="BS150" s="22">
        <f t="shared" si="117"/>
        <v>0.22967025434198529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210.04871822652808</v>
      </c>
      <c r="CE150" s="59">
        <f t="shared" si="148"/>
        <v>250.17540614049324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0.71958360535813903</v>
      </c>
      <c r="CL150" s="21">
        <f>EXP(-LN(2)/25)*CL149+(1-EXP(-LN(2)/25))/(LN(2)/25)*Calculateur!CG150*Calculateur!CI150*VLOOKUP('Données projet'!$B$12,Paramètres!$A$1:$I$89,3,0)*0.475*44/12</f>
        <v>1.0856853114010869</v>
      </c>
      <c r="CM150" s="21">
        <f>EXP(-LN(2)/2)*CM149+(1-EXP(-LN(2)/2))/(LN(2)/2)*CG150*CJ150*VLOOKUP('Données projet'!$B$12,Paramètres!$A$1:$I$89,3,0)*0.475*44/12</f>
        <v>5.287749712785166E-17</v>
      </c>
      <c r="CN150" s="22">
        <f t="shared" si="120"/>
        <v>1.805268916759226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-5.1159076974727213E-13</v>
      </c>
      <c r="O151" s="13">
        <f>N151*VLOOKUP('Données projet'!$B$9,Paramètres!$A$1:$I$89,3,0)*VLOOKUP('Données projet'!$B$9,Paramètres!$A$1:$I$89,5,0)</f>
        <v>-3.7509835237869992E-13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234.09142087023463</v>
      </c>
      <c r="T151" s="59">
        <f t="shared" si="142"/>
        <v>278.990685815294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0.23574089826792508</v>
      </c>
      <c r="AA151" s="21">
        <f>EXP(-LN(2)/25)*AA150+(1-EXP(-LN(2)/25))/(LN(2)/25)*Calculateur!V151*Calculateur!X151*VLOOKUP('Données projet'!$B$9,Paramètres!$A$1:$I$89,3,0)*0.475*44/12</f>
        <v>0.58214026135726593</v>
      </c>
      <c r="AB151" s="21">
        <f>EXP(-LN(2)/2)*AB150+(1-EXP(-LN(2)/2))/(LN(2)/2)*V151*Y151*VLOOKUP('Données projet'!$B$9,Paramètres!$A$1:$I$89,3,0)*0.475*44/12</f>
        <v>3.843040434763225E-17</v>
      </c>
      <c r="AC151" s="22">
        <f t="shared" si="111"/>
        <v>0.81788115962519103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-1.2710188457276673E-13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255.5374979188561</v>
      </c>
      <c r="AO151" s="59">
        <f t="shared" si="144"/>
        <v>343.10418468620901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0.29858163514311176</v>
      </c>
      <c r="AV151" s="21">
        <f>EXP(-LN(2)/25)*AV150+(1-EXP(-LN(2)/25))/(LN(2)/25)*Calculateur!AQ151*Calculateur!AS151*VLOOKUP('Données projet'!$B$10,Paramètres!$A$1:$I$89,3,0)*0.475*44/12</f>
        <v>0.60558953092471235</v>
      </c>
      <c r="AW151" s="21">
        <f>EXP(-LN(2)/2)*AW150+(1-EXP(-LN(2)/2))/(LN(2)/2)*AQ151*AT151*VLOOKUP('Données projet'!$B$10,Paramètres!$A$1:$I$89,3,0)*0.475*44/12</f>
        <v>2.9362832988899281E-18</v>
      </c>
      <c r="AX151" s="21">
        <f t="shared" si="114"/>
        <v>0.90417116606782411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4.5</v>
      </c>
      <c r="BD151" s="12">
        <f>IF('Données projet'!$A$88&gt;35,BD150+BC151-BL150,IF(A151&lt;'Données projet'!$A$88,$BA$205^A151,IF(A151='Données projet'!$A$88,'Données projet'!$B$88,BD150+BC151-BL150)))</f>
        <v>406.0000000000004</v>
      </c>
      <c r="BE151" s="13">
        <f>BD151*VLOOKUP('Données projet'!$B$11,Paramètres!$A$1:$I$89,3,0)*VLOOKUP('Données projet'!$B$11,Paramètres!$A$1:$I$89,5,0)</f>
        <v>348.34800000000041</v>
      </c>
      <c r="BF151" s="13">
        <f t="shared" si="145"/>
        <v>81.222253672242772</v>
      </c>
      <c r="BG151" s="20">
        <f t="shared" si="115"/>
        <v>748.16819181249014</v>
      </c>
      <c r="BH151" s="59">
        <f t="shared" si="116"/>
        <v>1041.5015251458235</v>
      </c>
      <c r="BI151" s="59">
        <f ca="1">AVERAGE(OFFSET($BH$3,0,0,'Données projet'!$E$11+1,1))-AVERAGE(OFFSET($H$3,0,0,'Données projet'!$E$11+1,1))</f>
        <v>310.4018929413723</v>
      </c>
      <c r="BJ151" s="59">
        <f t="shared" si="146"/>
        <v>127.5231137583819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0.22338990915916992</v>
      </c>
      <c r="BR151" s="21">
        <f>EXP(-LN(2)/2)*BR150+(1-EXP(-LN(2)/2))/(LN(2)/2)*BL151*BO151*VLOOKUP('Données projet'!$B$11,Paramètres!$A$1:$I$89,3,0)*0.475*44/12</f>
        <v>1.5491610313034801E-17</v>
      </c>
      <c r="BS151" s="22">
        <f t="shared" si="117"/>
        <v>0.22338990915916995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210.04871822652808</v>
      </c>
      <c r="CE151" s="59">
        <f t="shared" si="148"/>
        <v>250.17540614049324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0.70547300975972715</v>
      </c>
      <c r="CL151" s="21">
        <f>EXP(-LN(2)/25)*CL150+(1-EXP(-LN(2)/25))/(LN(2)/25)*Calculateur!CG151*Calculateur!CI151*VLOOKUP('Données projet'!$B$12,Paramètres!$A$1:$I$89,3,0)*0.475*44/12</f>
        <v>1.055997189467115</v>
      </c>
      <c r="CM151" s="21">
        <f>EXP(-LN(2)/2)*CM150+(1-EXP(-LN(2)/2))/(LN(2)/2)*CG151*CJ151*VLOOKUP('Données projet'!$B$12,Paramètres!$A$1:$I$89,3,0)*0.475*44/12</f>
        <v>3.7390036791276098E-17</v>
      </c>
      <c r="CN151" s="22">
        <f t="shared" si="120"/>
        <v>1.7614701992268422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-5.1159076974727213E-13</v>
      </c>
      <c r="O152" s="13">
        <f>N152*VLOOKUP('Données projet'!$B$9,Paramètres!$A$1:$I$89,3,0)*VLOOKUP('Données projet'!$B$9,Paramètres!$A$1:$I$89,5,0)</f>
        <v>-3.7509835237869992E-13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234.09142087023463</v>
      </c>
      <c r="T152" s="59">
        <f t="shared" si="142"/>
        <v>278.990685815294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0.23111816304064114</v>
      </c>
      <c r="AA152" s="21">
        <f>EXP(-LN(2)/25)*AA151+(1-EXP(-LN(2)/25))/(LN(2)/25)*Calculateur!V152*Calculateur!X152*VLOOKUP('Données projet'!$B$9,Paramètres!$A$1:$I$89,3,0)*0.475*44/12</f>
        <v>0.5662216052970257</v>
      </c>
      <c r="AB152" s="21">
        <f>EXP(-LN(2)/2)*AB151+(1-EXP(-LN(2)/2))/(LN(2)/2)*V152*Y152*VLOOKUP('Données projet'!$B$9,Paramètres!$A$1:$I$89,3,0)*0.475*44/12</f>
        <v>2.7174399517951743E-17</v>
      </c>
      <c r="AC152" s="22">
        <f t="shared" si="111"/>
        <v>0.79733976833766684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-1.2710188457276673E-13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255.5374979188561</v>
      </c>
      <c r="AO152" s="59">
        <f t="shared" si="144"/>
        <v>343.10418468620901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0.29272663139477023</v>
      </c>
      <c r="AV152" s="21">
        <f>EXP(-LN(2)/25)*AV151+(1-EXP(-LN(2)/25))/(LN(2)/25)*Calculateur!AQ152*Calculateur!AS152*VLOOKUP('Données projet'!$B$10,Paramètres!$A$1:$I$89,3,0)*0.475*44/12</f>
        <v>0.58902965335500679</v>
      </c>
      <c r="AW152" s="21">
        <f>EXP(-LN(2)/2)*AW151+(1-EXP(-LN(2)/2))/(LN(2)/2)*AQ152*AT152*VLOOKUP('Données projet'!$B$10,Paramètres!$A$1:$I$89,3,0)*0.475*44/12</f>
        <v>2.0762658321298743E-18</v>
      </c>
      <c r="AX152" s="21">
        <f t="shared" si="114"/>
        <v>0.88175628474977708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4.5</v>
      </c>
      <c r="BD152" s="12">
        <f>IF('Données projet'!$A$88&gt;35,BD151+BC152-BL151,IF(A152&lt;'Données projet'!$A$88,$BA$205^A152,IF(A152='Données projet'!$A$88,'Données projet'!$B$88,BD151+BC152-BL151)))</f>
        <v>410.5000000000004</v>
      </c>
      <c r="BE152" s="13">
        <f>BD152*VLOOKUP('Données projet'!$B$11,Paramètres!$A$1:$I$89,3,0)*VLOOKUP('Données projet'!$B$11,Paramètres!$A$1:$I$89,5,0)</f>
        <v>352.2090000000004</v>
      </c>
      <c r="BF152" s="13">
        <f t="shared" si="145"/>
        <v>82.01720059070972</v>
      </c>
      <c r="BG152" s="20">
        <f t="shared" si="115"/>
        <v>756.27729936215337</v>
      </c>
      <c r="BH152" s="59">
        <f t="shared" si="116"/>
        <v>1049.6106326954866</v>
      </c>
      <c r="BI152" s="59">
        <f ca="1">AVERAGE(OFFSET($BH$3,0,0,'Données projet'!$E$11+1,1))-AVERAGE(OFFSET($H$3,0,0,'Données projet'!$E$11+1,1))</f>
        <v>310.4018929413723</v>
      </c>
      <c r="BJ152" s="59">
        <f t="shared" si="146"/>
        <v>127.5231137583819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0.21728130034564766</v>
      </c>
      <c r="BR152" s="21">
        <f>EXP(-LN(2)/2)*BR151+(1-EXP(-LN(2)/2))/(LN(2)/2)*BL152*BO152*VLOOKUP('Données projet'!$B$11,Paramètres!$A$1:$I$89,3,0)*0.475*44/12</f>
        <v>1.0954222703846362E-17</v>
      </c>
      <c r="BS152" s="22">
        <f t="shared" si="117"/>
        <v>0.21728130034564766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210.04871822652808</v>
      </c>
      <c r="CE152" s="59">
        <f t="shared" si="148"/>
        <v>250.17540614049324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0.69163911433438663</v>
      </c>
      <c r="CL152" s="21">
        <f>EXP(-LN(2)/25)*CL151+(1-EXP(-LN(2)/25))/(LN(2)/25)*Calculateur!CG152*Calculateur!CI152*VLOOKUP('Données projet'!$B$12,Paramètres!$A$1:$I$89,3,0)*0.475*44/12</f>
        <v>1.027120890788658</v>
      </c>
      <c r="CM152" s="21">
        <f>EXP(-LN(2)/2)*CM151+(1-EXP(-LN(2)/2))/(LN(2)/2)*CG152*CJ152*VLOOKUP('Données projet'!$B$12,Paramètres!$A$1:$I$89,3,0)*0.475*44/12</f>
        <v>2.643874856392583E-17</v>
      </c>
      <c r="CN152" s="22">
        <f t="shared" si="120"/>
        <v>1.7187600051230447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-5.1159076974727213E-13</v>
      </c>
      <c r="O153" s="13">
        <f>N153*VLOOKUP('Données projet'!$B$9,Paramètres!$A$1:$I$89,3,0)*VLOOKUP('Données projet'!$B$9,Paramètres!$A$1:$I$89,5,0)</f>
        <v>-3.7509835237869992E-13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234.09142087023463</v>
      </c>
      <c r="T153" s="59">
        <f t="shared" si="142"/>
        <v>278.990685815294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0.22658607683157417</v>
      </c>
      <c r="AA153" s="21">
        <f>EXP(-LN(2)/25)*AA152+(1-EXP(-LN(2)/25))/(LN(2)/25)*Calculateur!V153*Calculateur!X153*VLOOKUP('Données projet'!$B$9,Paramètres!$A$1:$I$89,3,0)*0.475*44/12</f>
        <v>0.55073824572387842</v>
      </c>
      <c r="AB153" s="21">
        <f>EXP(-LN(2)/2)*AB152+(1-EXP(-LN(2)/2))/(LN(2)/2)*V153*Y153*VLOOKUP('Données projet'!$B$9,Paramètres!$A$1:$I$89,3,0)*0.475*44/12</f>
        <v>1.9215202173816128E-17</v>
      </c>
      <c r="AC153" s="22">
        <f t="shared" si="111"/>
        <v>0.77732432255545258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-1.2710188457276673E-13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255.5374979188561</v>
      </c>
      <c r="AO153" s="59">
        <f t="shared" si="144"/>
        <v>343.10418468620901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0.28698644069873402</v>
      </c>
      <c r="AV153" s="21">
        <f>EXP(-LN(2)/25)*AV152+(1-EXP(-LN(2)/25))/(LN(2)/25)*Calculateur!AQ153*Calculateur!AS153*VLOOKUP('Données projet'!$B$10,Paramètres!$A$1:$I$89,3,0)*0.475*44/12</f>
        <v>0.57292260650829085</v>
      </c>
      <c r="AW153" s="21">
        <f>EXP(-LN(2)/2)*AW152+(1-EXP(-LN(2)/2))/(LN(2)/2)*AQ153*AT153*VLOOKUP('Données projet'!$B$10,Paramètres!$A$1:$I$89,3,0)*0.475*44/12</f>
        <v>1.4681416494449641E-18</v>
      </c>
      <c r="AX153" s="21">
        <f t="shared" si="114"/>
        <v>0.85990904720702488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415</v>
      </c>
      <c r="BB153" s="12">
        <f>VLOOKUP(A153,'Données projet'!$A$87:$I$107,9,0)</f>
        <v>4.5</v>
      </c>
      <c r="BC153" s="12">
        <f t="array" ref="BC153">INDEX(BB:BB,MIN(IF(ISNUMBER(BB153:BB349),ROW(BB153:BB349),"")))</f>
        <v>4.5</v>
      </c>
      <c r="BD153" s="12">
        <f>IF('Données projet'!$A$88&gt;35,BD152+BC153-BL152,IF(A153&lt;'Données projet'!$A$88,$BA$205^A153,IF(A153='Données projet'!$A$88,'Données projet'!$B$88,BD152+BC153-BL152)))</f>
        <v>415.0000000000004</v>
      </c>
      <c r="BE153" s="13">
        <f>BD153*VLOOKUP('Données projet'!$B$11,Paramètres!$A$1:$I$89,3,0)*VLOOKUP('Données projet'!$B$11,Paramètres!$A$1:$I$89,5,0)</f>
        <v>356.07000000000039</v>
      </c>
      <c r="BF153" s="13">
        <f t="shared" si="145"/>
        <v>82.811133778450127</v>
      </c>
      <c r="BG153" s="20">
        <f t="shared" si="115"/>
        <v>764.3846413308014</v>
      </c>
      <c r="BH153" s="59">
        <f t="shared" si="116"/>
        <v>1057.7179746641348</v>
      </c>
      <c r="BI153" s="59">
        <f ca="1">AVERAGE(OFFSET($BH$3,0,0,'Données projet'!$E$11+1,1))-AVERAGE(OFFSET($H$3,0,0,'Données projet'!$E$11+1,1))</f>
        <v>310.4018929413723</v>
      </c>
      <c r="BJ153" s="59">
        <f t="shared" si="146"/>
        <v>127.5231137583819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37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0.21133973176136894</v>
      </c>
      <c r="BR153" s="21">
        <f>EXP(-LN(2)/2)*BR152+(1-EXP(-LN(2)/2))/(LN(2)/2)*BL153*BO153*VLOOKUP('Données projet'!$B$11,Paramètres!$A$1:$I$89,3,0)*0.475*44/12</f>
        <v>7.7458051565174006E-18</v>
      </c>
      <c r="BS153" s="22">
        <f t="shared" si="117"/>
        <v>0.21133973176136894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210.04871822652808</v>
      </c>
      <c r="CE153" s="59">
        <f t="shared" si="148"/>
        <v>250.17540614049324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0.67807649316049401</v>
      </c>
      <c r="CL153" s="21">
        <f>EXP(-LN(2)/25)*CL152+(1-EXP(-LN(2)/25))/(LN(2)/25)*Calculateur!CG153*Calculateur!CI153*VLOOKUP('Données projet'!$B$12,Paramètres!$A$1:$I$89,3,0)*0.475*44/12</f>
        <v>0.99903421601610198</v>
      </c>
      <c r="CM153" s="21">
        <f>EXP(-LN(2)/2)*CM152+(1-EXP(-LN(2)/2))/(LN(2)/2)*CG153*CJ153*VLOOKUP('Données projet'!$B$12,Paramètres!$A$1:$I$89,3,0)*0.475*44/12</f>
        <v>1.8695018395638049E-17</v>
      </c>
      <c r="CN153" s="22">
        <f t="shared" si="120"/>
        <v>1.677110709176596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-5.1159076974727213E-13</v>
      </c>
      <c r="O154" s="13">
        <f>N154*VLOOKUP('Données projet'!$B$9,Paramètres!$A$1:$I$89,3,0)*VLOOKUP('Données projet'!$B$9,Paramètres!$A$1:$I$89,5,0)</f>
        <v>-3.7509835237869992E-13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234.09142087023463</v>
      </c>
      <c r="T154" s="59">
        <f t="shared" si="142"/>
        <v>278.990685815294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0.22214286206876738</v>
      </c>
      <c r="AA154" s="21">
        <f>EXP(-LN(2)/25)*AA153+(1-EXP(-LN(2)/25))/(LN(2)/25)*Calculateur!V154*Calculateur!X154*VLOOKUP('Données projet'!$B$9,Paramètres!$A$1:$I$89,3,0)*0.475*44/12</f>
        <v>0.53567827943249335</v>
      </c>
      <c r="AB154" s="21">
        <f>EXP(-LN(2)/2)*AB153+(1-EXP(-LN(2)/2))/(LN(2)/2)*V154*Y154*VLOOKUP('Données projet'!$B$9,Paramètres!$A$1:$I$89,3,0)*0.475*44/12</f>
        <v>1.3587199758975874E-17</v>
      </c>
      <c r="AC154" s="22">
        <f t="shared" ref="AC154:AC203" si="163">SUM(Z154:AB154)</f>
        <v>0.75782114150126079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-1.2710188457276673E-13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255.5374979188561</v>
      </c>
      <c r="AO154" s="59">
        <f t="shared" si="144"/>
        <v>343.10418468620901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0.28135881164107646</v>
      </c>
      <c r="AV154" s="21">
        <f>EXP(-LN(2)/25)*AV153+(1-EXP(-LN(2)/25))/(LN(2)/25)*Calculateur!AQ154*Calculateur!AS154*VLOOKUP('Données projet'!$B$10,Paramètres!$A$1:$I$89,3,0)*0.475*44/12</f>
        <v>0.55725600770463124</v>
      </c>
      <c r="AW154" s="21">
        <f>EXP(-LN(2)/2)*AW153+(1-EXP(-LN(2)/2))/(LN(2)/2)*AQ154*AT154*VLOOKUP('Données projet'!$B$10,Paramètres!$A$1:$I$89,3,0)*0.475*44/12</f>
        <v>1.0381329160649371E-18</v>
      </c>
      <c r="AX154" s="21">
        <f t="shared" ref="AX154:AX203" si="166">SUM(AU154:AW154)</f>
        <v>0.8386148193457077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378.0000000000004</v>
      </c>
      <c r="BE154" s="13">
        <f>BD154*VLOOKUP('Données projet'!$B$11,Paramètres!$A$1:$I$89,3,0)*VLOOKUP('Données projet'!$B$11,Paramètres!$A$1:$I$89,5,0)</f>
        <v>324.32400000000035</v>
      </c>
      <c r="BF154" s="13">
        <f t="shared" ref="BF154:BF203" si="167">EXP(-1.0587+0.8836*LN(BE154)+0.284)</f>
        <v>76.252341944982831</v>
      </c>
      <c r="BG154" s="20">
        <f t="shared" ref="BG154:BG203" si="168">(BE154+BF154)*0.475*44/12</f>
        <v>697.67046222084571</v>
      </c>
      <c r="BH154" s="59">
        <f t="shared" si="116"/>
        <v>991.00379555417908</v>
      </c>
      <c r="BI154" s="59">
        <f ca="1">AVERAGE(OFFSET($BH$3,0,0,'Données projet'!$E$11+1,1))-AVERAGE(OFFSET($H$3,0,0,'Données projet'!$E$11+1,1))</f>
        <v>310.4018929413723</v>
      </c>
      <c r="BJ154" s="59">
        <f t="shared" si="146"/>
        <v>127.5231137583819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0.20556063568248084</v>
      </c>
      <c r="BR154" s="21">
        <f>EXP(-LN(2)/2)*BR153+(1-EXP(-LN(2)/2))/(LN(2)/2)*BL154*BO154*VLOOKUP('Données projet'!$B$11,Paramètres!$A$1:$I$89,3,0)*0.475*44/12</f>
        <v>5.4771113519231811E-18</v>
      </c>
      <c r="BS154" s="22">
        <f t="shared" ref="BS154:BS203" si="169">SUM(BP154:BR154)</f>
        <v>0.20556063568248084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210.04871822652808</v>
      </c>
      <c r="CE154" s="59">
        <f t="shared" si="148"/>
        <v>250.17540614049324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0.66477982671543934</v>
      </c>
      <c r="CL154" s="21">
        <f>EXP(-LN(2)/25)*CL153+(1-EXP(-LN(2)/25))/(LN(2)/25)*Calculateur!CG154*Calculateur!CI154*VLOOKUP('Données projet'!$B$12,Paramètres!$A$1:$I$89,3,0)*0.475*44/12</f>
        <v>0.97171557284221555</v>
      </c>
      <c r="CM154" s="21">
        <f>EXP(-LN(2)/2)*CM153+(1-EXP(-LN(2)/2))/(LN(2)/2)*CG154*CJ154*VLOOKUP('Données projet'!$B$12,Paramètres!$A$1:$I$89,3,0)*0.475*44/12</f>
        <v>1.3219374281962915E-17</v>
      </c>
      <c r="CN154" s="22">
        <f t="shared" ref="CN154:CN203" si="172">SUM(CK154:CM154)</f>
        <v>1.636495399557655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-5.1159076974727213E-13</v>
      </c>
      <c r="O155" s="13">
        <f>N155*VLOOKUP('Données projet'!$B$9,Paramètres!$A$1:$I$89,3,0)*VLOOKUP('Données projet'!$B$9,Paramètres!$A$1:$I$89,5,0)</f>
        <v>-3.7509835237869992E-13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234.09142087023463</v>
      </c>
      <c r="T155" s="59">
        <f t="shared" si="142"/>
        <v>278.990685815294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0.21778677603736582</v>
      </c>
      <c r="AA155" s="21">
        <f>EXP(-LN(2)/25)*AA154+(1-EXP(-LN(2)/25))/(LN(2)/25)*Calculateur!V155*Calculateur!X155*VLOOKUP('Données projet'!$B$9,Paramètres!$A$1:$I$89,3,0)*0.475*44/12</f>
        <v>0.52103012871131538</v>
      </c>
      <c r="AB155" s="21">
        <f>EXP(-LN(2)/2)*AB154+(1-EXP(-LN(2)/2))/(LN(2)/2)*V155*Y155*VLOOKUP('Données projet'!$B$9,Paramètres!$A$1:$I$89,3,0)*0.475*44/12</f>
        <v>9.6076010869080655E-18</v>
      </c>
      <c r="AC155" s="22">
        <f t="shared" si="163"/>
        <v>0.73881690474868122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-1.2710188457276673E-13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255.5374979188561</v>
      </c>
      <c r="AO155" s="59">
        <f t="shared" si="144"/>
        <v>343.10418468620901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0.27584153695672475</v>
      </c>
      <c r="AV155" s="21">
        <f>EXP(-LN(2)/25)*AV154+(1-EXP(-LN(2)/25))/(LN(2)/25)*Calculateur!AQ155*Calculateur!AS155*VLOOKUP('Données projet'!$B$10,Paramètres!$A$1:$I$89,3,0)*0.475*44/12</f>
        <v>0.54201781286912831</v>
      </c>
      <c r="AW155" s="21">
        <f>EXP(-LN(2)/2)*AW154+(1-EXP(-LN(2)/2))/(LN(2)/2)*AQ155*AT155*VLOOKUP('Données projet'!$B$10,Paramètres!$A$1:$I$89,3,0)*0.475*44/12</f>
        <v>7.3407082472248203E-19</v>
      </c>
      <c r="AX155" s="21">
        <f t="shared" si="166"/>
        <v>0.81785934982585307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378.0000000000004</v>
      </c>
      <c r="BE155" s="13">
        <f>BD155*VLOOKUP('Données projet'!$B$11,Paramètres!$A$1:$I$89,3,0)*VLOOKUP('Données projet'!$B$11,Paramètres!$A$1:$I$89,5,0)</f>
        <v>324.32400000000035</v>
      </c>
      <c r="BF155" s="13">
        <f t="shared" si="167"/>
        <v>76.252341944982831</v>
      </c>
      <c r="BG155" s="20">
        <f t="shared" si="168"/>
        <v>697.67046222084571</v>
      </c>
      <c r="BH155" s="59">
        <f t="shared" si="116"/>
        <v>991.00379555417908</v>
      </c>
      <c r="BI155" s="59">
        <f ca="1">AVERAGE(OFFSET($BH$3,0,0,'Données projet'!$E$11+1,1))-AVERAGE(OFFSET($H$3,0,0,'Données projet'!$E$11+1,1))</f>
        <v>310.4018929413723</v>
      </c>
      <c r="BJ155" s="59">
        <f t="shared" si="146"/>
        <v>127.5231137583819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0.19993956928977938</v>
      </c>
      <c r="BR155" s="21">
        <f>EXP(-LN(2)/2)*BR154+(1-EXP(-LN(2)/2))/(LN(2)/2)*BL155*BO155*VLOOKUP('Données projet'!$B$11,Paramètres!$A$1:$I$89,3,0)*0.475*44/12</f>
        <v>3.8729025782587003E-18</v>
      </c>
      <c r="BS155" s="22">
        <f t="shared" si="169"/>
        <v>0.19993956928977938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210.04871822652808</v>
      </c>
      <c r="CE155" s="59">
        <f t="shared" si="148"/>
        <v>250.17540614049324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0.65174389978920644</v>
      </c>
      <c r="CL155" s="21">
        <f>EXP(-LN(2)/25)*CL154+(1-EXP(-LN(2)/25))/(LN(2)/25)*Calculateur!CG155*Calculateur!CI155*VLOOKUP('Données projet'!$B$12,Paramètres!$A$1:$I$89,3,0)*0.475*44/12</f>
        <v>0.94514395940254403</v>
      </c>
      <c r="CM155" s="21">
        <f>EXP(-LN(2)/2)*CM154+(1-EXP(-LN(2)/2))/(LN(2)/2)*CG155*CJ155*VLOOKUP('Données projet'!$B$12,Paramètres!$A$1:$I$89,3,0)*0.475*44/12</f>
        <v>9.3475091978190246E-18</v>
      </c>
      <c r="CN155" s="22">
        <f t="shared" si="172"/>
        <v>1.5968878591917504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-5.1159076974727213E-13</v>
      </c>
      <c r="O156" s="13">
        <f>N156*VLOOKUP('Données projet'!$B$9,Paramètres!$A$1:$I$89,3,0)*VLOOKUP('Données projet'!$B$9,Paramètres!$A$1:$I$89,5,0)</f>
        <v>-3.7509835237869992E-13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234.09142087023463</v>
      </c>
      <c r="T156" s="59">
        <f t="shared" si="142"/>
        <v>278.990685815294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0.2135161101960899</v>
      </c>
      <c r="AA156" s="21">
        <f>EXP(-LN(2)/25)*AA155+(1-EXP(-LN(2)/25))/(LN(2)/25)*Calculateur!V156*Calculateur!X156*VLOOKUP('Données projet'!$B$9,Paramètres!$A$1:$I$89,3,0)*0.475*44/12</f>
        <v>0.50678253244192084</v>
      </c>
      <c r="AB156" s="21">
        <f>EXP(-LN(2)/2)*AB155+(1-EXP(-LN(2)/2))/(LN(2)/2)*V156*Y156*VLOOKUP('Données projet'!$B$9,Paramètres!$A$1:$I$89,3,0)*0.475*44/12</f>
        <v>6.793599879487938E-18</v>
      </c>
      <c r="AC156" s="22">
        <f t="shared" si="163"/>
        <v>0.72029864263801069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-1.2710188457276673E-13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255.5374979188561</v>
      </c>
      <c r="AO156" s="59">
        <f t="shared" si="144"/>
        <v>343.10418468620901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0.27043245266372795</v>
      </c>
      <c r="AV156" s="21">
        <f>EXP(-LN(2)/25)*AV155+(1-EXP(-LN(2)/25))/(LN(2)/25)*Calculateur!AQ156*Calculateur!AS156*VLOOKUP('Données projet'!$B$10,Paramètres!$A$1:$I$89,3,0)*0.475*44/12</f>
        <v>0.52719630727274402</v>
      </c>
      <c r="AW156" s="21">
        <f>EXP(-LN(2)/2)*AW155+(1-EXP(-LN(2)/2))/(LN(2)/2)*AQ156*AT156*VLOOKUP('Données projet'!$B$10,Paramètres!$A$1:$I$89,3,0)*0.475*44/12</f>
        <v>5.1906645803246857E-19</v>
      </c>
      <c r="AX156" s="21">
        <f t="shared" si="166"/>
        <v>0.79762875993647198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378.0000000000004</v>
      </c>
      <c r="BE156" s="13">
        <f>BD156*VLOOKUP('Données projet'!$B$11,Paramètres!$A$1:$I$89,3,0)*VLOOKUP('Données projet'!$B$11,Paramètres!$A$1:$I$89,5,0)</f>
        <v>324.32400000000035</v>
      </c>
      <c r="BF156" s="13">
        <f t="shared" si="167"/>
        <v>76.252341944982831</v>
      </c>
      <c r="BG156" s="20">
        <f t="shared" si="168"/>
        <v>697.67046222084571</v>
      </c>
      <c r="BH156" s="59">
        <f t="shared" si="116"/>
        <v>991.00379555417908</v>
      </c>
      <c r="BI156" s="59">
        <f ca="1">AVERAGE(OFFSET($BH$3,0,0,'Données projet'!$E$11+1,1))-AVERAGE(OFFSET($H$3,0,0,'Données projet'!$E$11+1,1))</f>
        <v>310.4018929413723</v>
      </c>
      <c r="BJ156" s="59">
        <f t="shared" si="146"/>
        <v>127.5231137583819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0.19447221125318537</v>
      </c>
      <c r="BR156" s="21">
        <f>EXP(-LN(2)/2)*BR155+(1-EXP(-LN(2)/2))/(LN(2)/2)*BL156*BO156*VLOOKUP('Données projet'!$B$11,Paramètres!$A$1:$I$89,3,0)*0.475*44/12</f>
        <v>2.7385556759615906E-18</v>
      </c>
      <c r="BS156" s="22">
        <f t="shared" si="169"/>
        <v>0.19447221125318537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210.04871822652808</v>
      </c>
      <c r="CE156" s="59">
        <f t="shared" si="148"/>
        <v>250.17540614049324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0.63896359943886671</v>
      </c>
      <c r="CL156" s="21">
        <f>EXP(-LN(2)/25)*CL155+(1-EXP(-LN(2)/25))/(LN(2)/25)*Calculateur!CG156*Calculateur!CI156*VLOOKUP('Données projet'!$B$12,Paramètres!$A$1:$I$89,3,0)*0.475*44/12</f>
        <v>0.91929894812972079</v>
      </c>
      <c r="CM156" s="21">
        <f>EXP(-LN(2)/2)*CM155+(1-EXP(-LN(2)/2))/(LN(2)/2)*CG156*CJ156*VLOOKUP('Données projet'!$B$12,Paramètres!$A$1:$I$89,3,0)*0.475*44/12</f>
        <v>6.6096871409814575E-18</v>
      </c>
      <c r="CN156" s="22">
        <f t="shared" si="172"/>
        <v>1.5582625475685874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-5.1159076974727213E-13</v>
      </c>
      <c r="O157" s="13">
        <f>N157*VLOOKUP('Données projet'!$B$9,Paramètres!$A$1:$I$89,3,0)*VLOOKUP('Données projet'!$B$9,Paramètres!$A$1:$I$89,5,0)</f>
        <v>-3.7509835237869992E-13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234.09142087023463</v>
      </c>
      <c r="T157" s="59">
        <f t="shared" si="142"/>
        <v>278.990685815294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0.20932918950711246</v>
      </c>
      <c r="AA157" s="21">
        <f>EXP(-LN(2)/25)*AA156+(1-EXP(-LN(2)/25))/(LN(2)/25)*Calculateur!V157*Calculateur!X157*VLOOKUP('Données projet'!$B$9,Paramètres!$A$1:$I$89,3,0)*0.475*44/12</f>
        <v>0.4929245374417614</v>
      </c>
      <c r="AB157" s="21">
        <f>EXP(-LN(2)/2)*AB156+(1-EXP(-LN(2)/2))/(LN(2)/2)*V157*Y157*VLOOKUP('Données projet'!$B$9,Paramètres!$A$1:$I$89,3,0)*0.475*44/12</f>
        <v>4.8038005434540335E-18</v>
      </c>
      <c r="AC157" s="22">
        <f t="shared" si="163"/>
        <v>0.70225372694887389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-1.2710188457276673E-13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255.5374979188561</v>
      </c>
      <c r="AO157" s="59">
        <f t="shared" si="144"/>
        <v>343.10418468620901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0.26512943721450116</v>
      </c>
      <c r="AV157" s="21">
        <f>EXP(-LN(2)/25)*AV156+(1-EXP(-LN(2)/25))/(LN(2)/25)*Calculateur!AQ157*Calculateur!AS157*VLOOKUP('Données projet'!$B$10,Paramètres!$A$1:$I$89,3,0)*0.475*44/12</f>
        <v>0.51278009652632195</v>
      </c>
      <c r="AW157" s="21">
        <f>EXP(-LN(2)/2)*AW156+(1-EXP(-LN(2)/2))/(LN(2)/2)*AQ157*AT157*VLOOKUP('Données projet'!$B$10,Paramètres!$A$1:$I$89,3,0)*0.475*44/12</f>
        <v>3.6703541236124101E-19</v>
      </c>
      <c r="AX157" s="21">
        <f t="shared" si="166"/>
        <v>0.77790953374082306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378.0000000000004</v>
      </c>
      <c r="BE157" s="13">
        <f>BD157*VLOOKUP('Données projet'!$B$11,Paramètres!$A$1:$I$89,3,0)*VLOOKUP('Données projet'!$B$11,Paramètres!$A$1:$I$89,5,0)</f>
        <v>324.32400000000035</v>
      </c>
      <c r="BF157" s="13">
        <f t="shared" si="167"/>
        <v>76.252341944982831</v>
      </c>
      <c r="BG157" s="20">
        <f t="shared" si="168"/>
        <v>697.67046222084571</v>
      </c>
      <c r="BH157" s="59">
        <f t="shared" si="116"/>
        <v>991.00379555417908</v>
      </c>
      <c r="BI157" s="59">
        <f ca="1">AVERAGE(OFFSET($BH$3,0,0,'Données projet'!$E$11+1,1))-AVERAGE(OFFSET($H$3,0,0,'Données projet'!$E$11+1,1))</f>
        <v>310.4018929413723</v>
      </c>
      <c r="BJ157" s="59">
        <f t="shared" si="146"/>
        <v>127.5231137583819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0.18915435840961789</v>
      </c>
      <c r="BR157" s="21">
        <f>EXP(-LN(2)/2)*BR156+(1-EXP(-LN(2)/2))/(LN(2)/2)*BL157*BO157*VLOOKUP('Données projet'!$B$11,Paramètres!$A$1:$I$89,3,0)*0.475*44/12</f>
        <v>1.9364512891293502E-18</v>
      </c>
      <c r="BS157" s="22">
        <f t="shared" si="169"/>
        <v>0.18915435840961789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210.04871822652808</v>
      </c>
      <c r="CE157" s="59">
        <f t="shared" si="148"/>
        <v>250.17540614049324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0.62643391298318363</v>
      </c>
      <c r="CL157" s="21">
        <f>EXP(-LN(2)/25)*CL156+(1-EXP(-LN(2)/25))/(LN(2)/25)*Calculateur!CG157*Calculateur!CI157*VLOOKUP('Données projet'!$B$12,Paramètres!$A$1:$I$89,3,0)*0.475*44/12</f>
        <v>0.89416067004928301</v>
      </c>
      <c r="CM157" s="21">
        <f>EXP(-LN(2)/2)*CM156+(1-EXP(-LN(2)/2))/(LN(2)/2)*CG157*CJ157*VLOOKUP('Données projet'!$B$12,Paramètres!$A$1:$I$89,3,0)*0.475*44/12</f>
        <v>4.6737545989095123E-18</v>
      </c>
      <c r="CN157" s="22">
        <f t="shared" si="172"/>
        <v>1.5205945830324668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-5.1159076974727213E-13</v>
      </c>
      <c r="O158" s="13">
        <f>N158*VLOOKUP('Données projet'!$B$9,Paramètres!$A$1:$I$89,3,0)*VLOOKUP('Données projet'!$B$9,Paramètres!$A$1:$I$89,5,0)</f>
        <v>-3.7509835237869992E-13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234.09142087023463</v>
      </c>
      <c r="T158" s="59">
        <f t="shared" si="142"/>
        <v>278.990685815294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0.2052243717790764</v>
      </c>
      <c r="AA158" s="21">
        <f>EXP(-LN(2)/25)*AA157+(1-EXP(-LN(2)/25))/(LN(2)/25)*Calculateur!V158*Calculateur!X158*VLOOKUP('Données projet'!$B$9,Paramètres!$A$1:$I$89,3,0)*0.475*44/12</f>
        <v>0.47944549004364162</v>
      </c>
      <c r="AB158" s="21">
        <f>EXP(-LN(2)/2)*AB157+(1-EXP(-LN(2)/2))/(LN(2)/2)*V158*Y158*VLOOKUP('Données projet'!$B$9,Paramètres!$A$1:$I$89,3,0)*0.475*44/12</f>
        <v>3.3967999397439698E-18</v>
      </c>
      <c r="AC158" s="22">
        <f t="shared" si="163"/>
        <v>0.68466986182271805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-1.2710188457276673E-13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255.5374979188561</v>
      </c>
      <c r="AO158" s="59">
        <f t="shared" si="144"/>
        <v>343.10418468620901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0.25993041066371364</v>
      </c>
      <c r="AV158" s="21">
        <f>EXP(-LN(2)/25)*AV157+(1-EXP(-LN(2)/25))/(LN(2)/25)*Calculateur!AQ158*Calculateur!AS158*VLOOKUP('Données projet'!$B$10,Paramètres!$A$1:$I$89,3,0)*0.475*44/12</f>
        <v>0.49875809782087638</v>
      </c>
      <c r="AW158" s="21">
        <f>EXP(-LN(2)/2)*AW157+(1-EXP(-LN(2)/2))/(LN(2)/2)*AQ158*AT158*VLOOKUP('Données projet'!$B$10,Paramètres!$A$1:$I$89,3,0)*0.475*44/12</f>
        <v>2.5953322901623428E-19</v>
      </c>
      <c r="AX158" s="21">
        <f t="shared" si="166"/>
        <v>0.75868850848459002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378.0000000000004</v>
      </c>
      <c r="BE158" s="13">
        <f>BD158*VLOOKUP('Données projet'!$B$11,Paramètres!$A$1:$I$89,3,0)*VLOOKUP('Données projet'!$B$11,Paramètres!$A$1:$I$89,5,0)</f>
        <v>324.32400000000035</v>
      </c>
      <c r="BF158" s="13">
        <f t="shared" si="167"/>
        <v>76.252341944982831</v>
      </c>
      <c r="BG158" s="20">
        <f t="shared" si="168"/>
        <v>697.67046222084571</v>
      </c>
      <c r="BH158" s="59">
        <f t="shared" si="116"/>
        <v>991.00379555417908</v>
      </c>
      <c r="BI158" s="59">
        <f ca="1">AVERAGE(OFFSET($BH$3,0,0,'Données projet'!$E$11+1,1))-AVERAGE(OFFSET($H$3,0,0,'Données projet'!$E$11+1,1))</f>
        <v>310.4018929413723</v>
      </c>
      <c r="BJ158" s="59">
        <f t="shared" si="146"/>
        <v>127.5231137583819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0.1839819225317115</v>
      </c>
      <c r="BR158" s="21">
        <f>EXP(-LN(2)/2)*BR157+(1-EXP(-LN(2)/2))/(LN(2)/2)*BL158*BO158*VLOOKUP('Données projet'!$B$11,Paramètres!$A$1:$I$89,3,0)*0.475*44/12</f>
        <v>1.3692778379807953E-18</v>
      </c>
      <c r="BS158" s="22">
        <f t="shared" si="169"/>
        <v>0.1839819225317115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210.04871822652808</v>
      </c>
      <c r="CE158" s="59">
        <f t="shared" si="148"/>
        <v>250.17540614049324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0.61414992603654239</v>
      </c>
      <c r="CL158" s="21">
        <f>EXP(-LN(2)/25)*CL157+(1-EXP(-LN(2)/25))/(LN(2)/25)*Calculateur!CG158*Calculateur!CI158*VLOOKUP('Données projet'!$B$12,Paramètres!$A$1:$I$89,3,0)*0.475*44/12</f>
        <v>0.86970979950491933</v>
      </c>
      <c r="CM158" s="21">
        <f>EXP(-LN(2)/2)*CM157+(1-EXP(-LN(2)/2))/(LN(2)/2)*CG158*CJ158*VLOOKUP('Données projet'!$B$12,Paramètres!$A$1:$I$89,3,0)*0.475*44/12</f>
        <v>3.3048435704907287E-18</v>
      </c>
      <c r="CN158" s="22">
        <f t="shared" si="172"/>
        <v>1.4838597255414618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-5.1159076974727213E-13</v>
      </c>
      <c r="O159" s="13">
        <f>N159*VLOOKUP('Données projet'!$B$9,Paramètres!$A$1:$I$89,3,0)*VLOOKUP('Données projet'!$B$9,Paramètres!$A$1:$I$89,5,0)</f>
        <v>-3.7509835237869992E-13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234.09142087023463</v>
      </c>
      <c r="T159" s="59">
        <f t="shared" si="142"/>
        <v>278.990685815294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0.20120004702299554</v>
      </c>
      <c r="AA159" s="21">
        <f>EXP(-LN(2)/25)*AA158+(1-EXP(-LN(2)/25))/(LN(2)/25)*Calculateur!V159*Calculateur!X159*VLOOKUP('Données projet'!$B$9,Paramètres!$A$1:$I$89,3,0)*0.475*44/12</f>
        <v>0.46633502790545572</v>
      </c>
      <c r="AB159" s="21">
        <f>EXP(-LN(2)/2)*AB158+(1-EXP(-LN(2)/2))/(LN(2)/2)*V159*Y159*VLOOKUP('Données projet'!$B$9,Paramètres!$A$1:$I$89,3,0)*0.475*44/12</f>
        <v>2.4019002717270171E-18</v>
      </c>
      <c r="AC159" s="22">
        <f t="shared" si="163"/>
        <v>0.66753507492845121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-1.2710188457276673E-13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255.5374979188561</v>
      </c>
      <c r="AO159" s="59">
        <f t="shared" si="144"/>
        <v>343.10418468620901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0.25483333385249402</v>
      </c>
      <c r="AV159" s="21">
        <f>EXP(-LN(2)/25)*AV158+(1-EXP(-LN(2)/25))/(LN(2)/25)*Calculateur!AQ159*Calculateur!AS159*VLOOKUP('Données projet'!$B$10,Paramètres!$A$1:$I$89,3,0)*0.475*44/12</f>
        <v>0.48511953140741609</v>
      </c>
      <c r="AW159" s="21">
        <f>EXP(-LN(2)/2)*AW158+(1-EXP(-LN(2)/2))/(LN(2)/2)*AQ159*AT159*VLOOKUP('Données projet'!$B$10,Paramètres!$A$1:$I$89,3,0)*0.475*44/12</f>
        <v>1.8351770618062051E-19</v>
      </c>
      <c r="AX159" s="21">
        <f t="shared" si="166"/>
        <v>0.73995286525991011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378.0000000000004</v>
      </c>
      <c r="BE159" s="13">
        <f>BD159*VLOOKUP('Données projet'!$B$11,Paramètres!$A$1:$I$89,3,0)*VLOOKUP('Données projet'!$B$11,Paramètres!$A$1:$I$89,5,0)</f>
        <v>324.32400000000035</v>
      </c>
      <c r="BF159" s="13">
        <f t="shared" si="167"/>
        <v>76.252341944982831</v>
      </c>
      <c r="BG159" s="20">
        <f t="shared" si="168"/>
        <v>697.67046222084571</v>
      </c>
      <c r="BH159" s="59">
        <f t="shared" si="116"/>
        <v>991.00379555417908</v>
      </c>
      <c r="BI159" s="59">
        <f ca="1">AVERAGE(OFFSET($BH$3,0,0,'Données projet'!$E$11+1,1))-AVERAGE(OFFSET($H$3,0,0,'Données projet'!$E$11+1,1))</f>
        <v>310.4018929413723</v>
      </c>
      <c r="BJ159" s="59">
        <f t="shared" si="146"/>
        <v>127.5231137583819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0.17895092718489303</v>
      </c>
      <c r="BR159" s="21">
        <f>EXP(-LN(2)/2)*BR158+(1-EXP(-LN(2)/2))/(LN(2)/2)*BL159*BO159*VLOOKUP('Données projet'!$B$11,Paramètres!$A$1:$I$89,3,0)*0.475*44/12</f>
        <v>9.6822564456467508E-19</v>
      </c>
      <c r="BS159" s="22">
        <f t="shared" si="169"/>
        <v>0.17895092718489303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210.04871822652808</v>
      </c>
      <c r="CE159" s="59">
        <f t="shared" si="148"/>
        <v>250.17540614049324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0.6021068205814325</v>
      </c>
      <c r="CL159" s="21">
        <f>EXP(-LN(2)/25)*CL158+(1-EXP(-LN(2)/25))/(LN(2)/25)*Calculateur!CG159*Calculateur!CI159*VLOOKUP('Données projet'!$B$12,Paramètres!$A$1:$I$89,3,0)*0.475*44/12</f>
        <v>0.84592753930140674</v>
      </c>
      <c r="CM159" s="21">
        <f>EXP(-LN(2)/2)*CM158+(1-EXP(-LN(2)/2))/(LN(2)/2)*CG159*CJ159*VLOOKUP('Données projet'!$B$12,Paramètres!$A$1:$I$89,3,0)*0.475*44/12</f>
        <v>2.3368772994547561E-18</v>
      </c>
      <c r="CN159" s="22">
        <f t="shared" si="172"/>
        <v>1.4480343598828394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-5.1159076974727213E-13</v>
      </c>
      <c r="O160" s="13">
        <f>N160*VLOOKUP('Données projet'!$B$9,Paramètres!$A$1:$I$89,3,0)*VLOOKUP('Données projet'!$B$9,Paramètres!$A$1:$I$89,5,0)</f>
        <v>-3.7509835237869992E-13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234.09142087023463</v>
      </c>
      <c r="T160" s="59">
        <f t="shared" si="142"/>
        <v>278.990685815294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0.1972546368207857</v>
      </c>
      <c r="AA160" s="21">
        <f>EXP(-LN(2)/25)*AA159+(1-EXP(-LN(2)/25))/(LN(2)/25)*Calculateur!V160*Calculateur!X160*VLOOKUP('Données projet'!$B$9,Paramètres!$A$1:$I$89,3,0)*0.475*44/12</f>
        <v>0.45358307204388776</v>
      </c>
      <c r="AB160" s="21">
        <f>EXP(-LN(2)/2)*AB159+(1-EXP(-LN(2)/2))/(LN(2)/2)*V160*Y160*VLOOKUP('Données projet'!$B$9,Paramètres!$A$1:$I$89,3,0)*0.475*44/12</f>
        <v>1.6983999698719851E-18</v>
      </c>
      <c r="AC160" s="22">
        <f t="shared" si="163"/>
        <v>0.65083770886467351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-1.2710188457276673E-13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255.5374979188561</v>
      </c>
      <c r="AO160" s="59">
        <f t="shared" si="144"/>
        <v>343.10418468620901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0.24983620760863254</v>
      </c>
      <c r="AV160" s="21">
        <f>EXP(-LN(2)/25)*AV159+(1-EXP(-LN(2)/25))/(LN(2)/25)*Calculateur!AQ160*Calculateur!AS160*VLOOKUP('Données projet'!$B$10,Paramètres!$A$1:$I$89,3,0)*0.475*44/12</f>
        <v>0.47185391230975288</v>
      </c>
      <c r="AW160" s="21">
        <f>EXP(-LN(2)/2)*AW159+(1-EXP(-LN(2)/2))/(LN(2)/2)*AQ160*AT160*VLOOKUP('Données projet'!$B$10,Paramètres!$A$1:$I$89,3,0)*0.475*44/12</f>
        <v>1.2976661450811714E-19</v>
      </c>
      <c r="AX160" s="21">
        <f t="shared" si="166"/>
        <v>0.72169011991838539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378.0000000000004</v>
      </c>
      <c r="BE160" s="13">
        <f>BD160*VLOOKUP('Données projet'!$B$11,Paramètres!$A$1:$I$89,3,0)*VLOOKUP('Données projet'!$B$11,Paramètres!$A$1:$I$89,5,0)</f>
        <v>324.32400000000035</v>
      </c>
      <c r="BF160" s="13">
        <f t="shared" si="167"/>
        <v>76.252341944982831</v>
      </c>
      <c r="BG160" s="20">
        <f t="shared" si="168"/>
        <v>697.67046222084571</v>
      </c>
      <c r="BH160" s="59">
        <f t="shared" si="116"/>
        <v>991.00379555417908</v>
      </c>
      <c r="BI160" s="59">
        <f ca="1">AVERAGE(OFFSET($BH$3,0,0,'Données projet'!$E$11+1,1))-AVERAGE(OFFSET($H$3,0,0,'Données projet'!$E$11+1,1))</f>
        <v>310.4018929413723</v>
      </c>
      <c r="BJ160" s="59">
        <f t="shared" si="146"/>
        <v>127.5231137583819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0.17405750467040187</v>
      </c>
      <c r="BR160" s="21">
        <f>EXP(-LN(2)/2)*BR159+(1-EXP(-LN(2)/2))/(LN(2)/2)*BL160*BO160*VLOOKUP('Données projet'!$B$11,Paramètres!$A$1:$I$89,3,0)*0.475*44/12</f>
        <v>6.8463891899039764E-19</v>
      </c>
      <c r="BS160" s="22">
        <f t="shared" si="169"/>
        <v>0.17405750467040187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210.04871822652808</v>
      </c>
      <c r="CE160" s="59">
        <f t="shared" si="148"/>
        <v>250.17540614049324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0.59029987307872833</v>
      </c>
      <c r="CL160" s="21">
        <f>EXP(-LN(2)/25)*CL159+(1-EXP(-LN(2)/25))/(LN(2)/25)*Calculateur!CG160*Calculateur!CI160*VLOOKUP('Données projet'!$B$12,Paramètres!$A$1:$I$89,3,0)*0.475*44/12</f>
        <v>0.82279560625381387</v>
      </c>
      <c r="CM160" s="21">
        <f>EXP(-LN(2)/2)*CM159+(1-EXP(-LN(2)/2))/(LN(2)/2)*CG160*CJ160*VLOOKUP('Données projet'!$B$12,Paramètres!$A$1:$I$89,3,0)*0.475*44/12</f>
        <v>1.6524217852453644E-18</v>
      </c>
      <c r="CN160" s="22">
        <f t="shared" si="172"/>
        <v>1.4130954793325423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-5.1159076974727213E-13</v>
      </c>
      <c r="O161" s="13">
        <f>N161*VLOOKUP('Données projet'!$B$9,Paramètres!$A$1:$I$89,3,0)*VLOOKUP('Données projet'!$B$9,Paramètres!$A$1:$I$89,5,0)</f>
        <v>-3.7509835237869992E-13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234.09142087023463</v>
      </c>
      <c r="T161" s="59">
        <f t="shared" si="142"/>
        <v>278.990685815294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0.19338659370617858</v>
      </c>
      <c r="AA161" s="21">
        <f>EXP(-LN(2)/25)*AA160+(1-EXP(-LN(2)/25))/(LN(2)/25)*Calculateur!V161*Calculateur!X161*VLOOKUP('Données projet'!$B$9,Paramètres!$A$1:$I$89,3,0)*0.475*44/12</f>
        <v>0.44117981908595055</v>
      </c>
      <c r="AB161" s="21">
        <f>EXP(-LN(2)/2)*AB160+(1-EXP(-LN(2)/2))/(LN(2)/2)*V161*Y161*VLOOKUP('Données projet'!$B$9,Paramètres!$A$1:$I$89,3,0)*0.475*44/12</f>
        <v>1.2009501358635088E-18</v>
      </c>
      <c r="AC161" s="22">
        <f t="shared" si="163"/>
        <v>0.63456641279212911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-1.2710188457276673E-13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255.5374979188561</v>
      </c>
      <c r="AO161" s="59">
        <f t="shared" si="144"/>
        <v>343.10418468620901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0.24493707196246711</v>
      </c>
      <c r="AV161" s="21">
        <f>EXP(-LN(2)/25)*AV160+(1-EXP(-LN(2)/25))/(LN(2)/25)*Calculateur!AQ161*Calculateur!AS161*VLOOKUP('Données projet'!$B$10,Paramètres!$A$1:$I$89,3,0)*0.475*44/12</f>
        <v>0.45895104226392386</v>
      </c>
      <c r="AW161" s="21">
        <f>EXP(-LN(2)/2)*AW160+(1-EXP(-LN(2)/2))/(LN(2)/2)*AQ161*AT161*VLOOKUP('Données projet'!$B$10,Paramètres!$A$1:$I$89,3,0)*0.475*44/12</f>
        <v>9.1758853090310253E-20</v>
      </c>
      <c r="AX161" s="21">
        <f t="shared" si="166"/>
        <v>0.70388811422639097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378.0000000000004</v>
      </c>
      <c r="BE161" s="13">
        <f>BD161*VLOOKUP('Données projet'!$B$11,Paramètres!$A$1:$I$89,3,0)*VLOOKUP('Données projet'!$B$11,Paramètres!$A$1:$I$89,5,0)</f>
        <v>324.32400000000035</v>
      </c>
      <c r="BF161" s="13">
        <f t="shared" si="167"/>
        <v>76.252341944982831</v>
      </c>
      <c r="BG161" s="20">
        <f t="shared" si="168"/>
        <v>697.67046222084571</v>
      </c>
      <c r="BH161" s="59">
        <f t="shared" si="116"/>
        <v>991.00379555417908</v>
      </c>
      <c r="BI161" s="59">
        <f ca="1">AVERAGE(OFFSET($BH$3,0,0,'Données projet'!$E$11+1,1))-AVERAGE(OFFSET($H$3,0,0,'Données projet'!$E$11+1,1))</f>
        <v>310.4018929413723</v>
      </c>
      <c r="BJ161" s="59">
        <f t="shared" si="146"/>
        <v>127.5231137583819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0.16929789305190338</v>
      </c>
      <c r="BR161" s="21">
        <f>EXP(-LN(2)/2)*BR160+(1-EXP(-LN(2)/2))/(LN(2)/2)*BL161*BO161*VLOOKUP('Données projet'!$B$11,Paramètres!$A$1:$I$89,3,0)*0.475*44/12</f>
        <v>4.8411282228233754E-19</v>
      </c>
      <c r="BS161" s="22">
        <f t="shared" si="169"/>
        <v>0.16929789305190338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210.04871822652808</v>
      </c>
      <c r="CE161" s="59">
        <f t="shared" si="148"/>
        <v>250.17540614049324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0.57872445261502536</v>
      </c>
      <c r="CL161" s="21">
        <f>EXP(-LN(2)/25)*CL160+(1-EXP(-LN(2)/25))/(LN(2)/25)*Calculateur!CG161*Calculateur!CI161*VLOOKUP('Données projet'!$B$12,Paramètres!$A$1:$I$89,3,0)*0.475*44/12</f>
        <v>0.80029621713186294</v>
      </c>
      <c r="CM161" s="21">
        <f>EXP(-LN(2)/2)*CM160+(1-EXP(-LN(2)/2))/(LN(2)/2)*CG161*CJ161*VLOOKUP('Données projet'!$B$12,Paramètres!$A$1:$I$89,3,0)*0.475*44/12</f>
        <v>1.1684386497273781E-18</v>
      </c>
      <c r="CN161" s="22">
        <f t="shared" si="172"/>
        <v>1.3790206697468883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-5.1159076974727213E-13</v>
      </c>
      <c r="O162" s="13">
        <f>N162*VLOOKUP('Données projet'!$B$9,Paramètres!$A$1:$I$89,3,0)*VLOOKUP('Données projet'!$B$9,Paramètres!$A$1:$I$89,5,0)</f>
        <v>-3.7509835237869992E-13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234.09142087023463</v>
      </c>
      <c r="T162" s="59">
        <f t="shared" si="142"/>
        <v>278.990685815294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0.18959440055777557</v>
      </c>
      <c r="AA162" s="21">
        <f>EXP(-LN(2)/25)*AA161+(1-EXP(-LN(2)/25))/(LN(2)/25)*Calculateur!V162*Calculateur!X162*VLOOKUP('Données projet'!$B$9,Paramètres!$A$1:$I$89,3,0)*0.475*44/12</f>
        <v>0.42911573373240686</v>
      </c>
      <c r="AB162" s="21">
        <f>EXP(-LN(2)/2)*AB161+(1-EXP(-LN(2)/2))/(LN(2)/2)*V162*Y162*VLOOKUP('Données projet'!$B$9,Paramètres!$A$1:$I$89,3,0)*0.475*44/12</f>
        <v>8.4919998493599263E-19</v>
      </c>
      <c r="AC162" s="22">
        <f t="shared" si="163"/>
        <v>0.6187101342901824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-1.2710188457276673E-13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255.5374979188561</v>
      </c>
      <c r="AO162" s="59">
        <f t="shared" si="144"/>
        <v>343.10418468620901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0.2401340053781453</v>
      </c>
      <c r="AV162" s="21">
        <f>EXP(-LN(2)/25)*AV161+(1-EXP(-LN(2)/25))/(LN(2)/25)*Calculateur!AQ162*Calculateur!AS162*VLOOKUP('Données projet'!$B$10,Paramètres!$A$1:$I$89,3,0)*0.475*44/12</f>
        <v>0.4464010018780305</v>
      </c>
      <c r="AW162" s="21">
        <f>EXP(-LN(2)/2)*AW161+(1-EXP(-LN(2)/2))/(LN(2)/2)*AQ162*AT162*VLOOKUP('Données projet'!$B$10,Paramètres!$A$1:$I$89,3,0)*0.475*44/12</f>
        <v>6.4883307254058571E-20</v>
      </c>
      <c r="AX162" s="21">
        <f t="shared" si="166"/>
        <v>0.68653500725617578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378.0000000000004</v>
      </c>
      <c r="BE162" s="13">
        <f>BD162*VLOOKUP('Données projet'!$B$11,Paramètres!$A$1:$I$89,3,0)*VLOOKUP('Données projet'!$B$11,Paramètres!$A$1:$I$89,5,0)</f>
        <v>324.32400000000035</v>
      </c>
      <c r="BF162" s="13">
        <f t="shared" si="167"/>
        <v>76.252341944982831</v>
      </c>
      <c r="BG162" s="20">
        <f t="shared" si="168"/>
        <v>697.67046222084571</v>
      </c>
      <c r="BH162" s="59">
        <f t="shared" si="116"/>
        <v>991.00379555417908</v>
      </c>
      <c r="BI162" s="59">
        <f ca="1">AVERAGE(OFFSET($BH$3,0,0,'Données projet'!$E$11+1,1))-AVERAGE(OFFSET($H$3,0,0,'Données projet'!$E$11+1,1))</f>
        <v>310.4018929413723</v>
      </c>
      <c r="BJ162" s="59">
        <f t="shared" si="146"/>
        <v>127.5231137583819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0.16466843326340982</v>
      </c>
      <c r="BR162" s="21">
        <f>EXP(-LN(2)/2)*BR161+(1-EXP(-LN(2)/2))/(LN(2)/2)*BL162*BO162*VLOOKUP('Données projet'!$B$11,Paramètres!$A$1:$I$89,3,0)*0.475*44/12</f>
        <v>3.4231945949519882E-19</v>
      </c>
      <c r="BS162" s="22">
        <f t="shared" si="169"/>
        <v>0.16466843326340982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210.04871822652808</v>
      </c>
      <c r="CE162" s="59">
        <f t="shared" si="148"/>
        <v>250.17540614049324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0.56737601908630619</v>
      </c>
      <c r="CL162" s="21">
        <f>EXP(-LN(2)/25)*CL161+(1-EXP(-LN(2)/25))/(LN(2)/25)*Calculateur!CG162*Calculateur!CI162*VLOOKUP('Données projet'!$B$12,Paramètres!$A$1:$I$89,3,0)*0.475*44/12</f>
        <v>0.77841207498864318</v>
      </c>
      <c r="CM162" s="21">
        <f>EXP(-LN(2)/2)*CM161+(1-EXP(-LN(2)/2))/(LN(2)/2)*CG162*CJ162*VLOOKUP('Données projet'!$B$12,Paramètres!$A$1:$I$89,3,0)*0.475*44/12</f>
        <v>8.2621089262268218E-19</v>
      </c>
      <c r="CN162" s="22">
        <f t="shared" si="172"/>
        <v>1.3457880940749494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-5.1159076974727213E-13</v>
      </c>
      <c r="O163" s="13">
        <f>N163*VLOOKUP('Données projet'!$B$9,Paramètres!$A$1:$I$89,3,0)*VLOOKUP('Données projet'!$B$9,Paramètres!$A$1:$I$89,5,0)</f>
        <v>-3.7509835237869992E-13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234.09142087023463</v>
      </c>
      <c r="T163" s="59">
        <f t="shared" si="142"/>
        <v>278.990685815294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0.18587657000400332</v>
      </c>
      <c r="AA163" s="21">
        <f>EXP(-LN(2)/25)*AA162+(1-EXP(-LN(2)/25))/(LN(2)/25)*Calculateur!V163*Calculateur!X163*VLOOKUP('Données projet'!$B$9,Paramètres!$A$1:$I$89,3,0)*0.475*44/12</f>
        <v>0.41738154142727851</v>
      </c>
      <c r="AB163" s="21">
        <f>EXP(-LN(2)/2)*AB162+(1-EXP(-LN(2)/2))/(LN(2)/2)*V163*Y163*VLOOKUP('Données projet'!$B$9,Paramètres!$A$1:$I$89,3,0)*0.475*44/12</f>
        <v>6.0047506793175448E-19</v>
      </c>
      <c r="AC163" s="22">
        <f t="shared" si="163"/>
        <v>0.60325811143128183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-1.2710188457276673E-13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255.5374979188561</v>
      </c>
      <c r="AO163" s="59">
        <f t="shared" si="144"/>
        <v>343.10418468620901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0.23542512399996071</v>
      </c>
      <c r="AV163" s="21">
        <f>EXP(-LN(2)/25)*AV162+(1-EXP(-LN(2)/25))/(LN(2)/25)*Calculateur!AQ163*Calculateur!AS163*VLOOKUP('Données projet'!$B$10,Paramètres!$A$1:$I$89,3,0)*0.475*44/12</f>
        <v>0.43419414300646736</v>
      </c>
      <c r="AW163" s="21">
        <f>EXP(-LN(2)/2)*AW162+(1-EXP(-LN(2)/2))/(LN(2)/2)*AQ163*AT163*VLOOKUP('Données projet'!$B$10,Paramètres!$A$1:$I$89,3,0)*0.475*44/12</f>
        <v>4.5879426545155127E-20</v>
      </c>
      <c r="AX163" s="21">
        <f t="shared" si="166"/>
        <v>0.66961926700642804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378.0000000000004</v>
      </c>
      <c r="BE163" s="13">
        <f>BD163*VLOOKUP('Données projet'!$B$11,Paramètres!$A$1:$I$89,3,0)*VLOOKUP('Données projet'!$B$11,Paramètres!$A$1:$I$89,5,0)</f>
        <v>324.32400000000035</v>
      </c>
      <c r="BF163" s="13">
        <f t="shared" si="167"/>
        <v>76.252341944982831</v>
      </c>
      <c r="BG163" s="20">
        <f t="shared" si="168"/>
        <v>697.67046222084571</v>
      </c>
      <c r="BH163" s="59">
        <f t="shared" si="116"/>
        <v>991.00379555417908</v>
      </c>
      <c r="BI163" s="59">
        <f ca="1">AVERAGE(OFFSET($BH$3,0,0,'Données projet'!$E$11+1,1))-AVERAGE(OFFSET($H$3,0,0,'Données projet'!$E$11+1,1))</f>
        <v>310.4018929413723</v>
      </c>
      <c r="BJ163" s="59">
        <f t="shared" si="146"/>
        <v>127.5231137583819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0.16016556629628534</v>
      </c>
      <c r="BR163" s="21">
        <f>EXP(-LN(2)/2)*BR162+(1-EXP(-LN(2)/2))/(LN(2)/2)*BL163*BO163*VLOOKUP('Données projet'!$B$11,Paramètres!$A$1:$I$89,3,0)*0.475*44/12</f>
        <v>2.4205641114116877E-19</v>
      </c>
      <c r="BS163" s="22">
        <f t="shared" si="169"/>
        <v>0.16016556629628534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210.04871822652808</v>
      </c>
      <c r="CE163" s="59">
        <f t="shared" si="148"/>
        <v>250.17540614049324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0.5562501214172243</v>
      </c>
      <c r="CL163" s="21">
        <f>EXP(-LN(2)/25)*CL162+(1-EXP(-LN(2)/25))/(LN(2)/25)*Calculateur!CG163*Calculateur!CI163*VLOOKUP('Données projet'!$B$12,Paramètres!$A$1:$I$89,3,0)*0.475*44/12</f>
        <v>0.75712635586316679</v>
      </c>
      <c r="CM163" s="21">
        <f>EXP(-LN(2)/2)*CM162+(1-EXP(-LN(2)/2))/(LN(2)/2)*CG163*CJ163*VLOOKUP('Données projet'!$B$12,Paramètres!$A$1:$I$89,3,0)*0.475*44/12</f>
        <v>5.8421932486368904E-19</v>
      </c>
      <c r="CN163" s="22">
        <f t="shared" si="172"/>
        <v>1.3133764772803911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-5.1159076974727213E-13</v>
      </c>
      <c r="O164" s="13">
        <f>N164*VLOOKUP('Données projet'!$B$9,Paramètres!$A$1:$I$89,3,0)*VLOOKUP('Données projet'!$B$9,Paramètres!$A$1:$I$89,5,0)</f>
        <v>-3.7509835237869992E-13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234.09142087023463</v>
      </c>
      <c r="T164" s="59">
        <f t="shared" si="142"/>
        <v>278.990685815294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0.18223164383973781</v>
      </c>
      <c r="AA164" s="21">
        <f>EXP(-LN(2)/25)*AA163+(1-EXP(-LN(2)/25))/(LN(2)/25)*Calculateur!V164*Calculateur!X164*VLOOKUP('Données projet'!$B$9,Paramètres!$A$1:$I$89,3,0)*0.475*44/12</f>
        <v>0.40596822122780823</v>
      </c>
      <c r="AB164" s="21">
        <f>EXP(-LN(2)/2)*AB163+(1-EXP(-LN(2)/2))/(LN(2)/2)*V164*Y164*VLOOKUP('Données projet'!$B$9,Paramètres!$A$1:$I$89,3,0)*0.475*44/12</f>
        <v>4.2459999246799641E-19</v>
      </c>
      <c r="AC164" s="22">
        <f t="shared" si="163"/>
        <v>0.58819986506754607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-1.2710188457276673E-13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255.5374979188561</v>
      </c>
      <c r="AO164" s="59">
        <f t="shared" si="144"/>
        <v>343.10418468620901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0.23080858091346829</v>
      </c>
      <c r="AV164" s="21">
        <f>EXP(-LN(2)/25)*AV163+(1-EXP(-LN(2)/25))/(LN(2)/25)*Calculateur!AQ164*Calculateur!AS164*VLOOKUP('Données projet'!$B$10,Paramètres!$A$1:$I$89,3,0)*0.475*44/12</f>
        <v>0.42232108133267787</v>
      </c>
      <c r="AW164" s="21">
        <f>EXP(-LN(2)/2)*AW163+(1-EXP(-LN(2)/2))/(LN(2)/2)*AQ164*AT164*VLOOKUP('Données projet'!$B$10,Paramètres!$A$1:$I$89,3,0)*0.475*44/12</f>
        <v>3.2441653627029286E-20</v>
      </c>
      <c r="AX164" s="21">
        <f t="shared" si="166"/>
        <v>0.65312966224614621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378.0000000000004</v>
      </c>
      <c r="BE164" s="13">
        <f>BD164*VLOOKUP('Données projet'!$B$11,Paramètres!$A$1:$I$89,3,0)*VLOOKUP('Données projet'!$B$11,Paramètres!$A$1:$I$89,5,0)</f>
        <v>324.32400000000035</v>
      </c>
      <c r="BF164" s="13">
        <f t="shared" si="167"/>
        <v>76.252341944982831</v>
      </c>
      <c r="BG164" s="20">
        <f t="shared" si="168"/>
        <v>697.67046222084571</v>
      </c>
      <c r="BH164" s="59">
        <f t="shared" si="116"/>
        <v>991.00379555417908</v>
      </c>
      <c r="BI164" s="59">
        <f ca="1">AVERAGE(OFFSET($BH$3,0,0,'Données projet'!$E$11+1,1))-AVERAGE(OFFSET($H$3,0,0,'Données projet'!$E$11+1,1))</f>
        <v>310.4018929413723</v>
      </c>
      <c r="BJ164" s="59">
        <f t="shared" si="146"/>
        <v>127.5231137583819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0.15578583046317235</v>
      </c>
      <c r="BR164" s="21">
        <f>EXP(-LN(2)/2)*BR163+(1-EXP(-LN(2)/2))/(LN(2)/2)*BL164*BO164*VLOOKUP('Données projet'!$B$11,Paramètres!$A$1:$I$89,3,0)*0.475*44/12</f>
        <v>1.7115972974759941E-19</v>
      </c>
      <c r="BS164" s="22">
        <f t="shared" si="169"/>
        <v>0.15578583046317235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210.04871822652808</v>
      </c>
      <c r="CE164" s="59">
        <f t="shared" si="148"/>
        <v>250.17540614049324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0.54534239581530553</v>
      </c>
      <c r="CL164" s="21">
        <f>EXP(-LN(2)/25)*CL163+(1-EXP(-LN(2)/25))/(LN(2)/25)*Calculateur!CG164*Calculateur!CI164*VLOOKUP('Données projet'!$B$12,Paramètres!$A$1:$I$89,3,0)*0.475*44/12</f>
        <v>0.73642269584654385</v>
      </c>
      <c r="CM164" s="21">
        <f>EXP(-LN(2)/2)*CM163+(1-EXP(-LN(2)/2))/(LN(2)/2)*CG164*CJ164*VLOOKUP('Données projet'!$B$12,Paramètres!$A$1:$I$89,3,0)*0.475*44/12</f>
        <v>4.1310544631134109E-19</v>
      </c>
      <c r="CN164" s="22">
        <f t="shared" si="172"/>
        <v>1.2817650916618493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-5.1159076974727213E-13</v>
      </c>
      <c r="O165" s="13">
        <f>N165*VLOOKUP('Données projet'!$B$9,Paramètres!$A$1:$I$89,3,0)*VLOOKUP('Données projet'!$B$9,Paramètres!$A$1:$I$89,5,0)</f>
        <v>-3.7509835237869992E-13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234.09142087023463</v>
      </c>
      <c r="T165" s="59">
        <f t="shared" si="142"/>
        <v>278.990685815294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0.17865819245436812</v>
      </c>
      <c r="AA165" s="21">
        <f>EXP(-LN(2)/25)*AA164+(1-EXP(-LN(2)/25))/(LN(2)/25)*Calculateur!V165*Calculateur!X165*VLOOKUP('Données projet'!$B$9,Paramètres!$A$1:$I$89,3,0)*0.475*44/12</f>
        <v>0.39486699886939292</v>
      </c>
      <c r="AB165" s="21">
        <f>EXP(-LN(2)/2)*AB164+(1-EXP(-LN(2)/2))/(LN(2)/2)*V165*Y165*VLOOKUP('Données projet'!$B$9,Paramètres!$A$1:$I$89,3,0)*0.475*44/12</f>
        <v>3.0023753396587729E-19</v>
      </c>
      <c r="AC165" s="22">
        <f t="shared" si="163"/>
        <v>0.57352519132376101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-1.2710188457276673E-13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255.5374979188561</v>
      </c>
      <c r="AO165" s="59">
        <f t="shared" si="144"/>
        <v>343.10418468620901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0.22628256542108874</v>
      </c>
      <c r="AV165" s="21">
        <f>EXP(-LN(2)/25)*AV164+(1-EXP(-LN(2)/25))/(LN(2)/25)*Calculateur!AQ165*Calculateur!AS165*VLOOKUP('Données projet'!$B$10,Paramètres!$A$1:$I$89,3,0)*0.475*44/12</f>
        <v>0.41077268915473536</v>
      </c>
      <c r="AW165" s="21">
        <f>EXP(-LN(2)/2)*AW164+(1-EXP(-LN(2)/2))/(LN(2)/2)*AQ165*AT165*VLOOKUP('Données projet'!$B$10,Paramètres!$A$1:$I$89,3,0)*0.475*44/12</f>
        <v>2.2939713272577563E-20</v>
      </c>
      <c r="AX165" s="21">
        <f t="shared" si="166"/>
        <v>0.63705525457582413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378.0000000000004</v>
      </c>
      <c r="BE165" s="13">
        <f>BD165*VLOOKUP('Données projet'!$B$11,Paramètres!$A$1:$I$89,3,0)*VLOOKUP('Données projet'!$B$11,Paramètres!$A$1:$I$89,5,0)</f>
        <v>324.32400000000035</v>
      </c>
      <c r="BF165" s="13">
        <f t="shared" si="167"/>
        <v>76.252341944982831</v>
      </c>
      <c r="BG165" s="20">
        <f t="shared" si="168"/>
        <v>697.67046222084571</v>
      </c>
      <c r="BH165" s="59">
        <f t="shared" si="116"/>
        <v>991.00379555417908</v>
      </c>
      <c r="BI165" s="59">
        <f ca="1">AVERAGE(OFFSET($BH$3,0,0,'Données projet'!$E$11+1,1))-AVERAGE(OFFSET($H$3,0,0,'Données projet'!$E$11+1,1))</f>
        <v>310.4018929413723</v>
      </c>
      <c r="BJ165" s="59">
        <f t="shared" si="146"/>
        <v>127.5231137583819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0.15152585873673613</v>
      </c>
      <c r="BR165" s="21">
        <f>EXP(-LN(2)/2)*BR164+(1-EXP(-LN(2)/2))/(LN(2)/2)*BL165*BO165*VLOOKUP('Données projet'!$B$11,Paramètres!$A$1:$I$89,3,0)*0.475*44/12</f>
        <v>1.2102820557058438E-19</v>
      </c>
      <c r="BS165" s="22">
        <f t="shared" si="169"/>
        <v>0.15152585873673613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210.04871822652808</v>
      </c>
      <c r="CE165" s="59">
        <f t="shared" si="148"/>
        <v>250.17540614049324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0.53464856405938477</v>
      </c>
      <c r="CL165" s="21">
        <f>EXP(-LN(2)/25)*CL164+(1-EXP(-LN(2)/25))/(LN(2)/25)*Calculateur!CG165*Calculateur!CI165*VLOOKUP('Données projet'!$B$12,Paramètres!$A$1:$I$89,3,0)*0.475*44/12</f>
        <v>0.7162851785018336</v>
      </c>
      <c r="CM165" s="21">
        <f>EXP(-LN(2)/2)*CM164+(1-EXP(-LN(2)/2))/(LN(2)/2)*CG165*CJ165*VLOOKUP('Données projet'!$B$12,Paramètres!$A$1:$I$89,3,0)*0.475*44/12</f>
        <v>2.9210966243184452E-19</v>
      </c>
      <c r="CN165" s="22">
        <f t="shared" si="172"/>
        <v>1.2509337425612184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-5.1159076974727213E-13</v>
      </c>
      <c r="O166" s="13">
        <f>N166*VLOOKUP('Données projet'!$B$9,Paramètres!$A$1:$I$89,3,0)*VLOOKUP('Données projet'!$B$9,Paramètres!$A$1:$I$89,5,0)</f>
        <v>-3.7509835237869992E-13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234.09142087023463</v>
      </c>
      <c r="T166" s="59">
        <f t="shared" si="142"/>
        <v>278.990685815294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0.1751548142710754</v>
      </c>
      <c r="AA166" s="21">
        <f>EXP(-LN(2)/25)*AA165+(1-EXP(-LN(2)/25))/(LN(2)/25)*Calculateur!V166*Calculateur!X166*VLOOKUP('Données projet'!$B$9,Paramètres!$A$1:$I$89,3,0)*0.475*44/12</f>
        <v>0.38406934002015636</v>
      </c>
      <c r="AB166" s="21">
        <f>EXP(-LN(2)/2)*AB165+(1-EXP(-LN(2)/2))/(LN(2)/2)*V166*Y166*VLOOKUP('Données projet'!$B$9,Paramètres!$A$1:$I$89,3,0)*0.475*44/12</f>
        <v>2.1229999623399823E-19</v>
      </c>
      <c r="AC166" s="22">
        <f t="shared" si="163"/>
        <v>0.55922415429123173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-1.2710188457276673E-13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255.5374979188561</v>
      </c>
      <c r="AO166" s="59">
        <f t="shared" si="144"/>
        <v>343.10418468620901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0.22184530233191788</v>
      </c>
      <c r="AV166" s="21">
        <f>EXP(-LN(2)/25)*AV165+(1-EXP(-LN(2)/25))/(LN(2)/25)*Calculateur!AQ166*Calculateur!AS166*VLOOKUP('Données projet'!$B$10,Paramètres!$A$1:$I$89,3,0)*0.475*44/12</f>
        <v>0.39954008836820221</v>
      </c>
      <c r="AW166" s="21">
        <f>EXP(-LN(2)/2)*AW165+(1-EXP(-LN(2)/2))/(LN(2)/2)*AQ166*AT166*VLOOKUP('Données projet'!$B$10,Paramètres!$A$1:$I$89,3,0)*0.475*44/12</f>
        <v>1.6220826813514643E-20</v>
      </c>
      <c r="AX166" s="21">
        <f t="shared" si="166"/>
        <v>0.62138539070012011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378.0000000000004</v>
      </c>
      <c r="BE166" s="13">
        <f>BD166*VLOOKUP('Données projet'!$B$11,Paramètres!$A$1:$I$89,3,0)*VLOOKUP('Données projet'!$B$11,Paramètres!$A$1:$I$89,5,0)</f>
        <v>324.32400000000035</v>
      </c>
      <c r="BF166" s="13">
        <f t="shared" si="167"/>
        <v>76.252341944982831</v>
      </c>
      <c r="BG166" s="20">
        <f t="shared" si="168"/>
        <v>697.67046222084571</v>
      </c>
      <c r="BH166" s="59">
        <f t="shared" si="116"/>
        <v>991.00379555417908</v>
      </c>
      <c r="BI166" s="59">
        <f ca="1">AVERAGE(OFFSET($BH$3,0,0,'Données projet'!$E$11+1,1))-AVERAGE(OFFSET($H$3,0,0,'Données projet'!$E$11+1,1))</f>
        <v>310.4018929413723</v>
      </c>
      <c r="BJ166" s="59">
        <f t="shared" si="146"/>
        <v>127.5231137583819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0.14738237616118149</v>
      </c>
      <c r="BR166" s="21">
        <f>EXP(-LN(2)/2)*BR165+(1-EXP(-LN(2)/2))/(LN(2)/2)*BL166*BO166*VLOOKUP('Données projet'!$B$11,Paramètres!$A$1:$I$89,3,0)*0.475*44/12</f>
        <v>8.5579864873799705E-20</v>
      </c>
      <c r="BS166" s="22">
        <f t="shared" si="169"/>
        <v>0.14738237616118149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210.04871822652808</v>
      </c>
      <c r="CE166" s="59">
        <f t="shared" si="148"/>
        <v>250.17540614049324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0.52416443182160422</v>
      </c>
      <c r="CL166" s="21">
        <f>EXP(-LN(2)/25)*CL165+(1-EXP(-LN(2)/25))/(LN(2)/25)*Calculateur!CG166*Calculateur!CI166*VLOOKUP('Données projet'!$B$12,Paramètres!$A$1:$I$89,3,0)*0.475*44/12</f>
        <v>0.69669832262790055</v>
      </c>
      <c r="CM166" s="21">
        <f>EXP(-LN(2)/2)*CM165+(1-EXP(-LN(2)/2))/(LN(2)/2)*CG166*CJ166*VLOOKUP('Données projet'!$B$12,Paramètres!$A$1:$I$89,3,0)*0.475*44/12</f>
        <v>2.0655272315567055E-19</v>
      </c>
      <c r="CN166" s="22">
        <f t="shared" si="172"/>
        <v>1.2208627544495048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-5.1159076974727213E-13</v>
      </c>
      <c r="O167" s="13">
        <f>N167*VLOOKUP('Données projet'!$B$9,Paramètres!$A$1:$I$89,3,0)*VLOOKUP('Données projet'!$B$9,Paramètres!$A$1:$I$89,5,0)</f>
        <v>-3.7509835237869992E-13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234.09142087023463</v>
      </c>
      <c r="T167" s="59">
        <f t="shared" si="142"/>
        <v>278.990685815294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0.17172013519710735</v>
      </c>
      <c r="AA167" s="21">
        <f>EXP(-LN(2)/25)*AA166+(1-EXP(-LN(2)/25))/(LN(2)/25)*Calculateur!V167*Calculateur!X167*VLOOKUP('Données projet'!$B$9,Paramètres!$A$1:$I$89,3,0)*0.475*44/12</f>
        <v>0.3735669437199764</v>
      </c>
      <c r="AB167" s="21">
        <f>EXP(-LN(2)/2)*AB166+(1-EXP(-LN(2)/2))/(LN(2)/2)*V167*Y167*VLOOKUP('Données projet'!$B$9,Paramètres!$A$1:$I$89,3,0)*0.475*44/12</f>
        <v>1.5011876698293867E-19</v>
      </c>
      <c r="AC167" s="22">
        <f t="shared" si="163"/>
        <v>0.54528707891708372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-1.2710188457276673E-13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255.5374979188561</v>
      </c>
      <c r="AO167" s="59">
        <f t="shared" si="144"/>
        <v>343.10418468620901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0.21749505126546242</v>
      </c>
      <c r="AV167" s="21">
        <f>EXP(-LN(2)/25)*AV166+(1-EXP(-LN(2)/25))/(LN(2)/25)*Calculateur!AQ167*Calculateur!AS167*VLOOKUP('Données projet'!$B$10,Paramètres!$A$1:$I$89,3,0)*0.475*44/12</f>
        <v>0.38861464364087361</v>
      </c>
      <c r="AW167" s="21">
        <f>EXP(-LN(2)/2)*AW166+(1-EXP(-LN(2)/2))/(LN(2)/2)*AQ167*AT167*VLOOKUP('Données projet'!$B$10,Paramètres!$A$1:$I$89,3,0)*0.475*44/12</f>
        <v>1.1469856636288782E-20</v>
      </c>
      <c r="AX167" s="21">
        <f t="shared" si="166"/>
        <v>0.60610969490633604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378.0000000000004</v>
      </c>
      <c r="BE167" s="13">
        <f>BD167*VLOOKUP('Données projet'!$B$11,Paramètres!$A$1:$I$89,3,0)*VLOOKUP('Données projet'!$B$11,Paramètres!$A$1:$I$89,5,0)</f>
        <v>324.32400000000035</v>
      </c>
      <c r="BF167" s="13">
        <f t="shared" si="167"/>
        <v>76.252341944982831</v>
      </c>
      <c r="BG167" s="20">
        <f t="shared" si="168"/>
        <v>697.67046222084571</v>
      </c>
      <c r="BH167" s="59">
        <f t="shared" si="116"/>
        <v>991.00379555417908</v>
      </c>
      <c r="BI167" s="59">
        <f ca="1">AVERAGE(OFFSET($BH$3,0,0,'Données projet'!$E$11+1,1))-AVERAGE(OFFSET($H$3,0,0,'Données projet'!$E$11+1,1))</f>
        <v>310.4018929413723</v>
      </c>
      <c r="BJ167" s="59">
        <f t="shared" si="146"/>
        <v>127.5231137583819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0.14335219733455168</v>
      </c>
      <c r="BR167" s="21">
        <f>EXP(-LN(2)/2)*BR166+(1-EXP(-LN(2)/2))/(LN(2)/2)*BL167*BO167*VLOOKUP('Données projet'!$B$11,Paramètres!$A$1:$I$89,3,0)*0.475*44/12</f>
        <v>6.0514102785292192E-20</v>
      </c>
      <c r="BS167" s="22">
        <f t="shared" si="169"/>
        <v>0.14335219733455168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210.04871822652808</v>
      </c>
      <c r="CE167" s="59">
        <f t="shared" si="148"/>
        <v>250.17540614049324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0.5138858870223173</v>
      </c>
      <c r="CL167" s="21">
        <f>EXP(-LN(2)/25)*CL166+(1-EXP(-LN(2)/25))/(LN(2)/25)*Calculateur!CG167*Calculateur!CI167*VLOOKUP('Données projet'!$B$12,Paramètres!$A$1:$I$89,3,0)*0.475*44/12</f>
        <v>0.6776470703578682</v>
      </c>
      <c r="CM167" s="21">
        <f>EXP(-LN(2)/2)*CM166+(1-EXP(-LN(2)/2))/(LN(2)/2)*CG167*CJ167*VLOOKUP('Données projet'!$B$12,Paramètres!$A$1:$I$89,3,0)*0.475*44/12</f>
        <v>1.4605483121592226E-19</v>
      </c>
      <c r="CN167" s="22">
        <f t="shared" si="172"/>
        <v>1.1915329573801854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-5.1159076974727213E-13</v>
      </c>
      <c r="O168" s="13">
        <f>N168*VLOOKUP('Données projet'!$B$9,Paramètres!$A$1:$I$89,3,0)*VLOOKUP('Données projet'!$B$9,Paramètres!$A$1:$I$89,5,0)</f>
        <v>-3.7509835237869992E-13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234.09142087023463</v>
      </c>
      <c r="T168" s="59">
        <f t="shared" si="142"/>
        <v>278.990685815294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0.16835280808483244</v>
      </c>
      <c r="AA168" s="21">
        <f>EXP(-LN(2)/25)*AA167+(1-EXP(-LN(2)/25))/(LN(2)/25)*Calculateur!V168*Calculateur!X168*VLOOKUP('Données projet'!$B$9,Paramètres!$A$1:$I$89,3,0)*0.475*44/12</f>
        <v>0.36335173599892184</v>
      </c>
      <c r="AB168" s="21">
        <f>EXP(-LN(2)/2)*AB167+(1-EXP(-LN(2)/2))/(LN(2)/2)*V168*Y168*VLOOKUP('Données projet'!$B$9,Paramètres!$A$1:$I$89,3,0)*0.475*44/12</f>
        <v>1.0614999811699914E-19</v>
      </c>
      <c r="AC168" s="22">
        <f t="shared" si="163"/>
        <v>0.53170454408375423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-1.2710188457276673E-13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255.5374979188561</v>
      </c>
      <c r="AO168" s="59">
        <f t="shared" si="144"/>
        <v>343.10418468620901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0.213230105969029</v>
      </c>
      <c r="AV168" s="21">
        <f>EXP(-LN(2)/25)*AV167+(1-EXP(-LN(2)/25))/(LN(2)/25)*Calculateur!AQ168*Calculateur!AS168*VLOOKUP('Données projet'!$B$10,Paramètres!$A$1:$I$89,3,0)*0.475*44/12</f>
        <v>0.377987955774158</v>
      </c>
      <c r="AW168" s="21">
        <f>EXP(-LN(2)/2)*AW167+(1-EXP(-LN(2)/2))/(LN(2)/2)*AQ168*AT168*VLOOKUP('Données projet'!$B$10,Paramètres!$A$1:$I$89,3,0)*0.475*44/12</f>
        <v>8.1104134067573214E-21</v>
      </c>
      <c r="AX168" s="21">
        <f t="shared" si="166"/>
        <v>0.59121806174318703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378.0000000000004</v>
      </c>
      <c r="BE168" s="13">
        <f>BD168*VLOOKUP('Données projet'!$B$11,Paramètres!$A$1:$I$89,3,0)*VLOOKUP('Données projet'!$B$11,Paramètres!$A$1:$I$89,5,0)</f>
        <v>324.32400000000035</v>
      </c>
      <c r="BF168" s="13">
        <f t="shared" si="167"/>
        <v>76.252341944982831</v>
      </c>
      <c r="BG168" s="20">
        <f t="shared" si="168"/>
        <v>697.67046222084571</v>
      </c>
      <c r="BH168" s="59">
        <f t="shared" si="116"/>
        <v>991.00379555417908</v>
      </c>
      <c r="BI168" s="59">
        <f ca="1">AVERAGE(OFFSET($BH$3,0,0,'Données projet'!$E$11+1,1))-AVERAGE(OFFSET($H$3,0,0,'Données projet'!$E$11+1,1))</f>
        <v>310.4018929413723</v>
      </c>
      <c r="BJ168" s="59">
        <f t="shared" si="146"/>
        <v>127.5231137583819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0.13943222395987395</v>
      </c>
      <c r="BR168" s="21">
        <f>EXP(-LN(2)/2)*BR167+(1-EXP(-LN(2)/2))/(LN(2)/2)*BL168*BO168*VLOOKUP('Données projet'!$B$11,Paramètres!$A$1:$I$89,3,0)*0.475*44/12</f>
        <v>4.2789932436899852E-20</v>
      </c>
      <c r="BS168" s="22">
        <f t="shared" si="169"/>
        <v>0.13943222395987395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210.04871822652808</v>
      </c>
      <c r="CE168" s="59">
        <f t="shared" si="148"/>
        <v>250.17540614049324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0.50380889821725117</v>
      </c>
      <c r="CL168" s="21">
        <f>EXP(-LN(2)/25)*CL167+(1-EXP(-LN(2)/25))/(LN(2)/25)*Calculateur!CG168*Calculateur!CI168*VLOOKUP('Données projet'!$B$12,Paramètres!$A$1:$I$89,3,0)*0.475*44/12</f>
        <v>0.65911677558302162</v>
      </c>
      <c r="CM168" s="21">
        <f>EXP(-LN(2)/2)*CM167+(1-EXP(-LN(2)/2))/(LN(2)/2)*CG168*CJ168*VLOOKUP('Données projet'!$B$12,Paramètres!$A$1:$I$89,3,0)*0.475*44/12</f>
        <v>1.0327636157783527E-19</v>
      </c>
      <c r="CN168" s="22">
        <f t="shared" si="172"/>
        <v>1.1629256738002729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-5.1159076974727213E-13</v>
      </c>
      <c r="O169" s="13">
        <f>N169*VLOOKUP('Données projet'!$B$9,Paramètres!$A$1:$I$89,3,0)*VLOOKUP('Données projet'!$B$9,Paramètres!$A$1:$I$89,5,0)</f>
        <v>-3.7509835237869992E-13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234.09142087023463</v>
      </c>
      <c r="T169" s="59">
        <f t="shared" si="142"/>
        <v>278.990685815294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0.1650515122033625</v>
      </c>
      <c r="AA169" s="21">
        <f>EXP(-LN(2)/25)*AA168+(1-EXP(-LN(2)/25))/(LN(2)/25)*Calculateur!V169*Calculateur!X169*VLOOKUP('Données projet'!$B$9,Paramètres!$A$1:$I$89,3,0)*0.475*44/12</f>
        <v>0.35341586367019401</v>
      </c>
      <c r="AB169" s="21">
        <f>EXP(-LN(2)/2)*AB168+(1-EXP(-LN(2)/2))/(LN(2)/2)*V169*Y169*VLOOKUP('Données projet'!$B$9,Paramètres!$A$1:$I$89,3,0)*0.475*44/12</f>
        <v>7.5059383491469346E-20</v>
      </c>
      <c r="AC169" s="22">
        <f t="shared" si="163"/>
        <v>0.51846737587355651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-1.2710188457276673E-13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255.5374979188561</v>
      </c>
      <c r="AO169" s="59">
        <f t="shared" si="144"/>
        <v>343.10418468620901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0.20904879364849888</v>
      </c>
      <c r="AV169" s="21">
        <f>EXP(-LN(2)/25)*AV168+(1-EXP(-LN(2)/25))/(LN(2)/25)*Calculateur!AQ169*Calculateur!AS169*VLOOKUP('Données projet'!$B$10,Paramètres!$A$1:$I$89,3,0)*0.475*44/12</f>
        <v>0.36765185524599098</v>
      </c>
      <c r="AW169" s="21">
        <f>EXP(-LN(2)/2)*AW168+(1-EXP(-LN(2)/2))/(LN(2)/2)*AQ169*AT169*VLOOKUP('Données projet'!$B$10,Paramètres!$A$1:$I$89,3,0)*0.475*44/12</f>
        <v>5.7349283181443908E-21</v>
      </c>
      <c r="AX169" s="21">
        <f t="shared" si="166"/>
        <v>0.57670064889448991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378.0000000000004</v>
      </c>
      <c r="BE169" s="13">
        <f>BD169*VLOOKUP('Données projet'!$B$11,Paramètres!$A$1:$I$89,3,0)*VLOOKUP('Données projet'!$B$11,Paramètres!$A$1:$I$89,5,0)</f>
        <v>324.32400000000035</v>
      </c>
      <c r="BF169" s="13">
        <f t="shared" si="167"/>
        <v>76.252341944982831</v>
      </c>
      <c r="BG169" s="20">
        <f t="shared" si="168"/>
        <v>697.67046222084571</v>
      </c>
      <c r="BH169" s="59">
        <f t="shared" si="116"/>
        <v>991.00379555417908</v>
      </c>
      <c r="BI169" s="59">
        <f ca="1">AVERAGE(OFFSET($BH$3,0,0,'Données projet'!$E$11+1,1))-AVERAGE(OFFSET($H$3,0,0,'Données projet'!$E$11+1,1))</f>
        <v>310.4018929413723</v>
      </c>
      <c r="BJ169" s="59">
        <f t="shared" si="146"/>
        <v>127.5231137583819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0.13561944246326921</v>
      </c>
      <c r="BR169" s="21">
        <f>EXP(-LN(2)/2)*BR168+(1-EXP(-LN(2)/2))/(LN(2)/2)*BL169*BO169*VLOOKUP('Données projet'!$B$11,Paramètres!$A$1:$I$89,3,0)*0.475*44/12</f>
        <v>3.0257051392646096E-20</v>
      </c>
      <c r="BS169" s="22">
        <f t="shared" si="169"/>
        <v>0.13561944246326921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210.04871822652808</v>
      </c>
      <c r="CE169" s="59">
        <f t="shared" si="148"/>
        <v>250.17540614049324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0.49392951301629612</v>
      </c>
      <c r="CL169" s="21">
        <f>EXP(-LN(2)/25)*CL168+(1-EXP(-LN(2)/25))/(LN(2)/25)*Calculateur!CG169*Calculateur!CI169*VLOOKUP('Données projet'!$B$12,Paramètres!$A$1:$I$89,3,0)*0.475*44/12</f>
        <v>0.64109319269325915</v>
      </c>
      <c r="CM169" s="21">
        <f>EXP(-LN(2)/2)*CM168+(1-EXP(-LN(2)/2))/(LN(2)/2)*CG169*CJ169*VLOOKUP('Données projet'!$B$12,Paramètres!$A$1:$I$89,3,0)*0.475*44/12</f>
        <v>7.302741560796113E-20</v>
      </c>
      <c r="CN169" s="22">
        <f t="shared" si="172"/>
        <v>1.1350227057095552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-5.1159076974727213E-13</v>
      </c>
      <c r="O170" s="13">
        <f>N170*VLOOKUP('Données projet'!$B$9,Paramètres!$A$1:$I$89,3,0)*VLOOKUP('Données projet'!$B$9,Paramètres!$A$1:$I$89,5,0)</f>
        <v>-3.7509835237869992E-13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234.09142087023463</v>
      </c>
      <c r="T170" s="59">
        <f t="shared" si="142"/>
        <v>278.990685815294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0.16181495272053653</v>
      </c>
      <c r="AA170" s="21">
        <f>EXP(-LN(2)/25)*AA169+(1-EXP(-LN(2)/25))/(LN(2)/25)*Calculateur!V170*Calculateur!X170*VLOOKUP('Données projet'!$B$9,Paramètres!$A$1:$I$89,3,0)*0.475*44/12</f>
        <v>0.34375168829280001</v>
      </c>
      <c r="AB170" s="21">
        <f>EXP(-LN(2)/2)*AB169+(1-EXP(-LN(2)/2))/(LN(2)/2)*V170*Y170*VLOOKUP('Données projet'!$B$9,Paramètres!$A$1:$I$89,3,0)*0.475*44/12</f>
        <v>5.3074999058499576E-20</v>
      </c>
      <c r="AC170" s="22">
        <f t="shared" si="163"/>
        <v>0.50556664101333659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-1.2710188457276673E-13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255.5374979188561</v>
      </c>
      <c r="AO170" s="59">
        <f t="shared" si="144"/>
        <v>343.10418468620901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0.20494947431222565</v>
      </c>
      <c r="AV170" s="21">
        <f>EXP(-LN(2)/25)*AV169+(1-EXP(-LN(2)/25))/(LN(2)/25)*Calculateur!AQ170*Calculateur!AS170*VLOOKUP('Données projet'!$B$10,Paramètres!$A$1:$I$89,3,0)*0.475*44/12</f>
        <v>0.35759839593031856</v>
      </c>
      <c r="AW170" s="21">
        <f>EXP(-LN(2)/2)*AW169+(1-EXP(-LN(2)/2))/(LN(2)/2)*AQ170*AT170*VLOOKUP('Données projet'!$B$10,Paramètres!$A$1:$I$89,3,0)*0.475*44/12</f>
        <v>4.0552067033786607E-21</v>
      </c>
      <c r="AX170" s="21">
        <f t="shared" si="166"/>
        <v>0.56254787024254416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378.0000000000004</v>
      </c>
      <c r="BE170" s="13">
        <f>BD170*VLOOKUP('Données projet'!$B$11,Paramètres!$A$1:$I$89,3,0)*VLOOKUP('Données projet'!$B$11,Paramètres!$A$1:$I$89,5,0)</f>
        <v>324.32400000000035</v>
      </c>
      <c r="BF170" s="13">
        <f t="shared" si="167"/>
        <v>76.252341944982831</v>
      </c>
      <c r="BG170" s="20">
        <f t="shared" si="168"/>
        <v>697.67046222084571</v>
      </c>
      <c r="BH170" s="59">
        <f t="shared" si="116"/>
        <v>991.00379555417908</v>
      </c>
      <c r="BI170" s="59">
        <f ca="1">AVERAGE(OFFSET($BH$3,0,0,'Données projet'!$E$11+1,1))-AVERAGE(OFFSET($H$3,0,0,'Données projet'!$E$11+1,1))</f>
        <v>310.4018929413723</v>
      </c>
      <c r="BJ170" s="59">
        <f t="shared" si="146"/>
        <v>127.5231137583819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0.13191092167719459</v>
      </c>
      <c r="BR170" s="21">
        <f>EXP(-LN(2)/2)*BR169+(1-EXP(-LN(2)/2))/(LN(2)/2)*BL170*BO170*VLOOKUP('Données projet'!$B$11,Paramètres!$A$1:$I$89,3,0)*0.475*44/12</f>
        <v>2.1394966218449926E-20</v>
      </c>
      <c r="BS170" s="22">
        <f t="shared" si="169"/>
        <v>0.13191092167719459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210.04871822652808</v>
      </c>
      <c r="CE170" s="59">
        <f t="shared" si="148"/>
        <v>250.17540614049324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0.48424385653330182</v>
      </c>
      <c r="CL170" s="21">
        <f>EXP(-LN(2)/25)*CL169+(1-EXP(-LN(2)/25))/(LN(2)/25)*Calculateur!CG170*Calculateur!CI170*VLOOKUP('Données projet'!$B$12,Paramètres!$A$1:$I$89,3,0)*0.475*44/12</f>
        <v>0.62356246562543627</v>
      </c>
      <c r="CM170" s="21">
        <f>EXP(-LN(2)/2)*CM169+(1-EXP(-LN(2)/2))/(LN(2)/2)*CG170*CJ170*VLOOKUP('Données projet'!$B$12,Paramètres!$A$1:$I$89,3,0)*0.475*44/12</f>
        <v>5.1638180788917637E-20</v>
      </c>
      <c r="CN170" s="22">
        <f t="shared" si="172"/>
        <v>1.107806322158738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-5.1159076974727213E-13</v>
      </c>
      <c r="O171" s="13">
        <f>N171*VLOOKUP('Données projet'!$B$9,Paramètres!$A$1:$I$89,3,0)*VLOOKUP('Données projet'!$B$9,Paramètres!$A$1:$I$89,5,0)</f>
        <v>-3.7509835237869992E-13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234.09142087023463</v>
      </c>
      <c r="T171" s="59">
        <f t="shared" si="142"/>
        <v>278.990685815294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0.15864186019506241</v>
      </c>
      <c r="AA171" s="21">
        <f>EXP(-LN(2)/25)*AA170+(1-EXP(-LN(2)/25))/(LN(2)/25)*Calculateur!V171*Calculateur!X171*VLOOKUP('Données projet'!$B$9,Paramètres!$A$1:$I$89,3,0)*0.475*44/12</f>
        <v>0.33435178029931778</v>
      </c>
      <c r="AB171" s="21">
        <f>EXP(-LN(2)/2)*AB170+(1-EXP(-LN(2)/2))/(LN(2)/2)*V171*Y171*VLOOKUP('Données projet'!$B$9,Paramètres!$A$1:$I$89,3,0)*0.475*44/12</f>
        <v>3.7529691745734679E-20</v>
      </c>
      <c r="AC171" s="22">
        <f t="shared" si="163"/>
        <v>0.49299364049438021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-1.2710188457276673E-13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255.5374979188561</v>
      </c>
      <c r="AO171" s="59">
        <f t="shared" si="144"/>
        <v>343.10418468620901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0.20093054012779885</v>
      </c>
      <c r="AV171" s="21">
        <f>EXP(-LN(2)/25)*AV170+(1-EXP(-LN(2)/25))/(LN(2)/25)*Calculateur!AQ171*Calculateur!AS171*VLOOKUP('Données projet'!$B$10,Paramètres!$A$1:$I$89,3,0)*0.475*44/12</f>
        <v>0.34781984898832163</v>
      </c>
      <c r="AW171" s="21">
        <f>EXP(-LN(2)/2)*AW170+(1-EXP(-LN(2)/2))/(LN(2)/2)*AQ171*AT171*VLOOKUP('Données projet'!$B$10,Paramètres!$A$1:$I$89,3,0)*0.475*44/12</f>
        <v>2.8674641590721954E-21</v>
      </c>
      <c r="AX171" s="21">
        <f t="shared" si="166"/>
        <v>0.54875038911612051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378.0000000000004</v>
      </c>
      <c r="BE171" s="13">
        <f>BD171*VLOOKUP('Données projet'!$B$11,Paramètres!$A$1:$I$89,3,0)*VLOOKUP('Données projet'!$B$11,Paramètres!$A$1:$I$89,5,0)</f>
        <v>324.32400000000035</v>
      </c>
      <c r="BF171" s="13">
        <f t="shared" si="167"/>
        <v>76.252341944982831</v>
      </c>
      <c r="BG171" s="20">
        <f t="shared" si="168"/>
        <v>697.67046222084571</v>
      </c>
      <c r="BH171" s="59">
        <f t="shared" si="116"/>
        <v>991.00379555417908</v>
      </c>
      <c r="BI171" s="59">
        <f ca="1">AVERAGE(OFFSET($BH$3,0,0,'Données projet'!$E$11+1,1))-AVERAGE(OFFSET($H$3,0,0,'Données projet'!$E$11+1,1))</f>
        <v>310.4018929413723</v>
      </c>
      <c r="BJ171" s="59">
        <f t="shared" si="146"/>
        <v>127.5231137583819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0.12830381058703783</v>
      </c>
      <c r="BR171" s="21">
        <f>EXP(-LN(2)/2)*BR170+(1-EXP(-LN(2)/2))/(LN(2)/2)*BL171*BO171*VLOOKUP('Données projet'!$B$11,Paramètres!$A$1:$I$89,3,0)*0.475*44/12</f>
        <v>1.5128525696323048E-20</v>
      </c>
      <c r="BS171" s="22">
        <f t="shared" si="169"/>
        <v>0.12830381058703783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210.04871822652808</v>
      </c>
      <c r="CE171" s="59">
        <f t="shared" si="148"/>
        <v>250.17540614049324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0.47474812986627191</v>
      </c>
      <c r="CL171" s="21">
        <f>EXP(-LN(2)/25)*CL170+(1-EXP(-LN(2)/25))/(LN(2)/25)*Calculateur!CG171*Calculateur!CI171*VLOOKUP('Données projet'!$B$12,Paramètres!$A$1:$I$89,3,0)*0.475*44/12</f>
        <v>0.60651111721118378</v>
      </c>
      <c r="CM171" s="21">
        <f>EXP(-LN(2)/2)*CM170+(1-EXP(-LN(2)/2))/(LN(2)/2)*CG171*CJ171*VLOOKUP('Données projet'!$B$12,Paramètres!$A$1:$I$89,3,0)*0.475*44/12</f>
        <v>3.6513707803980565E-20</v>
      </c>
      <c r="CN171" s="22">
        <f t="shared" si="172"/>
        <v>1.0812592470774556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-5.1159076974727213E-13</v>
      </c>
      <c r="O172" s="13">
        <f>N172*VLOOKUP('Données projet'!$B$9,Paramètres!$A$1:$I$89,3,0)*VLOOKUP('Données projet'!$B$9,Paramètres!$A$1:$I$89,5,0)</f>
        <v>-3.7509835237869992E-13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234.09142087023463</v>
      </c>
      <c r="T172" s="59">
        <f t="shared" si="142"/>
        <v>278.990685815294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0.15553099007861751</v>
      </c>
      <c r="AA172" s="21">
        <f>EXP(-LN(2)/25)*AA171+(1-EXP(-LN(2)/25))/(LN(2)/25)*Calculateur!V172*Calculateur!X172*VLOOKUP('Données projet'!$B$9,Paramètres!$A$1:$I$89,3,0)*0.475*44/12</f>
        <v>0.32520891328423696</v>
      </c>
      <c r="AB172" s="21">
        <f>EXP(-LN(2)/2)*AB171+(1-EXP(-LN(2)/2))/(LN(2)/2)*V172*Y172*VLOOKUP('Données projet'!$B$9,Paramètres!$A$1:$I$89,3,0)*0.475*44/12</f>
        <v>2.6537499529249791E-20</v>
      </c>
      <c r="AC172" s="22">
        <f t="shared" si="163"/>
        <v>0.48073990336285444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-1.2710188457276673E-13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255.5374979188561</v>
      </c>
      <c r="AO172" s="59">
        <f t="shared" si="144"/>
        <v>343.10418468620901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0.19699041479142085</v>
      </c>
      <c r="AV172" s="21">
        <f>EXP(-LN(2)/25)*AV171+(1-EXP(-LN(2)/25))/(LN(2)/25)*Calculateur!AQ172*Calculateur!AS172*VLOOKUP('Données projet'!$B$10,Paramètres!$A$1:$I$89,3,0)*0.475*44/12</f>
        <v>0.33830869692668508</v>
      </c>
      <c r="AW172" s="21">
        <f>EXP(-LN(2)/2)*AW171+(1-EXP(-LN(2)/2))/(LN(2)/2)*AQ172*AT172*VLOOKUP('Données projet'!$B$10,Paramètres!$A$1:$I$89,3,0)*0.475*44/12</f>
        <v>2.0276033516893304E-21</v>
      </c>
      <c r="AX172" s="21">
        <f t="shared" si="166"/>
        <v>0.53529911171810596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378.0000000000004</v>
      </c>
      <c r="BE172" s="13">
        <f>BD172*VLOOKUP('Données projet'!$B$11,Paramètres!$A$1:$I$89,3,0)*VLOOKUP('Données projet'!$B$11,Paramètres!$A$1:$I$89,5,0)</f>
        <v>324.32400000000035</v>
      </c>
      <c r="BF172" s="13">
        <f t="shared" si="167"/>
        <v>76.252341944982831</v>
      </c>
      <c r="BG172" s="20">
        <f t="shared" si="168"/>
        <v>697.67046222084571</v>
      </c>
      <c r="BH172" s="59">
        <f t="shared" si="116"/>
        <v>991.00379555417908</v>
      </c>
      <c r="BI172" s="59">
        <f ca="1">AVERAGE(OFFSET($BH$3,0,0,'Données projet'!$E$11+1,1))-AVERAGE(OFFSET($H$3,0,0,'Données projet'!$E$11+1,1))</f>
        <v>310.4018929413723</v>
      </c>
      <c r="BJ172" s="59">
        <f t="shared" si="146"/>
        <v>127.5231137583819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0.12479533613933112</v>
      </c>
      <c r="BR172" s="21">
        <f>EXP(-LN(2)/2)*BR171+(1-EXP(-LN(2)/2))/(LN(2)/2)*BL172*BO172*VLOOKUP('Données projet'!$B$11,Paramètres!$A$1:$I$89,3,0)*0.475*44/12</f>
        <v>1.0697483109224963E-20</v>
      </c>
      <c r="BS172" s="22">
        <f t="shared" si="169"/>
        <v>0.12479533613933112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210.04871822652808</v>
      </c>
      <c r="CE172" s="59">
        <f t="shared" si="148"/>
        <v>250.17540614049324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0.46543860860736108</v>
      </c>
      <c r="CL172" s="21">
        <f>EXP(-LN(2)/25)*CL171+(1-EXP(-LN(2)/25))/(LN(2)/25)*Calculateur!CG172*Calculateur!CI172*VLOOKUP('Données projet'!$B$12,Paramètres!$A$1:$I$89,3,0)*0.475*44/12</f>
        <v>0.58992603881601047</v>
      </c>
      <c r="CM172" s="21">
        <f>EXP(-LN(2)/2)*CM171+(1-EXP(-LN(2)/2))/(LN(2)/2)*CG172*CJ172*VLOOKUP('Données projet'!$B$12,Paramètres!$A$1:$I$89,3,0)*0.475*44/12</f>
        <v>2.5819090394458818E-20</v>
      </c>
      <c r="CN172" s="22">
        <f t="shared" si="172"/>
        <v>1.0553646474233715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-5.1159076974727213E-13</v>
      </c>
      <c r="O173" s="13">
        <f>N173*VLOOKUP('Données projet'!$B$9,Paramètres!$A$1:$I$89,3,0)*VLOOKUP('Données projet'!$B$9,Paramètres!$A$1:$I$89,5,0)</f>
        <v>-3.7509835237869992E-13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234.09142087023463</v>
      </c>
      <c r="T173" s="59">
        <f t="shared" si="142"/>
        <v>278.990685815294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0.15248112222771268</v>
      </c>
      <c r="AA173" s="21">
        <f>EXP(-LN(2)/25)*AA172+(1-EXP(-LN(2)/25))/(LN(2)/25)*Calculateur!V173*Calculateur!X173*VLOOKUP('Données projet'!$B$9,Paramètres!$A$1:$I$89,3,0)*0.475*44/12</f>
        <v>0.31631605844848604</v>
      </c>
      <c r="AB173" s="21">
        <f>EXP(-LN(2)/2)*AB172+(1-EXP(-LN(2)/2))/(LN(2)/2)*V173*Y173*VLOOKUP('Données projet'!$B$9,Paramètres!$A$1:$I$89,3,0)*0.475*44/12</f>
        <v>1.8764845872867343E-20</v>
      </c>
      <c r="AC173" s="22">
        <f t="shared" si="163"/>
        <v>0.46879718067619869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-1.2710188457276673E-13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255.5374979188561</v>
      </c>
      <c r="AO173" s="59">
        <f t="shared" si="144"/>
        <v>343.10418468620901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0.19312755290965006</v>
      </c>
      <c r="AV173" s="21">
        <f>EXP(-LN(2)/25)*AV172+(1-EXP(-LN(2)/25))/(LN(2)/25)*Calculateur!AQ173*Calculateur!AS173*VLOOKUP('Données projet'!$B$10,Paramètres!$A$1:$I$89,3,0)*0.475*44/12</f>
        <v>0.32905762781834375</v>
      </c>
      <c r="AW173" s="21">
        <f>EXP(-LN(2)/2)*AW172+(1-EXP(-LN(2)/2))/(LN(2)/2)*AQ173*AT173*VLOOKUP('Données projet'!$B$10,Paramètres!$A$1:$I$89,3,0)*0.475*44/12</f>
        <v>1.4337320795360977E-21</v>
      </c>
      <c r="AX173" s="21">
        <f t="shared" si="166"/>
        <v>0.5221851807279938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378.0000000000004</v>
      </c>
      <c r="BE173" s="13">
        <f>BD173*VLOOKUP('Données projet'!$B$11,Paramètres!$A$1:$I$89,3,0)*VLOOKUP('Données projet'!$B$11,Paramètres!$A$1:$I$89,5,0)</f>
        <v>324.32400000000035</v>
      </c>
      <c r="BF173" s="13">
        <f t="shared" si="167"/>
        <v>76.252341944982831</v>
      </c>
      <c r="BG173" s="20">
        <f t="shared" si="168"/>
        <v>697.67046222084571</v>
      </c>
      <c r="BH173" s="59">
        <f t="shared" si="116"/>
        <v>991.00379555417908</v>
      </c>
      <c r="BI173" s="59">
        <f ca="1">AVERAGE(OFFSET($BH$3,0,0,'Données projet'!$E$11+1,1))-AVERAGE(OFFSET($H$3,0,0,'Données projet'!$E$11+1,1))</f>
        <v>310.4018929413723</v>
      </c>
      <c r="BJ173" s="59">
        <f t="shared" si="146"/>
        <v>127.5231137583819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0.12138280110989962</v>
      </c>
      <c r="BR173" s="21">
        <f>EXP(-LN(2)/2)*BR172+(1-EXP(-LN(2)/2))/(LN(2)/2)*BL173*BO173*VLOOKUP('Données projet'!$B$11,Paramètres!$A$1:$I$89,3,0)*0.475*44/12</f>
        <v>7.564262848161524E-21</v>
      </c>
      <c r="BS173" s="22">
        <f t="shared" si="169"/>
        <v>0.12138280110989962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210.04871822652808</v>
      </c>
      <c r="CE173" s="59">
        <f t="shared" si="148"/>
        <v>250.17540614049324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0.45631164138209024</v>
      </c>
      <c r="CL173" s="21">
        <f>EXP(-LN(2)/25)*CL172+(1-EXP(-LN(2)/25))/(LN(2)/25)*Calculateur!CG173*Calculateur!CI173*VLOOKUP('Données projet'!$B$12,Paramètres!$A$1:$I$89,3,0)*0.475*44/12</f>
        <v>0.57379448026172453</v>
      </c>
      <c r="CM173" s="21">
        <f>EXP(-LN(2)/2)*CM172+(1-EXP(-LN(2)/2))/(LN(2)/2)*CG173*CJ173*VLOOKUP('Données projet'!$B$12,Paramètres!$A$1:$I$89,3,0)*0.475*44/12</f>
        <v>1.8256853901990282E-20</v>
      </c>
      <c r="CN173" s="22">
        <f t="shared" si="172"/>
        <v>1.0301061216438148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-5.1159076974727213E-13</v>
      </c>
      <c r="O174" s="13">
        <f>N174*VLOOKUP('Données projet'!$B$9,Paramètres!$A$1:$I$89,3,0)*VLOOKUP('Données projet'!$B$9,Paramètres!$A$1:$I$89,5,0)</f>
        <v>-3.7509835237869992E-13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234.09142087023463</v>
      </c>
      <c r="T174" s="59">
        <f t="shared" si="142"/>
        <v>278.990685815294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0.14949106042512839</v>
      </c>
      <c r="AA174" s="21">
        <f>EXP(-LN(2)/25)*AA173+(1-EXP(-LN(2)/25))/(LN(2)/25)*Calculateur!V174*Calculateur!X174*VLOOKUP('Données projet'!$B$9,Paramètres!$A$1:$I$89,3,0)*0.475*44/12</f>
        <v>0.30766637919587364</v>
      </c>
      <c r="AB174" s="21">
        <f>EXP(-LN(2)/2)*AB173+(1-EXP(-LN(2)/2))/(LN(2)/2)*V174*Y174*VLOOKUP('Données projet'!$B$9,Paramètres!$A$1:$I$89,3,0)*0.475*44/12</f>
        <v>1.3268749764624898E-20</v>
      </c>
      <c r="AC174" s="22">
        <f t="shared" si="163"/>
        <v>0.45715743962100203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-1.2710188457276673E-13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255.5374979188561</v>
      </c>
      <c r="AO174" s="59">
        <f t="shared" si="144"/>
        <v>343.10418468620901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0.1893404393932677</v>
      </c>
      <c r="AV174" s="21">
        <f>EXP(-LN(2)/25)*AV173+(1-EXP(-LN(2)/25))/(LN(2)/25)*Calculateur!AQ174*Calculateur!AS174*VLOOKUP('Données projet'!$B$10,Paramètres!$A$1:$I$89,3,0)*0.475*44/12</f>
        <v>0.32005952968126256</v>
      </c>
      <c r="AW174" s="21">
        <f>EXP(-LN(2)/2)*AW173+(1-EXP(-LN(2)/2))/(LN(2)/2)*AQ174*AT174*VLOOKUP('Données projet'!$B$10,Paramètres!$A$1:$I$89,3,0)*0.475*44/12</f>
        <v>1.0138016758446652E-21</v>
      </c>
      <c r="AX174" s="21">
        <f t="shared" si="166"/>
        <v>0.50939996907453022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378.0000000000004</v>
      </c>
      <c r="BE174" s="13">
        <f>BD174*VLOOKUP('Données projet'!$B$11,Paramètres!$A$1:$I$89,3,0)*VLOOKUP('Données projet'!$B$11,Paramètres!$A$1:$I$89,5,0)</f>
        <v>324.32400000000035</v>
      </c>
      <c r="BF174" s="13">
        <f t="shared" si="167"/>
        <v>76.252341944982831</v>
      </c>
      <c r="BG174" s="20">
        <f t="shared" si="168"/>
        <v>697.67046222084571</v>
      </c>
      <c r="BH174" s="59">
        <f t="shared" si="116"/>
        <v>991.00379555417908</v>
      </c>
      <c r="BI174" s="59">
        <f ca="1">AVERAGE(OFFSET($BH$3,0,0,'Données projet'!$E$11+1,1))-AVERAGE(OFFSET($H$3,0,0,'Données projet'!$E$11+1,1))</f>
        <v>310.4018929413723</v>
      </c>
      <c r="BJ174" s="59">
        <f t="shared" si="146"/>
        <v>127.5231137583819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0.11806358203030533</v>
      </c>
      <c r="BR174" s="21">
        <f>EXP(-LN(2)/2)*BR173+(1-EXP(-LN(2)/2))/(LN(2)/2)*BL174*BO174*VLOOKUP('Données projet'!$B$11,Paramètres!$A$1:$I$89,3,0)*0.475*44/12</f>
        <v>5.3487415546124816E-21</v>
      </c>
      <c r="BS174" s="22">
        <f t="shared" si="169"/>
        <v>0.11806358203030533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210.04871822652808</v>
      </c>
      <c r="CE174" s="59">
        <f t="shared" si="148"/>
        <v>250.17540614049324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0.44736364841720661</v>
      </c>
      <c r="CL174" s="21">
        <f>EXP(-LN(2)/25)*CL173+(1-EXP(-LN(2)/25))/(LN(2)/25)*Calculateur!CG174*Calculateur!CI174*VLOOKUP('Données projet'!$B$12,Paramètres!$A$1:$I$89,3,0)*0.475*44/12</f>
        <v>0.55810404002442737</v>
      </c>
      <c r="CM174" s="21">
        <f>EXP(-LN(2)/2)*CM173+(1-EXP(-LN(2)/2))/(LN(2)/2)*CG174*CJ174*VLOOKUP('Données projet'!$B$12,Paramètres!$A$1:$I$89,3,0)*0.475*44/12</f>
        <v>1.2909545197229409E-20</v>
      </c>
      <c r="CN174" s="22">
        <f t="shared" si="172"/>
        <v>1.005467688441634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-5.1159076974727213E-13</v>
      </c>
      <c r="O175" s="13">
        <f>N175*VLOOKUP('Données projet'!$B$9,Paramètres!$A$1:$I$89,3,0)*VLOOKUP('Données projet'!$B$9,Paramètres!$A$1:$I$89,5,0)</f>
        <v>-3.7509835237869992E-13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234.09142087023463</v>
      </c>
      <c r="T175" s="59">
        <f t="shared" si="142"/>
        <v>278.990685815294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0.14655963191073515</v>
      </c>
      <c r="AA175" s="21">
        <f>EXP(-LN(2)/25)*AA174+(1-EXP(-LN(2)/25))/(LN(2)/25)*Calculateur!V175*Calculateur!X175*VLOOKUP('Données projet'!$B$9,Paramètres!$A$1:$I$89,3,0)*0.475*44/12</f>
        <v>0.29925322587729075</v>
      </c>
      <c r="AB175" s="21">
        <f>EXP(-LN(2)/2)*AB174+(1-EXP(-LN(2)/2))/(LN(2)/2)*V175*Y175*VLOOKUP('Données projet'!$B$9,Paramètres!$A$1:$I$89,3,0)*0.475*44/12</f>
        <v>9.3824229364336728E-21</v>
      </c>
      <c r="AC175" s="22">
        <f t="shared" si="163"/>
        <v>0.44581285778802593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-1.2710188457276673E-13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255.5374979188561</v>
      </c>
      <c r="AO175" s="59">
        <f t="shared" si="144"/>
        <v>343.10418468620901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0.18562758886303043</v>
      </c>
      <c r="AV175" s="21">
        <f>EXP(-LN(2)/25)*AV174+(1-EXP(-LN(2)/25))/(LN(2)/25)*Calculateur!AQ175*Calculateur!AS175*VLOOKUP('Données projet'!$B$10,Paramètres!$A$1:$I$89,3,0)*0.475*44/12</f>
        <v>0.31130748501092925</v>
      </c>
      <c r="AW175" s="21">
        <f>EXP(-LN(2)/2)*AW174+(1-EXP(-LN(2)/2))/(LN(2)/2)*AQ175*AT175*VLOOKUP('Données projet'!$B$10,Paramètres!$A$1:$I$89,3,0)*0.475*44/12</f>
        <v>7.1686603976804885E-22</v>
      </c>
      <c r="AX175" s="21">
        <f t="shared" si="166"/>
        <v>0.49693507387395969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378.0000000000004</v>
      </c>
      <c r="BE175" s="13">
        <f>BD175*VLOOKUP('Données projet'!$B$11,Paramètres!$A$1:$I$89,3,0)*VLOOKUP('Données projet'!$B$11,Paramètres!$A$1:$I$89,5,0)</f>
        <v>324.32400000000035</v>
      </c>
      <c r="BF175" s="13">
        <f t="shared" si="167"/>
        <v>76.252341944982831</v>
      </c>
      <c r="BG175" s="20">
        <f t="shared" si="168"/>
        <v>697.67046222084571</v>
      </c>
      <c r="BH175" s="59">
        <f t="shared" si="116"/>
        <v>991.00379555417908</v>
      </c>
      <c r="BI175" s="59">
        <f ca="1">AVERAGE(OFFSET($BH$3,0,0,'Données projet'!$E$11+1,1))-AVERAGE(OFFSET($H$3,0,0,'Données projet'!$E$11+1,1))</f>
        <v>310.4018929413723</v>
      </c>
      <c r="BJ175" s="59">
        <f t="shared" si="146"/>
        <v>127.5231137583819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0.11483512717099269</v>
      </c>
      <c r="BR175" s="21">
        <f>EXP(-LN(2)/2)*BR174+(1-EXP(-LN(2)/2))/(LN(2)/2)*BL175*BO175*VLOOKUP('Données projet'!$B$11,Paramètres!$A$1:$I$89,3,0)*0.475*44/12</f>
        <v>3.782131424080762E-21</v>
      </c>
      <c r="BS175" s="22">
        <f t="shared" si="169"/>
        <v>0.11483512717099269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210.04871822652808</v>
      </c>
      <c r="CE175" s="59">
        <f t="shared" si="148"/>
        <v>250.17540614049324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0.43859112013662754</v>
      </c>
      <c r="CL175" s="21">
        <f>EXP(-LN(2)/25)*CL174+(1-EXP(-LN(2)/25))/(LN(2)/25)*Calculateur!CG175*Calculateur!CI175*VLOOKUP('Données projet'!$B$12,Paramètres!$A$1:$I$89,3,0)*0.475*44/12</f>
        <v>0.54284265570054346</v>
      </c>
      <c r="CM175" s="21">
        <f>EXP(-LN(2)/2)*CM174+(1-EXP(-LN(2)/2))/(LN(2)/2)*CG175*CJ175*VLOOKUP('Données projet'!$B$12,Paramètres!$A$1:$I$89,3,0)*0.475*44/12</f>
        <v>9.1284269509951412E-21</v>
      </c>
      <c r="CN175" s="22">
        <f t="shared" si="172"/>
        <v>0.98143377583717095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-5.1159076974727213E-13</v>
      </c>
      <c r="O176" s="13">
        <f>N176*VLOOKUP('Données projet'!$B$9,Paramètres!$A$1:$I$89,3,0)*VLOOKUP('Données projet'!$B$9,Paramètres!$A$1:$I$89,5,0)</f>
        <v>-3.7509835237869992E-13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234.09142087023463</v>
      </c>
      <c r="T176" s="59">
        <f t="shared" si="142"/>
        <v>278.990685815294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0.14368568692151432</v>
      </c>
      <c r="AA176" s="21">
        <f>EXP(-LN(2)/25)*AA175+(1-EXP(-LN(2)/25))/(LN(2)/25)*Calculateur!V176*Calculateur!X176*VLOOKUP('Données projet'!$B$9,Paramètres!$A$1:$I$89,3,0)*0.475*44/12</f>
        <v>0.29107013067863302</v>
      </c>
      <c r="AB176" s="21">
        <f>EXP(-LN(2)/2)*AB175+(1-EXP(-LN(2)/2))/(LN(2)/2)*V176*Y176*VLOOKUP('Données projet'!$B$9,Paramètres!$A$1:$I$89,3,0)*0.475*44/12</f>
        <v>6.63437488231245E-21</v>
      </c>
      <c r="AC176" s="22">
        <f t="shared" si="163"/>
        <v>0.43475581760014737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-1.2710188457276673E-13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255.5374979188561</v>
      </c>
      <c r="AO176" s="59">
        <f t="shared" si="144"/>
        <v>343.10418468620901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0.1819875450670759</v>
      </c>
      <c r="AV176" s="21">
        <f>EXP(-LN(2)/25)*AV175+(1-EXP(-LN(2)/25))/(LN(2)/25)*Calculateur!AQ176*Calculateur!AS176*VLOOKUP('Données projet'!$B$10,Paramètres!$A$1:$I$89,3,0)*0.475*44/12</f>
        <v>0.30279476546235629</v>
      </c>
      <c r="AW176" s="21">
        <f>EXP(-LN(2)/2)*AW175+(1-EXP(-LN(2)/2))/(LN(2)/2)*AQ176*AT176*VLOOKUP('Données projet'!$B$10,Paramètres!$A$1:$I$89,3,0)*0.475*44/12</f>
        <v>5.0690083792233259E-22</v>
      </c>
      <c r="AX176" s="21">
        <f t="shared" si="166"/>
        <v>0.48478231052943221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378.0000000000004</v>
      </c>
      <c r="BE176" s="13">
        <f>BD176*VLOOKUP('Données projet'!$B$11,Paramètres!$A$1:$I$89,3,0)*VLOOKUP('Données projet'!$B$11,Paramètres!$A$1:$I$89,5,0)</f>
        <v>324.32400000000035</v>
      </c>
      <c r="BF176" s="13">
        <f t="shared" si="167"/>
        <v>76.252341944982831</v>
      </c>
      <c r="BG176" s="20">
        <f t="shared" si="168"/>
        <v>697.67046222084571</v>
      </c>
      <c r="BH176" s="59">
        <f t="shared" si="116"/>
        <v>991.00379555417908</v>
      </c>
      <c r="BI176" s="59">
        <f ca="1">AVERAGE(OFFSET($BH$3,0,0,'Données projet'!$E$11+1,1))-AVERAGE(OFFSET($H$3,0,0,'Données projet'!$E$11+1,1))</f>
        <v>310.4018929413723</v>
      </c>
      <c r="BJ176" s="59">
        <f t="shared" si="146"/>
        <v>127.5231137583819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0.11169495457958502</v>
      </c>
      <c r="BR176" s="21">
        <f>EXP(-LN(2)/2)*BR175+(1-EXP(-LN(2)/2))/(LN(2)/2)*BL176*BO176*VLOOKUP('Données projet'!$B$11,Paramètres!$A$1:$I$89,3,0)*0.475*44/12</f>
        <v>2.6743707773062408E-21</v>
      </c>
      <c r="BS176" s="22">
        <f t="shared" si="169"/>
        <v>0.11169495457958502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210.04871822652808</v>
      </c>
      <c r="CE176" s="59">
        <f t="shared" si="148"/>
        <v>250.17540614049324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0.42999061578491671</v>
      </c>
      <c r="CL176" s="21">
        <f>EXP(-LN(2)/25)*CL175+(1-EXP(-LN(2)/25))/(LN(2)/25)*Calculateur!CG176*Calculateur!CI176*VLOOKUP('Données projet'!$B$12,Paramètres!$A$1:$I$89,3,0)*0.475*44/12</f>
        <v>0.52799859473355748</v>
      </c>
      <c r="CM176" s="21">
        <f>EXP(-LN(2)/2)*CM175+(1-EXP(-LN(2)/2))/(LN(2)/2)*CG176*CJ176*VLOOKUP('Données projet'!$B$12,Paramètres!$A$1:$I$89,3,0)*0.475*44/12</f>
        <v>6.4547725986147046E-21</v>
      </c>
      <c r="CN176" s="22">
        <f t="shared" si="172"/>
        <v>0.95798921051847419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-5.1159076974727213E-13</v>
      </c>
      <c r="O177" s="13">
        <f>N177*VLOOKUP('Données projet'!$B$9,Paramètres!$A$1:$I$89,3,0)*VLOOKUP('Données projet'!$B$9,Paramètres!$A$1:$I$89,5,0)</f>
        <v>-3.7509835237869992E-13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234.09142087023463</v>
      </c>
      <c r="T177" s="59">
        <f t="shared" si="142"/>
        <v>278.990685815294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0.14086809824059876</v>
      </c>
      <c r="AA177" s="21">
        <f>EXP(-LN(2)/25)*AA176+(1-EXP(-LN(2)/25))/(LN(2)/25)*Calculateur!V177*Calculateur!X177*VLOOKUP('Données projet'!$B$9,Paramètres!$A$1:$I$89,3,0)*0.475*44/12</f>
        <v>0.2831108026485129</v>
      </c>
      <c r="AB177" s="21">
        <f>EXP(-LN(2)/2)*AB176+(1-EXP(-LN(2)/2))/(LN(2)/2)*V177*Y177*VLOOKUP('Données projet'!$B$9,Paramètres!$A$1:$I$89,3,0)*0.475*44/12</f>
        <v>4.6912114682168371E-21</v>
      </c>
      <c r="AC177" s="22">
        <f t="shared" si="163"/>
        <v>0.42397890088911167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-1.2710188457276673E-13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255.5374979188561</v>
      </c>
      <c r="AO177" s="59">
        <f t="shared" si="144"/>
        <v>343.10418468620901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0.17841888030975256</v>
      </c>
      <c r="AV177" s="21">
        <f>EXP(-LN(2)/25)*AV176+(1-EXP(-LN(2)/25))/(LN(2)/25)*Calculateur!AQ177*Calculateur!AS177*VLOOKUP('Données projet'!$B$10,Paramètres!$A$1:$I$89,3,0)*0.475*44/12</f>
        <v>0.29451482667750351</v>
      </c>
      <c r="AW177" s="21">
        <f>EXP(-LN(2)/2)*AW176+(1-EXP(-LN(2)/2))/(LN(2)/2)*AQ177*AT177*VLOOKUP('Données projet'!$B$10,Paramètres!$A$1:$I$89,3,0)*0.475*44/12</f>
        <v>3.5843301988402443E-22</v>
      </c>
      <c r="AX177" s="21">
        <f t="shared" si="166"/>
        <v>0.47293370698725606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378.0000000000004</v>
      </c>
      <c r="BE177" s="13">
        <f>BD177*VLOOKUP('Données projet'!$B$11,Paramètres!$A$1:$I$89,3,0)*VLOOKUP('Données projet'!$B$11,Paramètres!$A$1:$I$89,5,0)</f>
        <v>324.32400000000035</v>
      </c>
      <c r="BF177" s="13">
        <f t="shared" si="167"/>
        <v>76.252341944982831</v>
      </c>
      <c r="BG177" s="20">
        <f t="shared" si="168"/>
        <v>697.67046222084571</v>
      </c>
      <c r="BH177" s="59">
        <f t="shared" si="116"/>
        <v>991.00379555417908</v>
      </c>
      <c r="BI177" s="59">
        <f ca="1">AVERAGE(OFFSET($BH$3,0,0,'Données projet'!$E$11+1,1))-AVERAGE(OFFSET($H$3,0,0,'Données projet'!$E$11+1,1))</f>
        <v>310.4018929413723</v>
      </c>
      <c r="BJ177" s="59">
        <f t="shared" si="146"/>
        <v>127.5231137583819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0.10864065017282389</v>
      </c>
      <c r="BR177" s="21">
        <f>EXP(-LN(2)/2)*BR176+(1-EXP(-LN(2)/2))/(LN(2)/2)*BL177*BO177*VLOOKUP('Données projet'!$B$11,Paramètres!$A$1:$I$89,3,0)*0.475*44/12</f>
        <v>1.891065712040381E-21</v>
      </c>
      <c r="BS177" s="22">
        <f t="shared" si="169"/>
        <v>0.10864065017282389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210.04871822652808</v>
      </c>
      <c r="CE177" s="59">
        <f t="shared" si="148"/>
        <v>250.17540614049324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0.42155876207775328</v>
      </c>
      <c r="CL177" s="21">
        <f>EXP(-LN(2)/25)*CL176+(1-EXP(-LN(2)/25))/(LN(2)/25)*Calculateur!CG177*Calculateur!CI177*VLOOKUP('Données projet'!$B$12,Paramètres!$A$1:$I$89,3,0)*0.475*44/12</f>
        <v>0.51356044539432899</v>
      </c>
      <c r="CM177" s="21">
        <f>EXP(-LN(2)/2)*CM176+(1-EXP(-LN(2)/2))/(LN(2)/2)*CG177*CJ177*VLOOKUP('Données projet'!$B$12,Paramètres!$A$1:$I$89,3,0)*0.475*44/12</f>
        <v>4.5642134754975706E-21</v>
      </c>
      <c r="CN177" s="22">
        <f t="shared" si="172"/>
        <v>0.93511920747208221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-5.1159076974727213E-13</v>
      </c>
      <c r="O178" s="13">
        <f>N178*VLOOKUP('Données projet'!$B$9,Paramètres!$A$1:$I$89,3,0)*VLOOKUP('Données projet'!$B$9,Paramètres!$A$1:$I$89,5,0)</f>
        <v>-3.7509835237869992E-13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234.09142087023463</v>
      </c>
      <c r="T178" s="59">
        <f t="shared" si="142"/>
        <v>278.990685815294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0.13810576075515654</v>
      </c>
      <c r="AA178" s="21">
        <f>EXP(-LN(2)/25)*AA177+(1-EXP(-LN(2)/25))/(LN(2)/25)*Calculateur!V178*Calculateur!X178*VLOOKUP('Données projet'!$B$9,Paramètres!$A$1:$I$89,3,0)*0.475*44/12</f>
        <v>0.27536912286193926</v>
      </c>
      <c r="AB178" s="21">
        <f>EXP(-LN(2)/2)*AB177+(1-EXP(-LN(2)/2))/(LN(2)/2)*V178*Y178*VLOOKUP('Données projet'!$B$9,Paramètres!$A$1:$I$89,3,0)*0.475*44/12</f>
        <v>3.3171874411562257E-21</v>
      </c>
      <c r="AC178" s="22">
        <f t="shared" si="163"/>
        <v>0.41347488361709583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-1.2710188457276673E-13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255.5374979188561</v>
      </c>
      <c r="AO178" s="59">
        <f t="shared" si="144"/>
        <v>343.10418468620901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0.17492019489164976</v>
      </c>
      <c r="AV178" s="21">
        <f>EXP(-LN(2)/25)*AV177+(1-EXP(-LN(2)/25))/(LN(2)/25)*Calculateur!AQ178*Calculateur!AS178*VLOOKUP('Données projet'!$B$10,Paramètres!$A$1:$I$89,3,0)*0.475*44/12</f>
        <v>0.28646130325414554</v>
      </c>
      <c r="AW178" s="21">
        <f>EXP(-LN(2)/2)*AW177+(1-EXP(-LN(2)/2))/(LN(2)/2)*AQ178*AT178*VLOOKUP('Données projet'!$B$10,Paramètres!$A$1:$I$89,3,0)*0.475*44/12</f>
        <v>2.5345041896116629E-22</v>
      </c>
      <c r="AX178" s="21">
        <f t="shared" si="166"/>
        <v>0.46138149814579532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378.0000000000004</v>
      </c>
      <c r="BE178" s="13">
        <f>BD178*VLOOKUP('Données projet'!$B$11,Paramètres!$A$1:$I$89,3,0)*VLOOKUP('Données projet'!$B$11,Paramètres!$A$1:$I$89,5,0)</f>
        <v>324.32400000000035</v>
      </c>
      <c r="BF178" s="13">
        <f t="shared" si="167"/>
        <v>76.252341944982831</v>
      </c>
      <c r="BG178" s="20">
        <f t="shared" si="168"/>
        <v>697.67046222084571</v>
      </c>
      <c r="BH178" s="59">
        <f t="shared" si="116"/>
        <v>991.00379555417908</v>
      </c>
      <c r="BI178" s="59">
        <f ca="1">AVERAGE(OFFSET($BH$3,0,0,'Données projet'!$E$11+1,1))-AVERAGE(OFFSET($H$3,0,0,'Données projet'!$E$11+1,1))</f>
        <v>310.4018929413723</v>
      </c>
      <c r="BJ178" s="59">
        <f t="shared" si="146"/>
        <v>127.5231137583819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0.10566986588068453</v>
      </c>
      <c r="BR178" s="21">
        <f>EXP(-LN(2)/2)*BR177+(1-EXP(-LN(2)/2))/(LN(2)/2)*BL178*BO178*VLOOKUP('Données projet'!$B$11,Paramètres!$A$1:$I$89,3,0)*0.475*44/12</f>
        <v>1.3371853886531204E-21</v>
      </c>
      <c r="BS178" s="22">
        <f t="shared" si="169"/>
        <v>0.10566986588068453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210.04871822652808</v>
      </c>
      <c r="CE178" s="59">
        <f t="shared" si="148"/>
        <v>250.17540614049324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0.41329225187886437</v>
      </c>
      <c r="CL178" s="21">
        <f>EXP(-LN(2)/25)*CL177+(1-EXP(-LN(2)/25))/(LN(2)/25)*Calculateur!CG178*Calculateur!CI178*VLOOKUP('Données projet'!$B$12,Paramètres!$A$1:$I$89,3,0)*0.475*44/12</f>
        <v>0.49951710800805099</v>
      </c>
      <c r="CM178" s="21">
        <f>EXP(-LN(2)/2)*CM177+(1-EXP(-LN(2)/2))/(LN(2)/2)*CG178*CJ178*VLOOKUP('Données projet'!$B$12,Paramètres!$A$1:$I$89,3,0)*0.475*44/12</f>
        <v>3.2273862993073523E-21</v>
      </c>
      <c r="CN178" s="22">
        <f t="shared" si="172"/>
        <v>0.91280935988691536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-5.1159076974727213E-13</v>
      </c>
      <c r="O179" s="13">
        <f>N179*VLOOKUP('Données projet'!$B$9,Paramètres!$A$1:$I$89,3,0)*VLOOKUP('Données projet'!$B$9,Paramètres!$A$1:$I$89,5,0)</f>
        <v>-3.7509835237869992E-13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234.09142087023463</v>
      </c>
      <c r="T179" s="59">
        <f t="shared" si="142"/>
        <v>278.990685815294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0.13539759102294435</v>
      </c>
      <c r="AA179" s="21">
        <f>EXP(-LN(2)/25)*AA178+(1-EXP(-LN(2)/25))/(LN(2)/25)*Calculateur!V179*Calculateur!X179*VLOOKUP('Données projet'!$B$9,Paramètres!$A$1:$I$89,3,0)*0.475*44/12</f>
        <v>0.26783913971624673</v>
      </c>
      <c r="AB179" s="21">
        <f>EXP(-LN(2)/2)*AB178+(1-EXP(-LN(2)/2))/(LN(2)/2)*V179*Y179*VLOOKUP('Données projet'!$B$9,Paramètres!$A$1:$I$89,3,0)*0.475*44/12</f>
        <v>2.3456057341084189E-21</v>
      </c>
      <c r="AC179" s="22">
        <f t="shared" si="163"/>
        <v>0.40323673073919108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-1.2710188457276673E-13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255.5374979188561</v>
      </c>
      <c r="AO179" s="59">
        <f t="shared" si="144"/>
        <v>343.10418468620901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0.17149011656060856</v>
      </c>
      <c r="AV179" s="21">
        <f>EXP(-LN(2)/25)*AV178+(1-EXP(-LN(2)/25))/(LN(2)/25)*Calculateur!AQ179*Calculateur!AS179*VLOOKUP('Données projet'!$B$10,Paramètres!$A$1:$I$89,3,0)*0.475*44/12</f>
        <v>0.27862800385231573</v>
      </c>
      <c r="AW179" s="21">
        <f>EXP(-LN(2)/2)*AW178+(1-EXP(-LN(2)/2))/(LN(2)/2)*AQ179*AT179*VLOOKUP('Données projet'!$B$10,Paramètres!$A$1:$I$89,3,0)*0.475*44/12</f>
        <v>1.7921650994201221E-22</v>
      </c>
      <c r="AX179" s="21">
        <f t="shared" si="166"/>
        <v>0.45011812041292432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378.0000000000004</v>
      </c>
      <c r="BE179" s="13">
        <f>BD179*VLOOKUP('Données projet'!$B$11,Paramètres!$A$1:$I$89,3,0)*VLOOKUP('Données projet'!$B$11,Paramètres!$A$1:$I$89,5,0)</f>
        <v>324.32400000000035</v>
      </c>
      <c r="BF179" s="13">
        <f t="shared" si="167"/>
        <v>76.252341944982831</v>
      </c>
      <c r="BG179" s="20">
        <f t="shared" si="168"/>
        <v>697.67046222084571</v>
      </c>
      <c r="BH179" s="59">
        <f t="shared" si="116"/>
        <v>991.00379555417908</v>
      </c>
      <c r="BI179" s="59">
        <f ca="1">AVERAGE(OFFSET($BH$3,0,0,'Données projet'!$E$11+1,1))-AVERAGE(OFFSET($H$3,0,0,'Données projet'!$E$11+1,1))</f>
        <v>310.4018929413723</v>
      </c>
      <c r="BJ179" s="59">
        <f t="shared" si="146"/>
        <v>127.5231137583819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0.10278031784124048</v>
      </c>
      <c r="BR179" s="21">
        <f>EXP(-LN(2)/2)*BR178+(1-EXP(-LN(2)/2))/(LN(2)/2)*BL179*BO179*VLOOKUP('Données projet'!$B$11,Paramètres!$A$1:$I$89,3,0)*0.475*44/12</f>
        <v>9.455328560201905E-22</v>
      </c>
      <c r="BS179" s="22">
        <f t="shared" si="169"/>
        <v>0.10278031784124048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210.04871822652808</v>
      </c>
      <c r="CE179" s="59">
        <f t="shared" si="148"/>
        <v>250.17540614049324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0.40518784290290233</v>
      </c>
      <c r="CL179" s="21">
        <f>EXP(-LN(2)/25)*CL178+(1-EXP(-LN(2)/25))/(LN(2)/25)*Calculateur!CG179*Calculateur!CI179*VLOOKUP('Données projet'!$B$12,Paramètres!$A$1:$I$89,3,0)*0.475*44/12</f>
        <v>0.48585778642110777</v>
      </c>
      <c r="CM179" s="21">
        <f>EXP(-LN(2)/2)*CM178+(1-EXP(-LN(2)/2))/(LN(2)/2)*CG179*CJ179*VLOOKUP('Données projet'!$B$12,Paramètres!$A$1:$I$89,3,0)*0.475*44/12</f>
        <v>2.2821067377487853E-21</v>
      </c>
      <c r="CN179" s="22">
        <f t="shared" si="172"/>
        <v>0.8910456293240101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-5.1159076974727213E-13</v>
      </c>
      <c r="O180" s="13">
        <f>N180*VLOOKUP('Données projet'!$B$9,Paramètres!$A$1:$I$89,3,0)*VLOOKUP('Données projet'!$B$9,Paramètres!$A$1:$I$89,5,0)</f>
        <v>-3.7509835237869992E-13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234.09142087023463</v>
      </c>
      <c r="T180" s="59">
        <f t="shared" si="142"/>
        <v>278.990685815294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0.1327425268473604</v>
      </c>
      <c r="AA180" s="21">
        <f>EXP(-LN(2)/25)*AA179+(1-EXP(-LN(2)/25))/(LN(2)/25)*Calculateur!V180*Calculateur!X180*VLOOKUP('Données projet'!$B$9,Paramètres!$A$1:$I$89,3,0)*0.475*44/12</f>
        <v>0.26051506435565774</v>
      </c>
      <c r="AB180" s="21">
        <f>EXP(-LN(2)/2)*AB179+(1-EXP(-LN(2)/2))/(LN(2)/2)*V180*Y180*VLOOKUP('Données projet'!$B$9,Paramètres!$A$1:$I$89,3,0)*0.475*44/12</f>
        <v>1.6585937205781131E-21</v>
      </c>
      <c r="AC180" s="22">
        <f t="shared" si="163"/>
        <v>0.39325759120301818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-1.2710188457276673E-13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255.5374979188561</v>
      </c>
      <c r="AO180" s="59">
        <f t="shared" si="144"/>
        <v>343.10418468620901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0.16812729997349787</v>
      </c>
      <c r="AV180" s="21">
        <f>EXP(-LN(2)/25)*AV179+(1-EXP(-LN(2)/25))/(LN(2)/25)*Calculateur!AQ180*Calculateur!AS180*VLOOKUP('Données projet'!$B$10,Paramètres!$A$1:$I$89,3,0)*0.475*44/12</f>
        <v>0.27100890643456427</v>
      </c>
      <c r="AW180" s="21">
        <f>EXP(-LN(2)/2)*AW179+(1-EXP(-LN(2)/2))/(LN(2)/2)*AQ180*AT180*VLOOKUP('Données projet'!$B$10,Paramètres!$A$1:$I$89,3,0)*0.475*44/12</f>
        <v>1.2672520948058315E-22</v>
      </c>
      <c r="AX180" s="21">
        <f t="shared" si="166"/>
        <v>0.43913620640806217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378.0000000000004</v>
      </c>
      <c r="BE180" s="13">
        <f>BD180*VLOOKUP('Données projet'!$B$11,Paramètres!$A$1:$I$89,3,0)*VLOOKUP('Données projet'!$B$11,Paramètres!$A$1:$I$89,5,0)</f>
        <v>324.32400000000035</v>
      </c>
      <c r="BF180" s="13">
        <f t="shared" si="167"/>
        <v>76.252341944982831</v>
      </c>
      <c r="BG180" s="20">
        <f t="shared" si="168"/>
        <v>697.67046222084571</v>
      </c>
      <c r="BH180" s="59">
        <f t="shared" si="116"/>
        <v>991.00379555417908</v>
      </c>
      <c r="BI180" s="59">
        <f ca="1">AVERAGE(OFFSET($BH$3,0,0,'Données projet'!$E$11+1,1))-AVERAGE(OFFSET($H$3,0,0,'Données projet'!$E$11+1,1))</f>
        <v>310.4018929413723</v>
      </c>
      <c r="BJ180" s="59">
        <f t="shared" si="146"/>
        <v>127.5231137583819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9.9969784644889745E-2</v>
      </c>
      <c r="BR180" s="21">
        <f>EXP(-LN(2)/2)*BR179+(1-EXP(-LN(2)/2))/(LN(2)/2)*BL180*BO180*VLOOKUP('Données projet'!$B$11,Paramètres!$A$1:$I$89,3,0)*0.475*44/12</f>
        <v>6.6859269432656019E-22</v>
      </c>
      <c r="BS180" s="22">
        <f t="shared" si="169"/>
        <v>9.9969784644889745E-2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210.04871822652808</v>
      </c>
      <c r="CE180" s="59">
        <f t="shared" si="148"/>
        <v>250.17540614049324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0.39724235644375749</v>
      </c>
      <c r="CL180" s="21">
        <f>EXP(-LN(2)/25)*CL179+(1-EXP(-LN(2)/25))/(LN(2)/25)*Calculateur!CG180*Calculateur!CI180*VLOOKUP('Données projet'!$B$12,Paramètres!$A$1:$I$89,3,0)*0.475*44/12</f>
        <v>0.47257197970127202</v>
      </c>
      <c r="CM180" s="21">
        <f>EXP(-LN(2)/2)*CM179+(1-EXP(-LN(2)/2))/(LN(2)/2)*CG180*CJ180*VLOOKUP('Données projet'!$B$12,Paramètres!$A$1:$I$89,3,0)*0.475*44/12</f>
        <v>1.6136931496536761E-21</v>
      </c>
      <c r="CN180" s="22">
        <f t="shared" si="172"/>
        <v>0.86981433614502945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-5.1159076974727213E-13</v>
      </c>
      <c r="O181" s="13">
        <f>N181*VLOOKUP('Données projet'!$B$9,Paramètres!$A$1:$I$89,3,0)*VLOOKUP('Données projet'!$B$9,Paramètres!$A$1:$I$89,5,0)</f>
        <v>-3.7509835237869992E-13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234.09142087023463</v>
      </c>
      <c r="T181" s="59">
        <f t="shared" si="142"/>
        <v>278.990685815294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0.13013952686083041</v>
      </c>
      <c r="AA181" s="21">
        <f>EXP(-LN(2)/25)*AA180+(1-EXP(-LN(2)/25))/(LN(2)/25)*Calculateur!V181*Calculateur!X181*VLOOKUP('Données projet'!$B$9,Paramètres!$A$1:$I$89,3,0)*0.475*44/12</f>
        <v>0.25339126622096048</v>
      </c>
      <c r="AB181" s="21">
        <f>EXP(-LN(2)/2)*AB180+(1-EXP(-LN(2)/2))/(LN(2)/2)*V181*Y181*VLOOKUP('Données projet'!$B$9,Paramètres!$A$1:$I$89,3,0)*0.475*44/12</f>
        <v>1.1728028670542097E-21</v>
      </c>
      <c r="AC181" s="22">
        <f t="shared" si="163"/>
        <v>0.38353079308179089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-1.2710188457276673E-13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255.5374979188561</v>
      </c>
      <c r="AO181" s="59">
        <f t="shared" si="144"/>
        <v>343.10418468620901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0.16483042616854485</v>
      </c>
      <c r="AV181" s="21">
        <f>EXP(-LN(2)/25)*AV180+(1-EXP(-LN(2)/25))/(LN(2)/25)*Calculateur!AQ181*Calculateur!AS181*VLOOKUP('Données projet'!$B$10,Paramètres!$A$1:$I$89,3,0)*0.475*44/12</f>
        <v>0.26359815363637212</v>
      </c>
      <c r="AW181" s="21">
        <f>EXP(-LN(2)/2)*AW180+(1-EXP(-LN(2)/2))/(LN(2)/2)*AQ181*AT181*VLOOKUP('Données projet'!$B$10,Paramètres!$A$1:$I$89,3,0)*0.475*44/12</f>
        <v>8.9608254971006107E-23</v>
      </c>
      <c r="AX181" s="21">
        <f t="shared" si="166"/>
        <v>0.428428579804917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378.0000000000004</v>
      </c>
      <c r="BE181" s="13">
        <f>BD181*VLOOKUP('Données projet'!$B$11,Paramètres!$A$1:$I$89,3,0)*VLOOKUP('Données projet'!$B$11,Paramètres!$A$1:$I$89,5,0)</f>
        <v>324.32400000000035</v>
      </c>
      <c r="BF181" s="13">
        <f t="shared" si="167"/>
        <v>76.252341944982831</v>
      </c>
      <c r="BG181" s="20">
        <f t="shared" si="168"/>
        <v>697.67046222084571</v>
      </c>
      <c r="BH181" s="59">
        <f t="shared" si="116"/>
        <v>991.00379555417908</v>
      </c>
      <c r="BI181" s="59">
        <f ca="1">AVERAGE(OFFSET($BH$3,0,0,'Données projet'!$E$11+1,1))-AVERAGE(OFFSET($H$3,0,0,'Données projet'!$E$11+1,1))</f>
        <v>310.4018929413723</v>
      </c>
      <c r="BJ181" s="59">
        <f t="shared" si="146"/>
        <v>127.5231137583819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9.7236105626592739E-2</v>
      </c>
      <c r="BR181" s="21">
        <f>EXP(-LN(2)/2)*BR180+(1-EXP(-LN(2)/2))/(LN(2)/2)*BL181*BO181*VLOOKUP('Données projet'!$B$11,Paramètres!$A$1:$I$89,3,0)*0.475*44/12</f>
        <v>4.7276642801009525E-22</v>
      </c>
      <c r="BS181" s="22">
        <f t="shared" si="169"/>
        <v>9.7236105626592739E-2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210.04871822652808</v>
      </c>
      <c r="CE181" s="59">
        <f t="shared" si="148"/>
        <v>250.17540614049324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0.38945267612780832</v>
      </c>
      <c r="CL181" s="21">
        <f>EXP(-LN(2)/25)*CL180+(1-EXP(-LN(2)/25))/(LN(2)/25)*Calculateur!CG181*Calculateur!CI181*VLOOKUP('Données projet'!$B$12,Paramètres!$A$1:$I$89,3,0)*0.475*44/12</f>
        <v>0.4596494740648604</v>
      </c>
      <c r="CM181" s="21">
        <f>EXP(-LN(2)/2)*CM180+(1-EXP(-LN(2)/2))/(LN(2)/2)*CG181*CJ181*VLOOKUP('Données projet'!$B$12,Paramètres!$A$1:$I$89,3,0)*0.475*44/12</f>
        <v>1.1410533688743926E-21</v>
      </c>
      <c r="CN181" s="22">
        <f t="shared" si="172"/>
        <v>0.84910215019266877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-5.1159076974727213E-13</v>
      </c>
      <c r="O182" s="13">
        <f>N182*VLOOKUP('Données projet'!$B$9,Paramètres!$A$1:$I$89,3,0)*VLOOKUP('Données projet'!$B$9,Paramètres!$A$1:$I$89,5,0)</f>
        <v>-3.7509835237869992E-13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234.09142087023463</v>
      </c>
      <c r="T182" s="59">
        <f t="shared" si="142"/>
        <v>278.990685815294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0.12758757011636307</v>
      </c>
      <c r="AA182" s="21">
        <f>EXP(-LN(2)/25)*AA181+(1-EXP(-LN(2)/25))/(LN(2)/25)*Calculateur!V182*Calculateur!X182*VLOOKUP('Données projet'!$B$9,Paramètres!$A$1:$I$89,3,0)*0.475*44/12</f>
        <v>0.24646226872088076</v>
      </c>
      <c r="AB182" s="21">
        <f>EXP(-LN(2)/2)*AB181+(1-EXP(-LN(2)/2))/(LN(2)/2)*V182*Y182*VLOOKUP('Données projet'!$B$9,Paramètres!$A$1:$I$89,3,0)*0.475*44/12</f>
        <v>8.2929686028905672E-22</v>
      </c>
      <c r="AC182" s="22">
        <f t="shared" si="163"/>
        <v>0.37404983883724385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-1.2710188457276673E-13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255.5374979188561</v>
      </c>
      <c r="AO182" s="59">
        <f t="shared" si="144"/>
        <v>343.10418468620901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0.16159820204801248</v>
      </c>
      <c r="AV182" s="21">
        <f>EXP(-LN(2)/25)*AV181+(1-EXP(-LN(2)/25))/(LN(2)/25)*Calculateur!AQ182*Calculateur!AS182*VLOOKUP('Données projet'!$B$10,Paramètres!$A$1:$I$89,3,0)*0.475*44/12</f>
        <v>0.25639004826316109</v>
      </c>
      <c r="AW182" s="21">
        <f>EXP(-LN(2)/2)*AW181+(1-EXP(-LN(2)/2))/(LN(2)/2)*AQ182*AT182*VLOOKUP('Données projet'!$B$10,Paramètres!$A$1:$I$89,3,0)*0.475*44/12</f>
        <v>6.3362604740291573E-23</v>
      </c>
      <c r="AX182" s="21">
        <f t="shared" si="166"/>
        <v>0.41798825031117359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378.0000000000004</v>
      </c>
      <c r="BE182" s="13">
        <f>BD182*VLOOKUP('Données projet'!$B$11,Paramètres!$A$1:$I$89,3,0)*VLOOKUP('Données projet'!$B$11,Paramètres!$A$1:$I$89,5,0)</f>
        <v>324.32400000000035</v>
      </c>
      <c r="BF182" s="13">
        <f t="shared" si="167"/>
        <v>76.252341944982831</v>
      </c>
      <c r="BG182" s="20">
        <f t="shared" si="168"/>
        <v>697.67046222084571</v>
      </c>
      <c r="BH182" s="59">
        <f t="shared" si="116"/>
        <v>991.00379555417908</v>
      </c>
      <c r="BI182" s="59">
        <f ca="1">AVERAGE(OFFSET($BH$3,0,0,'Données projet'!$E$11+1,1))-AVERAGE(OFFSET($H$3,0,0,'Données projet'!$E$11+1,1))</f>
        <v>310.4018929413723</v>
      </c>
      <c r="BJ182" s="59">
        <f t="shared" si="146"/>
        <v>127.5231137583819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9.4577179204809E-2</v>
      </c>
      <c r="BR182" s="21">
        <f>EXP(-LN(2)/2)*BR181+(1-EXP(-LN(2)/2))/(LN(2)/2)*BL182*BO182*VLOOKUP('Données projet'!$B$11,Paramètres!$A$1:$I$89,3,0)*0.475*44/12</f>
        <v>3.342963471632801E-22</v>
      </c>
      <c r="BS182" s="22">
        <f t="shared" si="169"/>
        <v>9.4577179204809E-2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210.04871822652808</v>
      </c>
      <c r="CE182" s="59">
        <f t="shared" si="148"/>
        <v>250.17540614049324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0.38181574669161905</v>
      </c>
      <c r="CL182" s="21">
        <f>EXP(-LN(2)/25)*CL181+(1-EXP(-LN(2)/25))/(LN(2)/25)*Calculateur!CG182*Calculateur!CI182*VLOOKUP('Données projet'!$B$12,Paramètres!$A$1:$I$89,3,0)*0.475*44/12</f>
        <v>0.44708033502464151</v>
      </c>
      <c r="CM182" s="21">
        <f>EXP(-LN(2)/2)*CM181+(1-EXP(-LN(2)/2))/(LN(2)/2)*CG182*CJ182*VLOOKUP('Données projet'!$B$12,Paramètres!$A$1:$I$89,3,0)*0.475*44/12</f>
        <v>8.0684657482683807E-22</v>
      </c>
      <c r="CN182" s="22">
        <f t="shared" si="172"/>
        <v>0.8288960817162605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-5.1159076974727213E-13</v>
      </c>
      <c r="O183" s="13">
        <f>N183*VLOOKUP('Données projet'!$B$9,Paramètres!$A$1:$I$89,3,0)*VLOOKUP('Données projet'!$B$9,Paramètres!$A$1:$I$89,5,0)</f>
        <v>-3.7509835237869992E-13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234.09142087023463</v>
      </c>
      <c r="T183" s="59">
        <f t="shared" si="142"/>
        <v>278.990685815294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0.1250856556871148</v>
      </c>
      <c r="AA183" s="21">
        <f>EXP(-LN(2)/25)*AA182+(1-EXP(-LN(2)/25))/(LN(2)/25)*Calculateur!V183*Calculateur!X183*VLOOKUP('Données projet'!$B$9,Paramètres!$A$1:$I$89,3,0)*0.475*44/12</f>
        <v>0.23972274502182087</v>
      </c>
      <c r="AB183" s="21">
        <f>EXP(-LN(2)/2)*AB182+(1-EXP(-LN(2)/2))/(LN(2)/2)*V183*Y183*VLOOKUP('Données projet'!$B$9,Paramètres!$A$1:$I$89,3,0)*0.475*44/12</f>
        <v>5.8640143352710492E-22</v>
      </c>
      <c r="AC183" s="22">
        <f t="shared" si="163"/>
        <v>0.36480840070893567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-1.2710188457276673E-13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255.5374979188561</v>
      </c>
      <c r="AO183" s="59">
        <f t="shared" si="144"/>
        <v>343.10418468620901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0.15842935987102169</v>
      </c>
      <c r="AV183" s="21">
        <f>EXP(-LN(2)/25)*AV182+(1-EXP(-LN(2)/25))/(LN(2)/25)*Calculateur!AQ183*Calculateur!AS183*VLOOKUP('Données projet'!$B$10,Paramètres!$A$1:$I$89,3,0)*0.475*44/12</f>
        <v>0.2493790489104383</v>
      </c>
      <c r="AW183" s="21">
        <f>EXP(-LN(2)/2)*AW182+(1-EXP(-LN(2)/2))/(LN(2)/2)*AQ183*AT183*VLOOKUP('Données projet'!$B$10,Paramètres!$A$1:$I$89,3,0)*0.475*44/12</f>
        <v>4.4804127485503053E-23</v>
      </c>
      <c r="AX183" s="21">
        <f t="shared" si="166"/>
        <v>0.40780840878145996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378.0000000000004</v>
      </c>
      <c r="BE183" s="13">
        <f>BD183*VLOOKUP('Données projet'!$B$11,Paramètres!$A$1:$I$89,3,0)*VLOOKUP('Données projet'!$B$11,Paramètres!$A$1:$I$89,5,0)</f>
        <v>324.32400000000035</v>
      </c>
      <c r="BF183" s="13">
        <f t="shared" si="167"/>
        <v>76.252341944982831</v>
      </c>
      <c r="BG183" s="20">
        <f t="shared" si="168"/>
        <v>697.67046222084571</v>
      </c>
      <c r="BH183" s="59">
        <f t="shared" si="116"/>
        <v>991.00379555417908</v>
      </c>
      <c r="BI183" s="59">
        <f ca="1">AVERAGE(OFFSET($BH$3,0,0,'Données projet'!$E$11+1,1))-AVERAGE(OFFSET($H$3,0,0,'Données projet'!$E$11+1,1))</f>
        <v>310.4018929413723</v>
      </c>
      <c r="BJ183" s="59">
        <f t="shared" si="146"/>
        <v>127.5231137583819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9.1990961265855806E-2</v>
      </c>
      <c r="BR183" s="21">
        <f>EXP(-LN(2)/2)*BR182+(1-EXP(-LN(2)/2))/(LN(2)/2)*BL183*BO183*VLOOKUP('Données projet'!$B$11,Paramètres!$A$1:$I$89,3,0)*0.475*44/12</f>
        <v>2.3638321400504763E-22</v>
      </c>
      <c r="BS183" s="22">
        <f t="shared" si="169"/>
        <v>9.1990961265855806E-2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210.04871822652808</v>
      </c>
      <c r="CE183" s="59">
        <f t="shared" si="148"/>
        <v>250.17540614049324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0.37432857278360643</v>
      </c>
      <c r="CL183" s="21">
        <f>EXP(-LN(2)/25)*CL182+(1-EXP(-LN(2)/25))/(LN(2)/25)*Calculateur!CG183*Calculateur!CI183*VLOOKUP('Données projet'!$B$12,Paramètres!$A$1:$I$89,3,0)*0.475*44/12</f>
        <v>0.43485489975245967</v>
      </c>
      <c r="CM183" s="21">
        <f>EXP(-LN(2)/2)*CM182+(1-EXP(-LN(2)/2))/(LN(2)/2)*CG183*CJ183*VLOOKUP('Données projet'!$B$12,Paramètres!$A$1:$I$89,3,0)*0.475*44/12</f>
        <v>5.7052668443719632E-22</v>
      </c>
      <c r="CN183" s="22">
        <f t="shared" si="172"/>
        <v>0.80918347253606604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-5.1159076974727213E-13</v>
      </c>
      <c r="O184" s="13">
        <f>N184*VLOOKUP('Données projet'!$B$9,Paramètres!$A$1:$I$89,3,0)*VLOOKUP('Données projet'!$B$9,Paramètres!$A$1:$I$89,5,0)</f>
        <v>-3.7509835237869992E-13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234.09142087023463</v>
      </c>
      <c r="T184" s="59">
        <f t="shared" si="142"/>
        <v>278.990685815294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0.12263280227380698</v>
      </c>
      <c r="AA184" s="21">
        <f>EXP(-LN(2)/25)*AA183+(1-EXP(-LN(2)/25))/(LN(2)/25)*Calculateur!V184*Calculateur!X184*VLOOKUP('Données projet'!$B$9,Paramètres!$A$1:$I$89,3,0)*0.475*44/12</f>
        <v>0.23316751395272792</v>
      </c>
      <c r="AB184" s="21">
        <f>EXP(-LN(2)/2)*AB183+(1-EXP(-LN(2)/2))/(LN(2)/2)*V184*Y184*VLOOKUP('Données projet'!$B$9,Paramètres!$A$1:$I$89,3,0)*0.475*44/12</f>
        <v>4.1464843014452841E-22</v>
      </c>
      <c r="AC184" s="22">
        <f t="shared" si="163"/>
        <v>0.35580031622653491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-1.2710188457276673E-13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255.5374979188561</v>
      </c>
      <c r="AO184" s="59">
        <f t="shared" si="144"/>
        <v>343.10418468620901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0.15532265675631882</v>
      </c>
      <c r="AV184" s="21">
        <f>EXP(-LN(2)/25)*AV183+(1-EXP(-LN(2)/25))/(LN(2)/25)*Calculateur!AQ184*Calculateur!AS184*VLOOKUP('Données projet'!$B$10,Paramètres!$A$1:$I$89,3,0)*0.475*44/12</f>
        <v>0.24255976570370816</v>
      </c>
      <c r="AW184" s="21">
        <f>EXP(-LN(2)/2)*AW183+(1-EXP(-LN(2)/2))/(LN(2)/2)*AQ184*AT184*VLOOKUP('Données projet'!$B$10,Paramètres!$A$1:$I$89,3,0)*0.475*44/12</f>
        <v>3.1681302370145787E-23</v>
      </c>
      <c r="AX184" s="21">
        <f t="shared" si="166"/>
        <v>0.39788242246002697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378.0000000000004</v>
      </c>
      <c r="BE184" s="13">
        <f>BD184*VLOOKUP('Données projet'!$B$11,Paramètres!$A$1:$I$89,3,0)*VLOOKUP('Données projet'!$B$11,Paramètres!$A$1:$I$89,5,0)</f>
        <v>324.32400000000035</v>
      </c>
      <c r="BF184" s="13">
        <f t="shared" si="167"/>
        <v>76.252341944982831</v>
      </c>
      <c r="BG184" s="20">
        <f t="shared" si="168"/>
        <v>697.67046222084571</v>
      </c>
      <c r="BH184" s="59">
        <f t="shared" si="116"/>
        <v>991.00379555417908</v>
      </c>
      <c r="BI184" s="59">
        <f ca="1">AVERAGE(OFFSET($BH$3,0,0,'Données projet'!$E$11+1,1))-AVERAGE(OFFSET($H$3,0,0,'Données projet'!$E$11+1,1))</f>
        <v>310.4018929413723</v>
      </c>
      <c r="BJ184" s="59">
        <f t="shared" si="146"/>
        <v>127.5231137583819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8.9475463592446569E-2</v>
      </c>
      <c r="BR184" s="21">
        <f>EXP(-LN(2)/2)*BR183+(1-EXP(-LN(2)/2))/(LN(2)/2)*BL184*BO184*VLOOKUP('Données projet'!$B$11,Paramètres!$A$1:$I$89,3,0)*0.475*44/12</f>
        <v>1.6714817358164005E-22</v>
      </c>
      <c r="BS184" s="22">
        <f t="shared" si="169"/>
        <v>8.9475463592446569E-2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210.04871822652808</v>
      </c>
      <c r="CE184" s="59">
        <f t="shared" si="148"/>
        <v>250.17540614049324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0.36698821778920476</v>
      </c>
      <c r="CL184" s="21">
        <f>EXP(-LN(2)/25)*CL183+(1-EXP(-LN(2)/25))/(LN(2)/25)*Calculateur!CG184*Calculateur!CI184*VLOOKUP('Données projet'!$B$12,Paramètres!$A$1:$I$89,3,0)*0.475*44/12</f>
        <v>0.42296376965070337</v>
      </c>
      <c r="CM184" s="21">
        <f>EXP(-LN(2)/2)*CM183+(1-EXP(-LN(2)/2))/(LN(2)/2)*CG184*CJ184*VLOOKUP('Données projet'!$B$12,Paramètres!$A$1:$I$89,3,0)*0.475*44/12</f>
        <v>4.0342328741341904E-22</v>
      </c>
      <c r="CN184" s="22">
        <f t="shared" si="172"/>
        <v>0.78995198743990813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-5.1159076974727213E-13</v>
      </c>
      <c r="O185" s="13">
        <f>N185*VLOOKUP('Données projet'!$B$9,Paramètres!$A$1:$I$89,3,0)*VLOOKUP('Données projet'!$B$9,Paramètres!$A$1:$I$89,5,0)</f>
        <v>-3.7509835237869992E-13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234.09142087023463</v>
      </c>
      <c r="T185" s="59">
        <f t="shared" si="142"/>
        <v>278.990685815294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0.12022804781984125</v>
      </c>
      <c r="AA185" s="21">
        <f>EXP(-LN(2)/25)*AA184+(1-EXP(-LN(2)/25))/(LN(2)/25)*Calculateur!V185*Calculateur!X185*VLOOKUP('Données projet'!$B$9,Paramètres!$A$1:$I$89,3,0)*0.475*44/12</f>
        <v>0.22679153602194393</v>
      </c>
      <c r="AB185" s="21">
        <f>EXP(-LN(2)/2)*AB184+(1-EXP(-LN(2)/2))/(LN(2)/2)*V185*Y185*VLOOKUP('Données projet'!$B$9,Paramètres!$A$1:$I$89,3,0)*0.475*44/12</f>
        <v>2.9320071676355251E-22</v>
      </c>
      <c r="AC185" s="22">
        <f t="shared" si="163"/>
        <v>0.34701958384178522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-1.2710188457276673E-13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255.5374979188561</v>
      </c>
      <c r="AO185" s="59">
        <f t="shared" si="144"/>
        <v>343.10418468620901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0.15227687419479347</v>
      </c>
      <c r="AV185" s="21">
        <f>EXP(-LN(2)/25)*AV184+(1-EXP(-LN(2)/25))/(LN(2)/25)*Calculateur!AQ185*Calculateur!AS185*VLOOKUP('Données projet'!$B$10,Paramètres!$A$1:$I$89,3,0)*0.475*44/12</f>
        <v>0.23592695615487655</v>
      </c>
      <c r="AW185" s="21">
        <f>EXP(-LN(2)/2)*AW184+(1-EXP(-LN(2)/2))/(LN(2)/2)*AQ185*AT185*VLOOKUP('Données projet'!$B$10,Paramètres!$A$1:$I$89,3,0)*0.475*44/12</f>
        <v>2.2402063742751527E-23</v>
      </c>
      <c r="AX185" s="21">
        <f t="shared" si="166"/>
        <v>0.38820383034966999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378.0000000000004</v>
      </c>
      <c r="BE185" s="13">
        <f>BD185*VLOOKUP('Données projet'!$B$11,Paramètres!$A$1:$I$89,3,0)*VLOOKUP('Données projet'!$B$11,Paramètres!$A$1:$I$89,5,0)</f>
        <v>324.32400000000035</v>
      </c>
      <c r="BF185" s="13">
        <f t="shared" si="167"/>
        <v>76.252341944982831</v>
      </c>
      <c r="BG185" s="20">
        <f t="shared" si="168"/>
        <v>697.67046222084571</v>
      </c>
      <c r="BH185" s="59">
        <f t="shared" si="116"/>
        <v>991.00379555417908</v>
      </c>
      <c r="BI185" s="59">
        <f ca="1">AVERAGE(OFFSET($BH$3,0,0,'Données projet'!$E$11+1,1))-AVERAGE(OFFSET($H$3,0,0,'Données projet'!$E$11+1,1))</f>
        <v>310.4018929413723</v>
      </c>
      <c r="BJ185" s="59">
        <f t="shared" si="146"/>
        <v>127.5231137583819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8.7028752335200993E-2</v>
      </c>
      <c r="BR185" s="21">
        <f>EXP(-LN(2)/2)*BR184+(1-EXP(-LN(2)/2))/(LN(2)/2)*BL185*BO185*VLOOKUP('Données projet'!$B$11,Paramètres!$A$1:$I$89,3,0)*0.475*44/12</f>
        <v>1.1819160700252381E-22</v>
      </c>
      <c r="BS185" s="22">
        <f t="shared" si="169"/>
        <v>8.7028752335200993E-2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210.04871822652808</v>
      </c>
      <c r="CE185" s="59">
        <f t="shared" si="148"/>
        <v>250.17540614049324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0.35979180267906885</v>
      </c>
      <c r="CL185" s="21">
        <f>EXP(-LN(2)/25)*CL184+(1-EXP(-LN(2)/25))/(LN(2)/25)*Calculateur!CG185*Calculateur!CI185*VLOOKUP('Données projet'!$B$12,Paramètres!$A$1:$I$89,3,0)*0.475*44/12</f>
        <v>0.41139780312690694</v>
      </c>
      <c r="CM185" s="21">
        <f>EXP(-LN(2)/2)*CM184+(1-EXP(-LN(2)/2))/(LN(2)/2)*CG185*CJ185*VLOOKUP('Données projet'!$B$12,Paramètres!$A$1:$I$89,3,0)*0.475*44/12</f>
        <v>2.8526334221859816E-22</v>
      </c>
      <c r="CN185" s="22">
        <f t="shared" si="172"/>
        <v>0.77118960580597573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-5.1159076974727213E-13</v>
      </c>
      <c r="O186" s="13">
        <f>N186*VLOOKUP('Données projet'!$B$9,Paramètres!$A$1:$I$89,3,0)*VLOOKUP('Données projet'!$B$9,Paramètres!$A$1:$I$89,5,0)</f>
        <v>-3.7509835237869992E-13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234.09142087023463</v>
      </c>
      <c r="T186" s="59">
        <f t="shared" si="142"/>
        <v>278.990685815294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0.11787044913396241</v>
      </c>
      <c r="AA186" s="21">
        <f>EXP(-LN(2)/25)*AA185+(1-EXP(-LN(2)/25))/(LN(2)/25)*Calculateur!V186*Calculateur!X186*VLOOKUP('Données projet'!$B$9,Paramètres!$A$1:$I$89,3,0)*0.475*44/12</f>
        <v>0.22058990954297533</v>
      </c>
      <c r="AB186" s="21">
        <f>EXP(-LN(2)/2)*AB185+(1-EXP(-LN(2)/2))/(LN(2)/2)*V186*Y186*VLOOKUP('Données projet'!$B$9,Paramètres!$A$1:$I$89,3,0)*0.475*44/12</f>
        <v>2.0732421507226423E-22</v>
      </c>
      <c r="AC186" s="22">
        <f t="shared" si="163"/>
        <v>0.33846035867693774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-1.2710188457276673E-13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255.5374979188561</v>
      </c>
      <c r="AO186" s="59">
        <f t="shared" si="144"/>
        <v>343.10418468620901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0.14929081757155571</v>
      </c>
      <c r="AV186" s="21">
        <f>EXP(-LN(2)/25)*AV185+(1-EXP(-LN(2)/25))/(LN(2)/25)*Calculateur!AQ186*Calculateur!AS186*VLOOKUP('Données projet'!$B$10,Paramètres!$A$1:$I$89,3,0)*0.475*44/12</f>
        <v>0.22947552113196204</v>
      </c>
      <c r="AW186" s="21">
        <f>EXP(-LN(2)/2)*AW185+(1-EXP(-LN(2)/2))/(LN(2)/2)*AQ186*AT186*VLOOKUP('Données projet'!$B$10,Paramètres!$A$1:$I$89,3,0)*0.475*44/12</f>
        <v>1.5840651185072893E-23</v>
      </c>
      <c r="AX186" s="21">
        <f t="shared" si="166"/>
        <v>0.37876633870351772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378.0000000000004</v>
      </c>
      <c r="BE186" s="13">
        <f>BD186*VLOOKUP('Données projet'!$B$11,Paramètres!$A$1:$I$89,3,0)*VLOOKUP('Données projet'!$B$11,Paramètres!$A$1:$I$89,5,0)</f>
        <v>324.32400000000035</v>
      </c>
      <c r="BF186" s="13">
        <f t="shared" si="167"/>
        <v>76.252341944982831</v>
      </c>
      <c r="BG186" s="20">
        <f t="shared" si="168"/>
        <v>697.67046222084571</v>
      </c>
      <c r="BH186" s="59">
        <f t="shared" si="116"/>
        <v>991.00379555417908</v>
      </c>
      <c r="BI186" s="59">
        <f ca="1">AVERAGE(OFFSET($BH$3,0,0,'Données projet'!$E$11+1,1))-AVERAGE(OFFSET($H$3,0,0,'Données projet'!$E$11+1,1))</f>
        <v>310.4018929413723</v>
      </c>
      <c r="BJ186" s="59">
        <f t="shared" si="146"/>
        <v>127.5231137583819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8.4648946525951743E-2</v>
      </c>
      <c r="BR186" s="21">
        <f>EXP(-LN(2)/2)*BR185+(1-EXP(-LN(2)/2))/(LN(2)/2)*BL186*BO186*VLOOKUP('Données projet'!$B$11,Paramètres!$A$1:$I$89,3,0)*0.475*44/12</f>
        <v>8.3574086790820024E-23</v>
      </c>
      <c r="BS186" s="22">
        <f t="shared" si="169"/>
        <v>8.4648946525951743E-2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210.04871822652808</v>
      </c>
      <c r="CE186" s="59">
        <f t="shared" si="148"/>
        <v>250.17540614049324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0.35273650487986291</v>
      </c>
      <c r="CL186" s="21">
        <f>EXP(-LN(2)/25)*CL185+(1-EXP(-LN(2)/25))/(LN(2)/25)*Calculateur!CG186*Calculateur!CI186*VLOOKUP('Données projet'!$B$12,Paramètres!$A$1:$I$89,3,0)*0.475*44/12</f>
        <v>0.40014810856593147</v>
      </c>
      <c r="CM186" s="21">
        <f>EXP(-LN(2)/2)*CM185+(1-EXP(-LN(2)/2))/(LN(2)/2)*CG186*CJ186*VLOOKUP('Données projet'!$B$12,Paramètres!$A$1:$I$89,3,0)*0.475*44/12</f>
        <v>2.0171164370670952E-22</v>
      </c>
      <c r="CN186" s="22">
        <f t="shared" si="172"/>
        <v>0.75288461344579438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-5.1159076974727213E-13</v>
      </c>
      <c r="O187" s="13">
        <f>N187*VLOOKUP('Données projet'!$B$9,Paramètres!$A$1:$I$89,3,0)*VLOOKUP('Données projet'!$B$9,Paramètres!$A$1:$I$89,5,0)</f>
        <v>-3.7509835237869992E-13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234.09142087023463</v>
      </c>
      <c r="T187" s="59">
        <f t="shared" si="142"/>
        <v>278.990685815294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0.11555908152032045</v>
      </c>
      <c r="AA187" s="21">
        <f>EXP(-LN(2)/25)*AA186+(1-EXP(-LN(2)/25))/(LN(2)/25)*Calculateur!V187*Calculateur!X187*VLOOKUP('Données projet'!$B$9,Paramètres!$A$1:$I$89,3,0)*0.475*44/12</f>
        <v>0.21455786686620348</v>
      </c>
      <c r="AB187" s="21">
        <f>EXP(-LN(2)/2)*AB186+(1-EXP(-LN(2)/2))/(LN(2)/2)*V187*Y187*VLOOKUP('Données projet'!$B$9,Paramètres!$A$1:$I$89,3,0)*0.475*44/12</f>
        <v>1.4660035838177628E-22</v>
      </c>
      <c r="AC187" s="22">
        <f t="shared" si="163"/>
        <v>0.33011694838652395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-1.2710188457276673E-13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255.5374979188561</v>
      </c>
      <c r="AO187" s="59">
        <f t="shared" si="144"/>
        <v>343.10418468620901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0.14636331569738495</v>
      </c>
      <c r="AV187" s="21">
        <f>EXP(-LN(2)/25)*AV186+(1-EXP(-LN(2)/25))/(LN(2)/25)*Calculateur!AQ187*Calculateur!AS187*VLOOKUP('Données projet'!$B$10,Paramètres!$A$1:$I$89,3,0)*0.475*44/12</f>
        <v>0.22320050093901536</v>
      </c>
      <c r="AW187" s="21">
        <f>EXP(-LN(2)/2)*AW186+(1-EXP(-LN(2)/2))/(LN(2)/2)*AQ187*AT187*VLOOKUP('Données projet'!$B$10,Paramètres!$A$1:$I$89,3,0)*0.475*44/12</f>
        <v>1.1201031871375763E-23</v>
      </c>
      <c r="AX187" s="21">
        <f t="shared" si="166"/>
        <v>0.36956381663640031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378.0000000000004</v>
      </c>
      <c r="BE187" s="13">
        <f>BD187*VLOOKUP('Données projet'!$B$11,Paramètres!$A$1:$I$89,3,0)*VLOOKUP('Données projet'!$B$11,Paramètres!$A$1:$I$89,5,0)</f>
        <v>324.32400000000035</v>
      </c>
      <c r="BF187" s="13">
        <f t="shared" si="167"/>
        <v>76.252341944982831</v>
      </c>
      <c r="BG187" s="20">
        <f t="shared" si="168"/>
        <v>697.67046222084571</v>
      </c>
      <c r="BH187" s="59">
        <f t="shared" si="116"/>
        <v>991.00379555417908</v>
      </c>
      <c r="BI187" s="59">
        <f ca="1">AVERAGE(OFFSET($BH$3,0,0,'Données projet'!$E$11+1,1))-AVERAGE(OFFSET($H$3,0,0,'Données projet'!$E$11+1,1))</f>
        <v>310.4018929413723</v>
      </c>
      <c r="BJ187" s="59">
        <f t="shared" si="146"/>
        <v>127.5231137583819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8.2334216631704968E-2</v>
      </c>
      <c r="BR187" s="21">
        <f>EXP(-LN(2)/2)*BR186+(1-EXP(-LN(2)/2))/(LN(2)/2)*BL187*BO187*VLOOKUP('Données projet'!$B$11,Paramètres!$A$1:$I$89,3,0)*0.475*44/12</f>
        <v>5.9095803501261906E-23</v>
      </c>
      <c r="BS187" s="22">
        <f t="shared" si="169"/>
        <v>8.2334216631704968E-2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210.04871822652808</v>
      </c>
      <c r="CE187" s="59">
        <f t="shared" si="148"/>
        <v>250.17540614049324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0.34581955716719265</v>
      </c>
      <c r="CL187" s="21">
        <f>EXP(-LN(2)/25)*CL186+(1-EXP(-LN(2)/25))/(LN(2)/25)*Calculateur!CG187*Calculateur!CI187*VLOOKUP('Données projet'!$B$12,Paramètres!$A$1:$I$89,3,0)*0.475*44/12</f>
        <v>0.38920603749432159</v>
      </c>
      <c r="CM187" s="21">
        <f>EXP(-LN(2)/2)*CM186+(1-EXP(-LN(2)/2))/(LN(2)/2)*CG187*CJ187*VLOOKUP('Données projet'!$B$12,Paramètres!$A$1:$I$89,3,0)*0.475*44/12</f>
        <v>1.4263167110929908E-22</v>
      </c>
      <c r="CN187" s="22">
        <f t="shared" si="172"/>
        <v>0.73502559466151429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-5.1159076974727213E-13</v>
      </c>
      <c r="O188" s="13">
        <f>N188*VLOOKUP('Données projet'!$B$9,Paramètres!$A$1:$I$89,3,0)*VLOOKUP('Données projet'!$B$9,Paramètres!$A$1:$I$89,5,0)</f>
        <v>-3.7509835237869992E-13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234.09142087023463</v>
      </c>
      <c r="T188" s="59">
        <f t="shared" si="142"/>
        <v>278.990685815294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0.11329303841578696</v>
      </c>
      <c r="AA188" s="21">
        <f>EXP(-LN(2)/25)*AA187+(1-EXP(-LN(2)/25))/(LN(2)/25)*Calculateur!V188*Calculateur!X188*VLOOKUP('Données projet'!$B$9,Paramètres!$A$1:$I$89,3,0)*0.475*44/12</f>
        <v>0.20869077071363931</v>
      </c>
      <c r="AB188" s="21">
        <f>EXP(-LN(2)/2)*AB187+(1-EXP(-LN(2)/2))/(LN(2)/2)*V188*Y188*VLOOKUP('Données projet'!$B$9,Paramètres!$A$1:$I$89,3,0)*0.475*44/12</f>
        <v>1.0366210753613214E-22</v>
      </c>
      <c r="AC188" s="22">
        <f t="shared" si="163"/>
        <v>0.32198380912942626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-1.2710188457276673E-13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255.5374979188561</v>
      </c>
      <c r="AO188" s="59">
        <f t="shared" si="144"/>
        <v>343.10418468620901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0.14349322034936685</v>
      </c>
      <c r="AV188" s="21">
        <f>EXP(-LN(2)/25)*AV187+(1-EXP(-LN(2)/25))/(LN(2)/25)*Calculateur!AQ188*Calculateur!AS188*VLOOKUP('Données projet'!$B$10,Paramètres!$A$1:$I$89,3,0)*0.475*44/12</f>
        <v>0.21709707150323376</v>
      </c>
      <c r="AW188" s="21">
        <f>EXP(-LN(2)/2)*AW187+(1-EXP(-LN(2)/2))/(LN(2)/2)*AQ188*AT188*VLOOKUP('Données projet'!$B$10,Paramètres!$A$1:$I$89,3,0)*0.475*44/12</f>
        <v>7.9203255925364467E-24</v>
      </c>
      <c r="AX188" s="21">
        <f t="shared" si="166"/>
        <v>0.36059029185260061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378.0000000000004</v>
      </c>
      <c r="BE188" s="13">
        <f>BD188*VLOOKUP('Données projet'!$B$11,Paramètres!$A$1:$I$89,3,0)*VLOOKUP('Données projet'!$B$11,Paramètres!$A$1:$I$89,5,0)</f>
        <v>324.32400000000035</v>
      </c>
      <c r="BF188" s="13">
        <f t="shared" si="167"/>
        <v>76.252341944982831</v>
      </c>
      <c r="BG188" s="20">
        <f t="shared" si="168"/>
        <v>697.67046222084571</v>
      </c>
      <c r="BH188" s="59">
        <f t="shared" si="116"/>
        <v>991.00379555417908</v>
      </c>
      <c r="BI188" s="59">
        <f ca="1">AVERAGE(OFFSET($BH$3,0,0,'Données projet'!$E$11+1,1))-AVERAGE(OFFSET($H$3,0,0,'Données projet'!$E$11+1,1))</f>
        <v>310.4018929413723</v>
      </c>
      <c r="BJ188" s="59">
        <f t="shared" si="146"/>
        <v>127.5231137583819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8.0082783148142725E-2</v>
      </c>
      <c r="BR188" s="21">
        <f>EXP(-LN(2)/2)*BR187+(1-EXP(-LN(2)/2))/(LN(2)/2)*BL188*BO188*VLOOKUP('Données projet'!$B$11,Paramètres!$A$1:$I$89,3,0)*0.475*44/12</f>
        <v>4.1787043395410012E-23</v>
      </c>
      <c r="BS188" s="22">
        <f t="shared" si="169"/>
        <v>8.0082783148142725E-2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210.04871822652808</v>
      </c>
      <c r="CE188" s="59">
        <f t="shared" si="148"/>
        <v>250.17540614049324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0.33903824658024634</v>
      </c>
      <c r="CL188" s="21">
        <f>EXP(-LN(2)/25)*CL187+(1-EXP(-LN(2)/25))/(LN(2)/25)*Calculateur!CG188*Calculateur!CI188*VLOOKUP('Données projet'!$B$12,Paramètres!$A$1:$I$89,3,0)*0.475*44/12</f>
        <v>0.37856317793158339</v>
      </c>
      <c r="CM188" s="21">
        <f>EXP(-LN(2)/2)*CM187+(1-EXP(-LN(2)/2))/(LN(2)/2)*CG188*CJ188*VLOOKUP('Données projet'!$B$12,Paramètres!$A$1:$I$89,3,0)*0.475*44/12</f>
        <v>1.0085582185335476E-22</v>
      </c>
      <c r="CN188" s="22">
        <f t="shared" si="172"/>
        <v>0.71760142451182973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-5.1159076974727213E-13</v>
      </c>
      <c r="O189" s="13">
        <f>N189*VLOOKUP('Données projet'!$B$9,Paramètres!$A$1:$I$89,3,0)*VLOOKUP('Données projet'!$B$9,Paramètres!$A$1:$I$89,5,0)</f>
        <v>-3.7509835237869992E-13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234.09142087023463</v>
      </c>
      <c r="T189" s="59">
        <f t="shared" si="142"/>
        <v>278.990685815294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0.11107143103438356</v>
      </c>
      <c r="AA189" s="21">
        <f>EXP(-LN(2)/25)*AA188+(1-EXP(-LN(2)/25))/(LN(2)/25)*Calculateur!V189*Calculateur!X189*VLOOKUP('Données projet'!$B$9,Paramètres!$A$1:$I$89,3,0)*0.475*44/12</f>
        <v>0.20298411061390417</v>
      </c>
      <c r="AB189" s="21">
        <f>EXP(-LN(2)/2)*AB188+(1-EXP(-LN(2)/2))/(LN(2)/2)*V189*Y189*VLOOKUP('Données projet'!$B$9,Paramètres!$A$1:$I$89,3,0)*0.475*44/12</f>
        <v>7.3300179190888151E-23</v>
      </c>
      <c r="AC189" s="22">
        <f t="shared" si="163"/>
        <v>0.31405554164828775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-1.2710188457276673E-13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255.5374979188561</v>
      </c>
      <c r="AO189" s="59">
        <f t="shared" si="144"/>
        <v>343.10418468620901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0.14067940582053806</v>
      </c>
      <c r="AV189" s="21">
        <f>EXP(-LN(2)/25)*AV188+(1-EXP(-LN(2)/25))/(LN(2)/25)*Calculateur!AQ189*Calculateur!AS189*VLOOKUP('Données projet'!$B$10,Paramètres!$A$1:$I$89,3,0)*0.475*44/12</f>
        <v>0.21116054066633902</v>
      </c>
      <c r="AW189" s="21">
        <f>EXP(-LN(2)/2)*AW188+(1-EXP(-LN(2)/2))/(LN(2)/2)*AQ189*AT189*VLOOKUP('Données projet'!$B$10,Paramètres!$A$1:$I$89,3,0)*0.475*44/12</f>
        <v>5.6005159356878817E-24</v>
      </c>
      <c r="AX189" s="21">
        <f t="shared" si="166"/>
        <v>0.35183994648687711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378.0000000000004</v>
      </c>
      <c r="BE189" s="13">
        <f>BD189*VLOOKUP('Données projet'!$B$11,Paramètres!$A$1:$I$89,3,0)*VLOOKUP('Données projet'!$B$11,Paramètres!$A$1:$I$89,5,0)</f>
        <v>324.32400000000035</v>
      </c>
      <c r="BF189" s="13">
        <f t="shared" si="167"/>
        <v>76.252341944982831</v>
      </c>
      <c r="BG189" s="20">
        <f t="shared" si="168"/>
        <v>697.67046222084571</v>
      </c>
      <c r="BH189" s="59">
        <f t="shared" si="116"/>
        <v>991.00379555417908</v>
      </c>
      <c r="BI189" s="59">
        <f ca="1">AVERAGE(OFFSET($BH$3,0,0,'Données projet'!$E$11+1,1))-AVERAGE(OFFSET($H$3,0,0,'Données projet'!$E$11+1,1))</f>
        <v>310.4018929413723</v>
      </c>
      <c r="BJ189" s="59">
        <f t="shared" si="146"/>
        <v>127.5231137583819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7.7892915231586229E-2</v>
      </c>
      <c r="BR189" s="21">
        <f>EXP(-LN(2)/2)*BR188+(1-EXP(-LN(2)/2))/(LN(2)/2)*BL189*BO189*VLOOKUP('Données projet'!$B$11,Paramètres!$A$1:$I$89,3,0)*0.475*44/12</f>
        <v>2.9547901750630953E-23</v>
      </c>
      <c r="BS189" s="22">
        <f t="shared" si="169"/>
        <v>7.7892915231586229E-2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210.04871822652808</v>
      </c>
      <c r="CE189" s="59">
        <f t="shared" si="148"/>
        <v>250.17540614049324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0.332389913357719</v>
      </c>
      <c r="CL189" s="21">
        <f>EXP(-LN(2)/25)*CL188+(1-EXP(-LN(2)/25))/(LN(2)/25)*Calculateur!CG189*Calculateur!CI189*VLOOKUP('Données projet'!$B$12,Paramètres!$A$1:$I$89,3,0)*0.475*44/12</f>
        <v>0.36821134792327193</v>
      </c>
      <c r="CM189" s="21">
        <f>EXP(-LN(2)/2)*CM188+(1-EXP(-LN(2)/2))/(LN(2)/2)*CG189*CJ189*VLOOKUP('Données projet'!$B$12,Paramètres!$A$1:$I$89,3,0)*0.475*44/12</f>
        <v>7.1315835554649541E-23</v>
      </c>
      <c r="CN189" s="22">
        <f t="shared" si="172"/>
        <v>0.70060126128099087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-5.1159076974727213E-13</v>
      </c>
      <c r="O190" s="13">
        <f>N190*VLOOKUP('Données projet'!$B$9,Paramètres!$A$1:$I$89,3,0)*VLOOKUP('Données projet'!$B$9,Paramètres!$A$1:$I$89,5,0)</f>
        <v>-3.7509835237869992E-13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234.09142087023463</v>
      </c>
      <c r="T190" s="59">
        <f t="shared" si="142"/>
        <v>278.990685815294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0.10889338801868279</v>
      </c>
      <c r="AA190" s="21">
        <f>EXP(-LN(2)/25)*AA189+(1-EXP(-LN(2)/25))/(LN(2)/25)*Calculateur!V190*Calculateur!X190*VLOOKUP('Données projet'!$B$9,Paramètres!$A$1:$I$89,3,0)*0.475*44/12</f>
        <v>0.19743349943469651</v>
      </c>
      <c r="AB190" s="21">
        <f>EXP(-LN(2)/2)*AB189+(1-EXP(-LN(2)/2))/(LN(2)/2)*V190*Y190*VLOOKUP('Données projet'!$B$9,Paramètres!$A$1:$I$89,3,0)*0.475*44/12</f>
        <v>5.1831053768066074E-23</v>
      </c>
      <c r="AC190" s="22">
        <f t="shared" si="163"/>
        <v>0.30632688745337933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-1.2710188457276673E-13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255.5374979188561</v>
      </c>
      <c r="AO190" s="59">
        <f t="shared" si="144"/>
        <v>343.10418468620901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0.13792076847836224</v>
      </c>
      <c r="AV190" s="21">
        <f>EXP(-LN(2)/25)*AV189+(1-EXP(-LN(2)/25))/(LN(2)/25)*Calculateur!AQ190*Calculateur!AS190*VLOOKUP('Données projet'!$B$10,Paramètres!$A$1:$I$89,3,0)*0.475*44/12</f>
        <v>0.20538634457736776</v>
      </c>
      <c r="AW190" s="21">
        <f>EXP(-LN(2)/2)*AW189+(1-EXP(-LN(2)/2))/(LN(2)/2)*AQ190*AT190*VLOOKUP('Données projet'!$B$10,Paramètres!$A$1:$I$89,3,0)*0.475*44/12</f>
        <v>3.9601627962682233E-24</v>
      </c>
      <c r="AX190" s="21">
        <f t="shared" si="166"/>
        <v>0.34330711305573003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378.0000000000004</v>
      </c>
      <c r="BE190" s="13">
        <f>BD190*VLOOKUP('Données projet'!$B$11,Paramètres!$A$1:$I$89,3,0)*VLOOKUP('Données projet'!$B$11,Paramètres!$A$1:$I$89,5,0)</f>
        <v>324.32400000000035</v>
      </c>
      <c r="BF190" s="13">
        <f t="shared" si="167"/>
        <v>76.252341944982831</v>
      </c>
      <c r="BG190" s="20">
        <f t="shared" si="168"/>
        <v>697.67046222084571</v>
      </c>
      <c r="BH190" s="59">
        <f t="shared" si="116"/>
        <v>991.00379555417908</v>
      </c>
      <c r="BI190" s="59">
        <f ca="1">AVERAGE(OFFSET($BH$3,0,0,'Données projet'!$E$11+1,1))-AVERAGE(OFFSET($H$3,0,0,'Données projet'!$E$11+1,1))</f>
        <v>310.4018929413723</v>
      </c>
      <c r="BJ190" s="59">
        <f t="shared" si="146"/>
        <v>127.5231137583819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7.576292936836812E-2</v>
      </c>
      <c r="BR190" s="21">
        <f>EXP(-LN(2)/2)*BR189+(1-EXP(-LN(2)/2))/(LN(2)/2)*BL190*BO190*VLOOKUP('Données projet'!$B$11,Paramètres!$A$1:$I$89,3,0)*0.475*44/12</f>
        <v>2.0893521697705006E-23</v>
      </c>
      <c r="BS190" s="22">
        <f t="shared" si="169"/>
        <v>7.576292936836812E-2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210.04871822652808</v>
      </c>
      <c r="CE190" s="59">
        <f t="shared" si="148"/>
        <v>250.17540614049324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0.32587194989460261</v>
      </c>
      <c r="CL190" s="21">
        <f>EXP(-LN(2)/25)*CL189+(1-EXP(-LN(2)/25))/(LN(2)/25)*Calculateur!CG190*Calculateur!CI190*VLOOKUP('Données projet'!$B$12,Paramètres!$A$1:$I$89,3,0)*0.475*44/12</f>
        <v>0.3581425892509168</v>
      </c>
      <c r="CM190" s="21">
        <f>EXP(-LN(2)/2)*CM189+(1-EXP(-LN(2)/2))/(LN(2)/2)*CG190*CJ190*VLOOKUP('Données projet'!$B$12,Paramètres!$A$1:$I$89,3,0)*0.475*44/12</f>
        <v>5.0427910926677379E-23</v>
      </c>
      <c r="CN190" s="22">
        <f t="shared" si="172"/>
        <v>0.68401453914551946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-5.1159076974727213E-13</v>
      </c>
      <c r="O191" s="13">
        <f>N191*VLOOKUP('Données projet'!$B$9,Paramètres!$A$1:$I$89,3,0)*VLOOKUP('Données projet'!$B$9,Paramètres!$A$1:$I$89,5,0)</f>
        <v>-3.7509835237869992E-13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234.09142087023463</v>
      </c>
      <c r="T191" s="59">
        <f t="shared" si="142"/>
        <v>278.990685815294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0.10675805509804484</v>
      </c>
      <c r="AA191" s="21">
        <f>EXP(-LN(2)/25)*AA190+(1-EXP(-LN(2)/25))/(LN(2)/25)*Calculateur!V191*Calculateur!X191*VLOOKUP('Données projet'!$B$9,Paramètres!$A$1:$I$89,3,0)*0.475*44/12</f>
        <v>0.19203467001007823</v>
      </c>
      <c r="AB191" s="21">
        <f>EXP(-LN(2)/2)*AB190+(1-EXP(-LN(2)/2))/(LN(2)/2)*V191*Y191*VLOOKUP('Données projet'!$B$9,Paramètres!$A$1:$I$89,3,0)*0.475*44/12</f>
        <v>3.6650089595444081E-23</v>
      </c>
      <c r="AC191" s="22">
        <f t="shared" si="163"/>
        <v>0.29879272510812305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-1.2710188457276673E-13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255.5374979188561</v>
      </c>
      <c r="AO191" s="59">
        <f t="shared" si="144"/>
        <v>343.10418468620901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0.13521622633186384</v>
      </c>
      <c r="AV191" s="21">
        <f>EXP(-LN(2)/25)*AV190+(1-EXP(-LN(2)/25))/(LN(2)/25)*Calculateur!AQ191*Calculateur!AS191*VLOOKUP('Données projet'!$B$10,Paramètres!$A$1:$I$89,3,0)*0.475*44/12</f>
        <v>0.19977004418410119</v>
      </c>
      <c r="AW191" s="21">
        <f>EXP(-LN(2)/2)*AW190+(1-EXP(-LN(2)/2))/(LN(2)/2)*AQ191*AT191*VLOOKUP('Données projet'!$B$10,Paramètres!$A$1:$I$89,3,0)*0.475*44/12</f>
        <v>2.8002579678439408E-24</v>
      </c>
      <c r="AX191" s="21">
        <f t="shared" si="166"/>
        <v>0.33498627051596502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378.0000000000004</v>
      </c>
      <c r="BE191" s="13">
        <f>BD191*VLOOKUP('Données projet'!$B$11,Paramètres!$A$1:$I$89,3,0)*VLOOKUP('Données projet'!$B$11,Paramètres!$A$1:$I$89,5,0)</f>
        <v>324.32400000000035</v>
      </c>
      <c r="BF191" s="13">
        <f t="shared" si="167"/>
        <v>76.252341944982831</v>
      </c>
      <c r="BG191" s="20">
        <f t="shared" si="168"/>
        <v>697.67046222084571</v>
      </c>
      <c r="BH191" s="59">
        <f t="shared" si="116"/>
        <v>991.00379555417908</v>
      </c>
      <c r="BI191" s="59">
        <f ca="1">AVERAGE(OFFSET($BH$3,0,0,'Données projet'!$E$11+1,1))-AVERAGE(OFFSET($H$3,0,0,'Données projet'!$E$11+1,1))</f>
        <v>310.4018929413723</v>
      </c>
      <c r="BJ191" s="59">
        <f t="shared" si="146"/>
        <v>127.5231137583819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7.3691188080590803E-2</v>
      </c>
      <c r="BR191" s="21">
        <f>EXP(-LN(2)/2)*BR190+(1-EXP(-LN(2)/2))/(LN(2)/2)*BL191*BO191*VLOOKUP('Données projet'!$B$11,Paramètres!$A$1:$I$89,3,0)*0.475*44/12</f>
        <v>1.4773950875315477E-23</v>
      </c>
      <c r="BS191" s="22">
        <f t="shared" si="169"/>
        <v>7.3691188080590803E-2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210.04871822652808</v>
      </c>
      <c r="CE191" s="59">
        <f t="shared" si="148"/>
        <v>250.17540614049324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0.31948179971943275</v>
      </c>
      <c r="CL191" s="21">
        <f>EXP(-LN(2)/25)*CL190+(1-EXP(-LN(2)/25))/(LN(2)/25)*Calculateur!CG191*Calculateur!CI191*VLOOKUP('Données projet'!$B$12,Paramètres!$A$1:$I$89,3,0)*0.475*44/12</f>
        <v>0.34834916131395027</v>
      </c>
      <c r="CM191" s="21">
        <f>EXP(-LN(2)/2)*CM190+(1-EXP(-LN(2)/2))/(LN(2)/2)*CG191*CJ191*VLOOKUP('Données projet'!$B$12,Paramètres!$A$1:$I$89,3,0)*0.475*44/12</f>
        <v>3.565791777732477E-23</v>
      </c>
      <c r="CN191" s="22">
        <f t="shared" si="172"/>
        <v>0.66783096103338302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-5.1159076974727213E-13</v>
      </c>
      <c r="O192" s="13">
        <f>N192*VLOOKUP('Données projet'!$B$9,Paramètres!$A$1:$I$89,3,0)*VLOOKUP('Données projet'!$B$9,Paramètres!$A$1:$I$89,5,0)</f>
        <v>-3.7509835237869992E-13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234.09142087023463</v>
      </c>
      <c r="T192" s="59">
        <f t="shared" si="142"/>
        <v>278.990685815294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0.10466459475355612</v>
      </c>
      <c r="AA192" s="21">
        <f>EXP(-LN(2)/25)*AA191+(1-EXP(-LN(2)/25))/(LN(2)/25)*Calculateur!V192*Calculateur!X192*VLOOKUP('Données projet'!$B$9,Paramètres!$A$1:$I$89,3,0)*0.475*44/12</f>
        <v>0.18678347185998825</v>
      </c>
      <c r="AB192" s="21">
        <f>EXP(-LN(2)/2)*AB191+(1-EXP(-LN(2)/2))/(LN(2)/2)*V192*Y192*VLOOKUP('Données projet'!$B$9,Paramètres!$A$1:$I$89,3,0)*0.475*44/12</f>
        <v>2.5915526884033043E-23</v>
      </c>
      <c r="AC192" s="22">
        <f t="shared" si="163"/>
        <v>0.29144806661354439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-1.2710188457276673E-13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255.5374979188561</v>
      </c>
      <c r="AO192" s="59">
        <f t="shared" si="144"/>
        <v>343.10418468620901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0.13256471860725044</v>
      </c>
      <c r="AV192" s="21">
        <f>EXP(-LN(2)/25)*AV191+(1-EXP(-LN(2)/25))/(LN(2)/25)*Calculateur!AQ192*Calculateur!AS192*VLOOKUP('Données projet'!$B$10,Paramètres!$A$1:$I$89,3,0)*0.475*44/12</f>
        <v>0.19430732182043689</v>
      </c>
      <c r="AW192" s="21">
        <f>EXP(-LN(2)/2)*AW191+(1-EXP(-LN(2)/2))/(LN(2)/2)*AQ192*AT192*VLOOKUP('Données projet'!$B$10,Paramètres!$A$1:$I$89,3,0)*0.475*44/12</f>
        <v>1.9800813981341117E-24</v>
      </c>
      <c r="AX192" s="21">
        <f t="shared" si="166"/>
        <v>0.32687204042768736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378.0000000000004</v>
      </c>
      <c r="BE192" s="13">
        <f>BD192*VLOOKUP('Données projet'!$B$11,Paramètres!$A$1:$I$89,3,0)*VLOOKUP('Données projet'!$B$11,Paramètres!$A$1:$I$89,5,0)</f>
        <v>324.32400000000035</v>
      </c>
      <c r="BF192" s="13">
        <f t="shared" si="167"/>
        <v>76.252341944982831</v>
      </c>
      <c r="BG192" s="20">
        <f t="shared" si="168"/>
        <v>697.67046222084571</v>
      </c>
      <c r="BH192" s="59">
        <f t="shared" si="116"/>
        <v>991.00379555417908</v>
      </c>
      <c r="BI192" s="59">
        <f ca="1">AVERAGE(OFFSET($BH$3,0,0,'Données projet'!$E$11+1,1))-AVERAGE(OFFSET($H$3,0,0,'Données projet'!$E$11+1,1))</f>
        <v>310.4018929413723</v>
      </c>
      <c r="BJ192" s="59">
        <f t="shared" si="146"/>
        <v>127.5231137583819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7.1676098667275895E-2</v>
      </c>
      <c r="BR192" s="21">
        <f>EXP(-LN(2)/2)*BR191+(1-EXP(-LN(2)/2))/(LN(2)/2)*BL192*BO192*VLOOKUP('Données projet'!$B$11,Paramètres!$A$1:$I$89,3,0)*0.475*44/12</f>
        <v>1.0446760848852503E-23</v>
      </c>
      <c r="BS192" s="22">
        <f t="shared" si="169"/>
        <v>7.1676098667275895E-2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210.04871822652808</v>
      </c>
      <c r="CE192" s="59">
        <f t="shared" si="148"/>
        <v>250.17540614049324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0.3132169564915912</v>
      </c>
      <c r="CL192" s="21">
        <f>EXP(-LN(2)/25)*CL191+(1-EXP(-LN(2)/25))/(LN(2)/25)*Calculateur!CG192*Calculateur!CI192*VLOOKUP('Données projet'!$B$12,Paramètres!$A$1:$I$89,3,0)*0.475*44/12</f>
        <v>0.3388235351789341</v>
      </c>
      <c r="CM192" s="21">
        <f>EXP(-LN(2)/2)*CM191+(1-EXP(-LN(2)/2))/(LN(2)/2)*CG192*CJ192*VLOOKUP('Données projet'!$B$12,Paramètres!$A$1:$I$89,3,0)*0.475*44/12</f>
        <v>2.521395546333869E-23</v>
      </c>
      <c r="CN192" s="22">
        <f t="shared" si="172"/>
        <v>0.65204049167052536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-5.1159076974727213E-13</v>
      </c>
      <c r="O193" s="13">
        <f>N193*VLOOKUP('Données projet'!$B$9,Paramètres!$A$1:$I$89,3,0)*VLOOKUP('Données projet'!$B$9,Paramètres!$A$1:$I$89,5,0)</f>
        <v>-3.7509835237869992E-13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234.09142087023463</v>
      </c>
      <c r="T193" s="59">
        <f t="shared" si="142"/>
        <v>278.990685815294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0.10261218588953809</v>
      </c>
      <c r="AA193" s="21">
        <f>EXP(-LN(2)/25)*AA192+(1-EXP(-LN(2)/25))/(LN(2)/25)*Calculateur!V193*Calculateur!X193*VLOOKUP('Données projet'!$B$9,Paramètres!$A$1:$I$89,3,0)*0.475*44/12</f>
        <v>0.18167586799946098</v>
      </c>
      <c r="AB193" s="21">
        <f>EXP(-LN(2)/2)*AB192+(1-EXP(-LN(2)/2))/(LN(2)/2)*V193*Y193*VLOOKUP('Données projet'!$B$9,Paramètres!$A$1:$I$89,3,0)*0.475*44/12</f>
        <v>1.8325044797722044E-23</v>
      </c>
      <c r="AC193" s="22">
        <f t="shared" si="163"/>
        <v>0.28428805388899908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-1.2710188457276673E-13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255.5374979188561</v>
      </c>
      <c r="AO193" s="59">
        <f t="shared" si="144"/>
        <v>343.10418468620901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0.12996520533185671</v>
      </c>
      <c r="AV193" s="21">
        <f>EXP(-LN(2)/25)*AV192+(1-EXP(-LN(2)/25))/(LN(2)/25)*Calculateur!AQ193*Calculateur!AS193*VLOOKUP('Données projet'!$B$10,Paramètres!$A$1:$I$89,3,0)*0.475*44/12</f>
        <v>0.18899397788707908</v>
      </c>
      <c r="AW193" s="21">
        <f>EXP(-LN(2)/2)*AW192+(1-EXP(-LN(2)/2))/(LN(2)/2)*AQ193*AT193*VLOOKUP('Données projet'!$B$10,Paramètres!$A$1:$I$89,3,0)*0.475*44/12</f>
        <v>1.4001289839219704E-24</v>
      </c>
      <c r="AX193" s="21">
        <f t="shared" si="166"/>
        <v>0.31895918321893579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378.0000000000004</v>
      </c>
      <c r="BE193" s="13">
        <f>BD193*VLOOKUP('Données projet'!$B$11,Paramètres!$A$1:$I$89,3,0)*VLOOKUP('Données projet'!$B$11,Paramètres!$A$1:$I$89,5,0)</f>
        <v>324.32400000000035</v>
      </c>
      <c r="BF193" s="13">
        <f t="shared" si="167"/>
        <v>76.252341944982831</v>
      </c>
      <c r="BG193" s="20">
        <f t="shared" si="168"/>
        <v>697.67046222084571</v>
      </c>
      <c r="BH193" s="59">
        <f t="shared" si="116"/>
        <v>991.00379555417908</v>
      </c>
      <c r="BI193" s="59">
        <f ca="1">AVERAGE(OFFSET($BH$3,0,0,'Données projet'!$E$11+1,1))-AVERAGE(OFFSET($H$3,0,0,'Données projet'!$E$11+1,1))</f>
        <v>310.4018929413723</v>
      </c>
      <c r="BJ193" s="59">
        <f t="shared" si="146"/>
        <v>127.5231137583819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6.9716111979937018E-2</v>
      </c>
      <c r="BR193" s="21">
        <f>EXP(-LN(2)/2)*BR192+(1-EXP(-LN(2)/2))/(LN(2)/2)*BL193*BO193*VLOOKUP('Données projet'!$B$11,Paramètres!$A$1:$I$89,3,0)*0.475*44/12</f>
        <v>7.3869754376577383E-24</v>
      </c>
      <c r="BS193" s="22">
        <f t="shared" si="169"/>
        <v>6.9716111979937018E-2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210.04871822652808</v>
      </c>
      <c r="CE193" s="59">
        <f t="shared" si="148"/>
        <v>250.17540614049324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0.30707496301827059</v>
      </c>
      <c r="CL193" s="21">
        <f>EXP(-LN(2)/25)*CL192+(1-EXP(-LN(2)/25))/(LN(2)/25)*Calculateur!CG193*Calculateur!CI193*VLOOKUP('Données projet'!$B$12,Paramètres!$A$1:$I$89,3,0)*0.475*44/12</f>
        <v>0.32955838779151081</v>
      </c>
      <c r="CM193" s="21">
        <f>EXP(-LN(2)/2)*CM192+(1-EXP(-LN(2)/2))/(LN(2)/2)*CG193*CJ193*VLOOKUP('Données projet'!$B$12,Paramètres!$A$1:$I$89,3,0)*0.475*44/12</f>
        <v>1.7828958888662385E-23</v>
      </c>
      <c r="CN193" s="22">
        <f t="shared" si="172"/>
        <v>0.63663335080978145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-5.1159076974727213E-13</v>
      </c>
      <c r="O194" s="13">
        <f>N194*VLOOKUP('Données projet'!$B$9,Paramètres!$A$1:$I$89,3,0)*VLOOKUP('Données projet'!$B$9,Paramètres!$A$1:$I$89,5,0)</f>
        <v>-3.7509835237869992E-13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234.09142087023463</v>
      </c>
      <c r="T194" s="59">
        <f t="shared" si="142"/>
        <v>278.990685815294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0.10060002351149766</v>
      </c>
      <c r="AA194" s="21">
        <f>EXP(-LN(2)/25)*AA193+(1-EXP(-LN(2)/25))/(LN(2)/25)*Calculateur!V194*Calculateur!X194*VLOOKUP('Données projet'!$B$9,Paramètres!$A$1:$I$89,3,0)*0.475*44/12</f>
        <v>0.17670793183509703</v>
      </c>
      <c r="AB194" s="21">
        <f>EXP(-LN(2)/2)*AB193+(1-EXP(-LN(2)/2))/(LN(2)/2)*V194*Y194*VLOOKUP('Données projet'!$B$9,Paramètres!$A$1:$I$89,3,0)*0.475*44/12</f>
        <v>1.2957763442016523E-23</v>
      </c>
      <c r="AC194" s="22">
        <f t="shared" si="163"/>
        <v>0.27730795534659469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-1.2710188457276673E-13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255.5374979188561</v>
      </c>
      <c r="AO194" s="59">
        <f t="shared" si="144"/>
        <v>343.10418468620901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0.1274166669262469</v>
      </c>
      <c r="AV194" s="21">
        <f>EXP(-LN(2)/25)*AV193+(1-EXP(-LN(2)/25))/(LN(2)/25)*Calculateur!AQ194*Calculateur!AS194*VLOOKUP('Données projet'!$B$10,Paramètres!$A$1:$I$89,3,0)*0.475*44/12</f>
        <v>0.18382592762299557</v>
      </c>
      <c r="AW194" s="21">
        <f>EXP(-LN(2)/2)*AW193+(1-EXP(-LN(2)/2))/(LN(2)/2)*AQ194*AT194*VLOOKUP('Données projet'!$B$10,Paramètres!$A$1:$I$89,3,0)*0.475*44/12</f>
        <v>9.9004069906705584E-25</v>
      </c>
      <c r="AX194" s="21">
        <f t="shared" si="166"/>
        <v>0.31124259454924247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378.0000000000004</v>
      </c>
      <c r="BE194" s="13">
        <f>BD194*VLOOKUP('Données projet'!$B$11,Paramètres!$A$1:$I$89,3,0)*VLOOKUP('Données projet'!$B$11,Paramètres!$A$1:$I$89,5,0)</f>
        <v>324.32400000000035</v>
      </c>
      <c r="BF194" s="13">
        <f t="shared" si="167"/>
        <v>76.252341944982831</v>
      </c>
      <c r="BG194" s="20">
        <f t="shared" si="168"/>
        <v>697.67046222084571</v>
      </c>
      <c r="BH194" s="59">
        <f t="shared" si="116"/>
        <v>991.00379555417908</v>
      </c>
      <c r="BI194" s="59">
        <f ca="1">AVERAGE(OFFSET($BH$3,0,0,'Données projet'!$E$11+1,1))-AVERAGE(OFFSET($H$3,0,0,'Données projet'!$E$11+1,1))</f>
        <v>310.4018929413723</v>
      </c>
      <c r="BJ194" s="59">
        <f t="shared" si="146"/>
        <v>127.5231137583819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6.7809721231634645E-2</v>
      </c>
      <c r="BR194" s="21">
        <f>EXP(-LN(2)/2)*BR193+(1-EXP(-LN(2)/2))/(LN(2)/2)*BL194*BO194*VLOOKUP('Données projet'!$B$11,Paramètres!$A$1:$I$89,3,0)*0.475*44/12</f>
        <v>5.2233804244262515E-24</v>
      </c>
      <c r="BS194" s="22">
        <f t="shared" si="169"/>
        <v>6.7809721231634645E-2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210.04871822652808</v>
      </c>
      <c r="CE194" s="59">
        <f t="shared" si="148"/>
        <v>250.17540614049324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0.3010534102907157</v>
      </c>
      <c r="CL194" s="21">
        <f>EXP(-LN(2)/25)*CL193+(1-EXP(-LN(2)/25))/(LN(2)/25)*Calculateur!CG194*Calculateur!CI194*VLOOKUP('Données projet'!$B$12,Paramètres!$A$1:$I$89,3,0)*0.475*44/12</f>
        <v>0.32054659634662958</v>
      </c>
      <c r="CM194" s="21">
        <f>EXP(-LN(2)/2)*CM193+(1-EXP(-LN(2)/2))/(LN(2)/2)*CG194*CJ194*VLOOKUP('Données projet'!$B$12,Paramètres!$A$1:$I$89,3,0)*0.475*44/12</f>
        <v>1.2606977731669345E-23</v>
      </c>
      <c r="CN194" s="22">
        <f t="shared" si="172"/>
        <v>0.62160000663734527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-5.1159076974727213E-13</v>
      </c>
      <c r="O195" s="13">
        <f>N195*VLOOKUP('Données projet'!$B$9,Paramètres!$A$1:$I$89,3,0)*VLOOKUP('Données projet'!$B$9,Paramètres!$A$1:$I$89,5,0)</f>
        <v>-3.7509835237869992E-13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234.09142087023463</v>
      </c>
      <c r="T195" s="59">
        <f t="shared" si="142"/>
        <v>278.990685815294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9.8627318410392739E-2</v>
      </c>
      <c r="AA195" s="21">
        <f>EXP(-LN(2)/25)*AA194+(1-EXP(-LN(2)/25))/(LN(2)/25)*Calculateur!V195*Calculateur!X195*VLOOKUP('Données projet'!$B$9,Paramètres!$A$1:$I$89,3,0)*0.475*44/12</f>
        <v>0.17187584414640003</v>
      </c>
      <c r="AB195" s="21">
        <f>EXP(-LN(2)/2)*AB194+(1-EXP(-LN(2)/2))/(LN(2)/2)*V195*Y195*VLOOKUP('Données projet'!$B$9,Paramètres!$A$1:$I$89,3,0)*0.475*44/12</f>
        <v>9.1625223988610233E-24</v>
      </c>
      <c r="AC195" s="22">
        <f t="shared" si="163"/>
        <v>0.27050316255679274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-1.2710188457276673E-13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255.5374979188561</v>
      </c>
      <c r="AO195" s="59">
        <f t="shared" si="144"/>
        <v>343.10418468620901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0.12491810380431616</v>
      </c>
      <c r="AV195" s="21">
        <f>EXP(-LN(2)/25)*AV194+(1-EXP(-LN(2)/25))/(LN(2)/25)*Calculateur!AQ195*Calculateur!AS195*VLOOKUP('Données projet'!$B$10,Paramètres!$A$1:$I$89,3,0)*0.475*44/12</f>
        <v>0.17879919796515936</v>
      </c>
      <c r="AW195" s="21">
        <f>EXP(-LN(2)/2)*AW194+(1-EXP(-LN(2)/2))/(LN(2)/2)*AQ195*AT195*VLOOKUP('Données projet'!$B$10,Paramètres!$A$1:$I$89,3,0)*0.475*44/12</f>
        <v>7.0006449196098521E-25</v>
      </c>
      <c r="AX195" s="21">
        <f t="shared" si="166"/>
        <v>0.30371730176947553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378.0000000000004</v>
      </c>
      <c r="BE195" s="13">
        <f>BD195*VLOOKUP('Données projet'!$B$11,Paramètres!$A$1:$I$89,3,0)*VLOOKUP('Données projet'!$B$11,Paramètres!$A$1:$I$89,5,0)</f>
        <v>324.32400000000035</v>
      </c>
      <c r="BF195" s="13">
        <f t="shared" si="167"/>
        <v>76.252341944982831</v>
      </c>
      <c r="BG195" s="20">
        <f t="shared" si="168"/>
        <v>697.67046222084571</v>
      </c>
      <c r="BH195" s="59">
        <f t="shared" si="116"/>
        <v>991.00379555417908</v>
      </c>
      <c r="BI195" s="59">
        <f ca="1">AVERAGE(OFFSET($BH$3,0,0,'Données projet'!$E$11+1,1))-AVERAGE(OFFSET($H$3,0,0,'Données projet'!$E$11+1,1))</f>
        <v>310.4018929413723</v>
      </c>
      <c r="BJ195" s="59">
        <f t="shared" si="146"/>
        <v>127.5231137583819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6.5955460838597338E-2</v>
      </c>
      <c r="BR195" s="21">
        <f>EXP(-LN(2)/2)*BR194+(1-EXP(-LN(2)/2))/(LN(2)/2)*BL195*BO195*VLOOKUP('Données projet'!$B$11,Paramètres!$A$1:$I$89,3,0)*0.475*44/12</f>
        <v>3.6934877188288692E-24</v>
      </c>
      <c r="BS195" s="22">
        <f t="shared" si="169"/>
        <v>6.5955460838597338E-2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210.04871822652808</v>
      </c>
      <c r="CE195" s="59">
        <f t="shared" si="148"/>
        <v>250.17540614049324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0.29514993653936361</v>
      </c>
      <c r="CL195" s="21">
        <f>EXP(-LN(2)/25)*CL194+(1-EXP(-LN(2)/25))/(LN(2)/25)*Calculateur!CG195*Calculateur!CI195*VLOOKUP('Données projet'!$B$12,Paramètres!$A$1:$I$89,3,0)*0.475*44/12</f>
        <v>0.31178123281271813</v>
      </c>
      <c r="CM195" s="21">
        <f>EXP(-LN(2)/2)*CM194+(1-EXP(-LN(2)/2))/(LN(2)/2)*CG195*CJ195*VLOOKUP('Données projet'!$B$12,Paramètres!$A$1:$I$89,3,0)*0.475*44/12</f>
        <v>8.9144794443311926E-24</v>
      </c>
      <c r="CN195" s="22">
        <f t="shared" si="172"/>
        <v>0.6069311693520818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-5.1159076974727213E-13</v>
      </c>
      <c r="O196" s="13">
        <f>N196*VLOOKUP('Données projet'!$B$9,Paramètres!$A$1:$I$89,3,0)*VLOOKUP('Données projet'!$B$9,Paramètres!$A$1:$I$89,5,0)</f>
        <v>-3.7509835237869992E-13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234.09142087023463</v>
      </c>
      <c r="T196" s="59">
        <f t="shared" si="142"/>
        <v>278.990685815294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9.6693296853089181E-2</v>
      </c>
      <c r="AA196" s="21">
        <f>EXP(-LN(2)/25)*AA195+(1-EXP(-LN(2)/25))/(LN(2)/25)*Calculateur!V196*Calculateur!X196*VLOOKUP('Données projet'!$B$9,Paramètres!$A$1:$I$89,3,0)*0.475*44/12</f>
        <v>0.16717589014965892</v>
      </c>
      <c r="AB196" s="21">
        <f>EXP(-LN(2)/2)*AB195+(1-EXP(-LN(2)/2))/(LN(2)/2)*V196*Y196*VLOOKUP('Données projet'!$B$9,Paramètres!$A$1:$I$89,3,0)*0.475*44/12</f>
        <v>6.4788817210082622E-24</v>
      </c>
      <c r="AC196" s="22">
        <f t="shared" si="163"/>
        <v>0.26386918700274808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-1.2710188457276673E-13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255.5374979188561</v>
      </c>
      <c r="AO196" s="59">
        <f t="shared" si="144"/>
        <v>343.10418468620901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0.12246853598123346</v>
      </c>
      <c r="AV196" s="21">
        <f>EXP(-LN(2)/25)*AV195+(1-EXP(-LN(2)/25))/(LN(2)/25)*Calculateur!AQ196*Calculateur!AS196*VLOOKUP('Données projet'!$B$10,Paramètres!$A$1:$I$89,3,0)*0.475*44/12</f>
        <v>0.1739099244941609</v>
      </c>
      <c r="AW196" s="21">
        <f>EXP(-LN(2)/2)*AW195+(1-EXP(-LN(2)/2))/(LN(2)/2)*AQ196*AT196*VLOOKUP('Données projet'!$B$10,Paramètres!$A$1:$I$89,3,0)*0.475*44/12</f>
        <v>4.9502034953352792E-25</v>
      </c>
      <c r="AX196" s="21">
        <f t="shared" si="166"/>
        <v>0.29637846047539435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378.0000000000004</v>
      </c>
      <c r="BE196" s="13">
        <f>BD196*VLOOKUP('Données projet'!$B$11,Paramètres!$A$1:$I$89,3,0)*VLOOKUP('Données projet'!$B$11,Paramètres!$A$1:$I$89,5,0)</f>
        <v>324.32400000000035</v>
      </c>
      <c r="BF196" s="13">
        <f t="shared" si="167"/>
        <v>76.252341944982831</v>
      </c>
      <c r="BG196" s="20">
        <f t="shared" si="168"/>
        <v>697.67046222084571</v>
      </c>
      <c r="BH196" s="59">
        <f t="shared" ref="BH196:BH203" si="194">BG196+(AY196+AZ196)*44/12</f>
        <v>991.00379555417908</v>
      </c>
      <c r="BI196" s="59">
        <f ca="1">AVERAGE(OFFSET($BH$3,0,0,'Données projet'!$E$11+1,1))-AVERAGE(OFFSET($H$3,0,0,'Données projet'!$E$11+1,1))</f>
        <v>310.4018929413723</v>
      </c>
      <c r="BJ196" s="59">
        <f t="shared" si="146"/>
        <v>127.5231137583819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6.4151905293518954E-2</v>
      </c>
      <c r="BR196" s="21">
        <f>EXP(-LN(2)/2)*BR195+(1-EXP(-LN(2)/2))/(LN(2)/2)*BL196*BO196*VLOOKUP('Données projet'!$B$11,Paramètres!$A$1:$I$89,3,0)*0.475*44/12</f>
        <v>2.6116902122131258E-24</v>
      </c>
      <c r="BS196" s="22">
        <f t="shared" si="169"/>
        <v>6.4151905293518954E-2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210.04871822652808</v>
      </c>
      <c r="CE196" s="59">
        <f t="shared" si="148"/>
        <v>250.17540614049324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0.28936222630751213</v>
      </c>
      <c r="CL196" s="21">
        <f>EXP(-LN(2)/25)*CL195+(1-EXP(-LN(2)/25))/(LN(2)/25)*Calculateur!CG196*Calculateur!CI196*VLOOKUP('Données projet'!$B$12,Paramètres!$A$1:$I$89,3,0)*0.475*44/12</f>
        <v>0.30325555860559189</v>
      </c>
      <c r="CM196" s="21">
        <f>EXP(-LN(2)/2)*CM195+(1-EXP(-LN(2)/2))/(LN(2)/2)*CG196*CJ196*VLOOKUP('Données projet'!$B$12,Paramètres!$A$1:$I$89,3,0)*0.475*44/12</f>
        <v>6.3034888658346724E-24</v>
      </c>
      <c r="CN196" s="22">
        <f t="shared" si="172"/>
        <v>0.59261778491310402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-5.1159076974727213E-13</v>
      </c>
      <c r="O197" s="13">
        <f>N197*VLOOKUP('Données projet'!$B$9,Paramètres!$A$1:$I$89,3,0)*VLOOKUP('Données projet'!$B$9,Paramètres!$A$1:$I$89,5,0)</f>
        <v>-3.7509835237869992E-13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234.09142087023463</v>
      </c>
      <c r="T197" s="59">
        <f t="shared" ref="T197:T203" si="204">$T$3</f>
        <v>278.990685815294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9.4797200278887675E-2</v>
      </c>
      <c r="AA197" s="21">
        <f>EXP(-LN(2)/25)*AA196+(1-EXP(-LN(2)/25))/(LN(2)/25)*Calculateur!V197*Calculateur!X197*VLOOKUP('Données projet'!$B$9,Paramètres!$A$1:$I$89,3,0)*0.475*44/12</f>
        <v>0.16260445664211851</v>
      </c>
      <c r="AB197" s="21">
        <f>EXP(-LN(2)/2)*AB196+(1-EXP(-LN(2)/2))/(LN(2)/2)*V197*Y197*VLOOKUP('Données projet'!$B$9,Paramètres!$A$1:$I$89,3,0)*0.475*44/12</f>
        <v>4.5812611994305124E-24</v>
      </c>
      <c r="AC197" s="22">
        <f t="shared" si="163"/>
        <v>0.25740165692100619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-1.2710188457276673E-13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255.5374979188561</v>
      </c>
      <c r="AO197" s="59">
        <f t="shared" ref="AO197:AO203" si="205">$AO$3</f>
        <v>343.10418468620901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0.12006700268907256</v>
      </c>
      <c r="AV197" s="21">
        <f>EXP(-LN(2)/25)*AV196+(1-EXP(-LN(2)/25))/(LN(2)/25)*Calculateur!AQ197*Calculateur!AS197*VLOOKUP('Données projet'!$B$10,Paramètres!$A$1:$I$89,3,0)*0.475*44/12</f>
        <v>0.16915434846334262</v>
      </c>
      <c r="AW197" s="21">
        <f>EXP(-LN(2)/2)*AW196+(1-EXP(-LN(2)/2))/(LN(2)/2)*AQ197*AT197*VLOOKUP('Données projet'!$B$10,Paramètres!$A$1:$I$89,3,0)*0.475*44/12</f>
        <v>3.500322459804926E-25</v>
      </c>
      <c r="AX197" s="21">
        <f t="shared" si="166"/>
        <v>0.28922135115241521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378.0000000000004</v>
      </c>
      <c r="BE197" s="13">
        <f>BD197*VLOOKUP('Données projet'!$B$11,Paramètres!$A$1:$I$89,3,0)*VLOOKUP('Données projet'!$B$11,Paramètres!$A$1:$I$89,5,0)</f>
        <v>324.32400000000035</v>
      </c>
      <c r="BF197" s="13">
        <f t="shared" si="167"/>
        <v>76.252341944982831</v>
      </c>
      <c r="BG197" s="20">
        <f t="shared" si="168"/>
        <v>697.67046222084571</v>
      </c>
      <c r="BH197" s="59">
        <f t="shared" si="194"/>
        <v>991.00379555417908</v>
      </c>
      <c r="BI197" s="59">
        <f ca="1">AVERAGE(OFFSET($BH$3,0,0,'Données projet'!$E$11+1,1))-AVERAGE(OFFSET($H$3,0,0,'Données projet'!$E$11+1,1))</f>
        <v>310.4018929413723</v>
      </c>
      <c r="BJ197" s="59">
        <f t="shared" ref="BJ197:BJ203" si="206">$BJ$3</f>
        <v>127.5231137583819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6.2397668069665603E-2</v>
      </c>
      <c r="BR197" s="21">
        <f>EXP(-LN(2)/2)*BR196+(1-EXP(-LN(2)/2))/(LN(2)/2)*BL197*BO197*VLOOKUP('Données projet'!$B$11,Paramètres!$A$1:$I$89,3,0)*0.475*44/12</f>
        <v>1.8467438594144346E-24</v>
      </c>
      <c r="BS197" s="22">
        <f t="shared" si="169"/>
        <v>6.2397668069665603E-2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210.04871822652808</v>
      </c>
      <c r="CE197" s="59">
        <f t="shared" ref="CE197:CE203" si="207">$CE$3</f>
        <v>250.17540614049324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0.2836880095431526</v>
      </c>
      <c r="CL197" s="21">
        <f>EXP(-LN(2)/25)*CL196+(1-EXP(-LN(2)/25))/(LN(2)/25)*Calculateur!CG197*Calculateur!CI197*VLOOKUP('Données projet'!$B$12,Paramètres!$A$1:$I$89,3,0)*0.475*44/12</f>
        <v>0.29496301940800523</v>
      </c>
      <c r="CM197" s="21">
        <f>EXP(-LN(2)/2)*CM196+(1-EXP(-LN(2)/2))/(LN(2)/2)*CG197*CJ197*VLOOKUP('Données projet'!$B$12,Paramètres!$A$1:$I$89,3,0)*0.475*44/12</f>
        <v>4.4572397221655963E-24</v>
      </c>
      <c r="CN197" s="22">
        <f t="shared" si="172"/>
        <v>0.57865102895115783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-5.1159076974727213E-13</v>
      </c>
      <c r="O198" s="13">
        <f>N198*VLOOKUP('Données projet'!$B$9,Paramètres!$A$1:$I$89,3,0)*VLOOKUP('Données projet'!$B$9,Paramètres!$A$1:$I$89,5,0)</f>
        <v>-3.7509835237869992E-13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234.09142087023463</v>
      </c>
      <c r="T198" s="59">
        <f t="shared" si="204"/>
        <v>278.990685815294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9.2938285002001547E-2</v>
      </c>
      <c r="AA198" s="21">
        <f>EXP(-LN(2)/25)*AA197+(1-EXP(-LN(2)/25))/(LN(2)/25)*Calculateur!V198*Calculateur!X198*VLOOKUP('Données projet'!$B$9,Paramètres!$A$1:$I$89,3,0)*0.475*44/12</f>
        <v>0.15815802922424305</v>
      </c>
      <c r="AB198" s="21">
        <f>EXP(-LN(2)/2)*AB197+(1-EXP(-LN(2)/2))/(LN(2)/2)*V198*Y198*VLOOKUP('Données projet'!$B$9,Paramètres!$A$1:$I$89,3,0)*0.475*44/12</f>
        <v>3.2394408605041318E-24</v>
      </c>
      <c r="AC198" s="22">
        <f t="shared" si="163"/>
        <v>0.25109631422624457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-1.2710188457276673E-13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255.5374979188561</v>
      </c>
      <c r="AO198" s="59">
        <f t="shared" si="205"/>
        <v>343.10418468620901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0.11771256199998026</v>
      </c>
      <c r="AV198" s="21">
        <f>EXP(-LN(2)/25)*AV197+(1-EXP(-LN(2)/25))/(LN(2)/25)*Calculateur!AQ198*Calculateur!AS198*VLOOKUP('Données projet'!$B$10,Paramètres!$A$1:$I$89,3,0)*0.475*44/12</f>
        <v>0.16452881390917193</v>
      </c>
      <c r="AW198" s="21">
        <f>EXP(-LN(2)/2)*AW197+(1-EXP(-LN(2)/2))/(LN(2)/2)*AQ198*AT198*VLOOKUP('Données projet'!$B$10,Paramètres!$A$1:$I$89,3,0)*0.475*44/12</f>
        <v>2.4751017476676396E-25</v>
      </c>
      <c r="AX198" s="21">
        <f t="shared" si="166"/>
        <v>0.28224137590915221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378.0000000000004</v>
      </c>
      <c r="BE198" s="13">
        <f>BD198*VLOOKUP('Données projet'!$B$11,Paramètres!$A$1:$I$89,3,0)*VLOOKUP('Données projet'!$B$11,Paramètres!$A$1:$I$89,5,0)</f>
        <v>324.32400000000035</v>
      </c>
      <c r="BF198" s="13">
        <f t="shared" si="167"/>
        <v>76.252341944982831</v>
      </c>
      <c r="BG198" s="20">
        <f t="shared" si="168"/>
        <v>697.67046222084571</v>
      </c>
      <c r="BH198" s="59">
        <f t="shared" si="194"/>
        <v>991.00379555417908</v>
      </c>
      <c r="BI198" s="59">
        <f ca="1">AVERAGE(OFFSET($BH$3,0,0,'Données projet'!$E$11+1,1))-AVERAGE(OFFSET($H$3,0,0,'Données projet'!$E$11+1,1))</f>
        <v>310.4018929413723</v>
      </c>
      <c r="BJ198" s="59">
        <f t="shared" si="206"/>
        <v>127.5231137583819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6.0691400554949843E-2</v>
      </c>
      <c r="BR198" s="21">
        <f>EXP(-LN(2)/2)*BR197+(1-EXP(-LN(2)/2))/(LN(2)/2)*BL198*BO198*VLOOKUP('Données projet'!$B$11,Paramètres!$A$1:$I$89,3,0)*0.475*44/12</f>
        <v>1.3058451061065629E-24</v>
      </c>
      <c r="BS198" s="22">
        <f t="shared" si="169"/>
        <v>6.0691400554949843E-2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210.04871822652808</v>
      </c>
      <c r="CE198" s="59">
        <f t="shared" si="207"/>
        <v>250.17540614049324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0.27812506070861165</v>
      </c>
      <c r="CL198" s="21">
        <f>EXP(-LN(2)/25)*CL197+(1-EXP(-LN(2)/25))/(LN(2)/25)*Calculateur!CG198*Calculateur!CI198*VLOOKUP('Données projet'!$B$12,Paramètres!$A$1:$I$89,3,0)*0.475*44/12</f>
        <v>0.28689724013086226</v>
      </c>
      <c r="CM198" s="21">
        <f>EXP(-LN(2)/2)*CM197+(1-EXP(-LN(2)/2))/(LN(2)/2)*CG198*CJ198*VLOOKUP('Données projet'!$B$12,Paramètres!$A$1:$I$89,3,0)*0.475*44/12</f>
        <v>3.1517444329173362E-24</v>
      </c>
      <c r="CN198" s="22">
        <f t="shared" si="172"/>
        <v>0.56502230083947391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-5.1159076974727213E-13</v>
      </c>
      <c r="O199" s="13">
        <f>N199*VLOOKUP('Données projet'!$B$9,Paramètres!$A$1:$I$89,3,0)*VLOOKUP('Données projet'!$B$9,Paramètres!$A$1:$I$89,5,0)</f>
        <v>-3.7509835237869992E-13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234.09142087023463</v>
      </c>
      <c r="T199" s="59">
        <f t="shared" si="204"/>
        <v>278.990685815294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9.1115821919868792E-2</v>
      </c>
      <c r="AA199" s="21">
        <f>EXP(-LN(2)/25)*AA198+(1-EXP(-LN(2)/25))/(LN(2)/25)*Calculateur!V199*Calculateur!X199*VLOOKUP('Données projet'!$B$9,Paramètres!$A$1:$I$89,3,0)*0.475*44/12</f>
        <v>0.15383318959793685</v>
      </c>
      <c r="AB199" s="21">
        <f>EXP(-LN(2)/2)*AB198+(1-EXP(-LN(2)/2))/(LN(2)/2)*V199*Y199*VLOOKUP('Données projet'!$B$9,Paramètres!$A$1:$I$89,3,0)*0.475*44/12</f>
        <v>2.2906305997152566E-24</v>
      </c>
      <c r="AC199" s="22">
        <f t="shared" si="163"/>
        <v>0.24494901151780563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-1.2710188457276673E-13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255.5374979188561</v>
      </c>
      <c r="AO199" s="59">
        <f t="shared" si="205"/>
        <v>343.10418468620901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0.11540429045673405</v>
      </c>
      <c r="AV199" s="21">
        <f>EXP(-LN(2)/25)*AV198+(1-EXP(-LN(2)/25))/(LN(2)/25)*Calculateur!AQ199*Calculateur!AS199*VLOOKUP('Données projet'!$B$10,Paramètres!$A$1:$I$89,3,0)*0.475*44/12</f>
        <v>0.16002976484063133</v>
      </c>
      <c r="AW199" s="21">
        <f>EXP(-LN(2)/2)*AW198+(1-EXP(-LN(2)/2))/(LN(2)/2)*AQ199*AT199*VLOOKUP('Données projet'!$B$10,Paramètres!$A$1:$I$89,3,0)*0.475*44/12</f>
        <v>1.750161229902463E-25</v>
      </c>
      <c r="AX199" s="21">
        <f t="shared" si="166"/>
        <v>0.27543405529736537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378.0000000000004</v>
      </c>
      <c r="BE199" s="13">
        <f>BD199*VLOOKUP('Données projet'!$B$11,Paramètres!$A$1:$I$89,3,0)*VLOOKUP('Données projet'!$B$11,Paramètres!$A$1:$I$89,5,0)</f>
        <v>324.32400000000035</v>
      </c>
      <c r="BF199" s="13">
        <f t="shared" si="167"/>
        <v>76.252341944982831</v>
      </c>
      <c r="BG199" s="20">
        <f t="shared" si="168"/>
        <v>697.67046222084571</v>
      </c>
      <c r="BH199" s="59">
        <f t="shared" si="194"/>
        <v>991.00379555417908</v>
      </c>
      <c r="BI199" s="59">
        <f ca="1">AVERAGE(OFFSET($BH$3,0,0,'Données projet'!$E$11+1,1))-AVERAGE(OFFSET($H$3,0,0,'Données projet'!$E$11+1,1))</f>
        <v>310.4018929413723</v>
      </c>
      <c r="BJ199" s="59">
        <f t="shared" si="206"/>
        <v>127.5231137583819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5.9031791015152699E-2</v>
      </c>
      <c r="BR199" s="21">
        <f>EXP(-LN(2)/2)*BR198+(1-EXP(-LN(2)/2))/(LN(2)/2)*BL199*BO199*VLOOKUP('Données projet'!$B$11,Paramètres!$A$1:$I$89,3,0)*0.475*44/12</f>
        <v>9.2337192970721729E-25</v>
      </c>
      <c r="BS199" s="22">
        <f t="shared" si="169"/>
        <v>5.9031791015152699E-2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210.04871822652808</v>
      </c>
      <c r="CE199" s="59">
        <f t="shared" si="207"/>
        <v>250.17540614049324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0.27267119790765232</v>
      </c>
      <c r="CL199" s="21">
        <f>EXP(-LN(2)/25)*CL198+(1-EXP(-LN(2)/25))/(LN(2)/25)*Calculateur!CG199*Calculateur!CI199*VLOOKUP('Données projet'!$B$12,Paramètres!$A$1:$I$89,3,0)*0.475*44/12</f>
        <v>0.27905202001221369</v>
      </c>
      <c r="CM199" s="21">
        <f>EXP(-LN(2)/2)*CM198+(1-EXP(-LN(2)/2))/(LN(2)/2)*CG199*CJ199*VLOOKUP('Données projet'!$B$12,Paramètres!$A$1:$I$89,3,0)*0.475*44/12</f>
        <v>2.2286198610827981E-24</v>
      </c>
      <c r="CN199" s="22">
        <f t="shared" si="172"/>
        <v>0.551723217919866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-5.1159076974727213E-13</v>
      </c>
      <c r="O200" s="13">
        <f>N200*VLOOKUP('Données projet'!$B$9,Paramètres!$A$1:$I$89,3,0)*VLOOKUP('Données projet'!$B$9,Paramètres!$A$1:$I$89,5,0)</f>
        <v>-3.7509835237869992E-13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234.09142087023463</v>
      </c>
      <c r="T200" s="59">
        <f t="shared" si="204"/>
        <v>278.990685815294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8.9329096227183949E-2</v>
      </c>
      <c r="AA200" s="21">
        <f>EXP(-LN(2)/25)*AA199+(1-EXP(-LN(2)/25))/(LN(2)/25)*Calculateur!V200*Calculateur!X200*VLOOKUP('Données projet'!$B$9,Paramètres!$A$1:$I$89,3,0)*0.475*44/12</f>
        <v>0.1496266129386454</v>
      </c>
      <c r="AB200" s="21">
        <f>EXP(-LN(2)/2)*AB199+(1-EXP(-LN(2)/2))/(LN(2)/2)*V200*Y200*VLOOKUP('Données projet'!$B$9,Paramètres!$A$1:$I$89,3,0)*0.475*44/12</f>
        <v>1.6197204302520661E-24</v>
      </c>
      <c r="AC200" s="22">
        <f t="shared" si="163"/>
        <v>0.23895570916582937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-1.2710188457276673E-13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255.5374979188561</v>
      </c>
      <c r="AO200" s="59">
        <f t="shared" si="205"/>
        <v>343.10418468620901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0.11314128271054427</v>
      </c>
      <c r="AV200" s="21">
        <f>EXP(-LN(2)/25)*AV199+(1-EXP(-LN(2)/25))/(LN(2)/25)*Calculateur!AQ200*Calculateur!AS200*VLOOKUP('Données projet'!$B$10,Paramètres!$A$1:$I$89,3,0)*0.475*44/12</f>
        <v>0.15565374250546468</v>
      </c>
      <c r="AW200" s="21">
        <f>EXP(-LN(2)/2)*AW199+(1-EXP(-LN(2)/2))/(LN(2)/2)*AQ200*AT200*VLOOKUP('Données projet'!$B$10,Paramètres!$A$1:$I$89,3,0)*0.475*44/12</f>
        <v>1.2375508738338198E-25</v>
      </c>
      <c r="AX200" s="21">
        <f t="shared" si="166"/>
        <v>0.26879502521600895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378.0000000000004</v>
      </c>
      <c r="BE200" s="13">
        <f>BD200*VLOOKUP('Données projet'!$B$11,Paramètres!$A$1:$I$89,3,0)*VLOOKUP('Données projet'!$B$11,Paramètres!$A$1:$I$89,5,0)</f>
        <v>324.32400000000035</v>
      </c>
      <c r="BF200" s="13">
        <f t="shared" si="167"/>
        <v>76.252341944982831</v>
      </c>
      <c r="BG200" s="20">
        <f t="shared" si="168"/>
        <v>697.67046222084571</v>
      </c>
      <c r="BH200" s="59">
        <f t="shared" si="194"/>
        <v>991.00379555417908</v>
      </c>
      <c r="BI200" s="59">
        <f ca="1">AVERAGE(OFFSET($BH$3,0,0,'Données projet'!$E$11+1,1))-AVERAGE(OFFSET($H$3,0,0,'Données projet'!$E$11+1,1))</f>
        <v>310.4018929413723</v>
      </c>
      <c r="BJ200" s="59">
        <f t="shared" si="206"/>
        <v>127.5231137583819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5.7417563585496378E-2</v>
      </c>
      <c r="BR200" s="21">
        <f>EXP(-LN(2)/2)*BR199+(1-EXP(-LN(2)/2))/(LN(2)/2)*BL200*BO200*VLOOKUP('Données projet'!$B$11,Paramètres!$A$1:$I$89,3,0)*0.475*44/12</f>
        <v>6.5292255305328144E-25</v>
      </c>
      <c r="BS200" s="22">
        <f t="shared" si="169"/>
        <v>5.7417563585496378E-2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210.04871822652808</v>
      </c>
      <c r="CE200" s="59">
        <f t="shared" si="207"/>
        <v>250.17540614049324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0.26732428202969194</v>
      </c>
      <c r="CL200" s="21">
        <f>EXP(-LN(2)/25)*CL199+(1-EXP(-LN(2)/25))/(LN(2)/25)*Calculateur!CG200*Calculateur!CI200*VLOOKUP('Données projet'!$B$12,Paramètres!$A$1:$I$89,3,0)*0.475*44/12</f>
        <v>0.27142132785027173</v>
      </c>
      <c r="CM200" s="21">
        <f>EXP(-LN(2)/2)*CM199+(1-EXP(-LN(2)/2))/(LN(2)/2)*CG200*CJ200*VLOOKUP('Données projet'!$B$12,Paramètres!$A$1:$I$89,3,0)*0.475*44/12</f>
        <v>1.5758722164586681E-24</v>
      </c>
      <c r="CN200" s="22">
        <f t="shared" si="172"/>
        <v>0.53874560987996367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-5.1159076974727213E-13</v>
      </c>
      <c r="O201" s="13">
        <f>N201*VLOOKUP('Données projet'!$B$9,Paramètres!$A$1:$I$89,3,0)*VLOOKUP('Données projet'!$B$9,Paramètres!$A$1:$I$89,5,0)</f>
        <v>-3.7509835237869992E-13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234.09142087023463</v>
      </c>
      <c r="T201" s="59">
        <f t="shared" si="204"/>
        <v>278.990685815294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8.7577407135537591E-2</v>
      </c>
      <c r="AA201" s="21">
        <f>EXP(-LN(2)/25)*AA200+(1-EXP(-LN(2)/25))/(LN(2)/25)*Calculateur!V201*Calculateur!X201*VLOOKUP('Données projet'!$B$9,Paramètres!$A$1:$I$89,3,0)*0.475*44/12</f>
        <v>0.14553506533931654</v>
      </c>
      <c r="AB201" s="21">
        <f>EXP(-LN(2)/2)*AB200+(1-EXP(-LN(2)/2))/(LN(2)/2)*V201*Y201*VLOOKUP('Données projet'!$B$9,Paramètres!$A$1:$I$89,3,0)*0.475*44/12</f>
        <v>1.1453152998576285E-24</v>
      </c>
      <c r="AC201" s="22">
        <f t="shared" si="163"/>
        <v>0.23311247247485412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-1.2710188457276673E-13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255.5374979188561</v>
      </c>
      <c r="AO201" s="59">
        <f t="shared" si="205"/>
        <v>343.10418468620901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0.11092265116595884</v>
      </c>
      <c r="AV201" s="21">
        <f>EXP(-LN(2)/25)*AV200+(1-EXP(-LN(2)/25))/(LN(2)/25)*Calculateur!AQ201*Calculateur!AS201*VLOOKUP('Données projet'!$B$10,Paramètres!$A$1:$I$89,3,0)*0.475*44/12</f>
        <v>0.15139738273117817</v>
      </c>
      <c r="AW201" s="21">
        <f>EXP(-LN(2)/2)*AW200+(1-EXP(-LN(2)/2))/(LN(2)/2)*AQ201*AT201*VLOOKUP('Données projet'!$B$10,Paramètres!$A$1:$I$89,3,0)*0.475*44/12</f>
        <v>8.7508061495123151E-26</v>
      </c>
      <c r="AX201" s="21">
        <f t="shared" si="166"/>
        <v>0.26232003389713698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378.0000000000004</v>
      </c>
      <c r="BE201" s="13">
        <f>BD201*VLOOKUP('Données projet'!$B$11,Paramètres!$A$1:$I$89,3,0)*VLOOKUP('Données projet'!$B$11,Paramètres!$A$1:$I$89,5,0)</f>
        <v>324.32400000000035</v>
      </c>
      <c r="BF201" s="13">
        <f t="shared" si="167"/>
        <v>76.252341944982831</v>
      </c>
      <c r="BG201" s="20">
        <f t="shared" si="168"/>
        <v>697.67046222084571</v>
      </c>
      <c r="BH201" s="59">
        <f t="shared" si="194"/>
        <v>991.00379555417908</v>
      </c>
      <c r="BI201" s="59">
        <f ca="1">AVERAGE(OFFSET($BH$3,0,0,'Données projet'!$E$11+1,1))-AVERAGE(OFFSET($H$3,0,0,'Données projet'!$E$11+1,1))</f>
        <v>310.4018929413723</v>
      </c>
      <c r="BJ201" s="59">
        <f t="shared" si="206"/>
        <v>127.5231137583819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5.5847477289792544E-2</v>
      </c>
      <c r="BR201" s="21">
        <f>EXP(-LN(2)/2)*BR200+(1-EXP(-LN(2)/2))/(LN(2)/2)*BL201*BO201*VLOOKUP('Données projet'!$B$11,Paramètres!$A$1:$I$89,3,0)*0.475*44/12</f>
        <v>4.6168596485360864E-25</v>
      </c>
      <c r="BS201" s="22">
        <f t="shared" si="169"/>
        <v>5.5847477289792544E-2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210.04871822652808</v>
      </c>
      <c r="CE201" s="59">
        <f t="shared" si="207"/>
        <v>250.17540614049324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0.26208221591080172</v>
      </c>
      <c r="CL201" s="21">
        <f>EXP(-LN(2)/25)*CL200+(1-EXP(-LN(2)/25))/(LN(2)/25)*Calculateur!CG201*Calculateur!CI201*VLOOKUP('Données projet'!$B$12,Paramètres!$A$1:$I$89,3,0)*0.475*44/12</f>
        <v>0.26399929736677874</v>
      </c>
      <c r="CM201" s="21">
        <f>EXP(-LN(2)/2)*CM200+(1-EXP(-LN(2)/2))/(LN(2)/2)*CG201*CJ201*VLOOKUP('Données projet'!$B$12,Paramètres!$A$1:$I$89,3,0)*0.475*44/12</f>
        <v>1.1143099305413991E-24</v>
      </c>
      <c r="CN201" s="22">
        <f t="shared" si="172"/>
        <v>0.52608151327758046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-5.1159076974727213E-13</v>
      </c>
      <c r="O202" s="13">
        <f>N202*VLOOKUP('Données projet'!$B$9,Paramètres!$A$1:$I$89,3,0)*VLOOKUP('Données projet'!$B$9,Paramètres!$A$1:$I$89,5,0)</f>
        <v>-3.7509835237869992E-13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234.09142087023463</v>
      </c>
      <c r="T202" s="59">
        <f t="shared" si="204"/>
        <v>278.990685815294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8.5860067598553566E-2</v>
      </c>
      <c r="AA202" s="21">
        <f>EXP(-LN(2)/25)*AA201+(1-EXP(-LN(2)/25))/(LN(2)/25)*Calculateur!V202*Calculateur!X202*VLOOKUP('Données projet'!$B$9,Paramètres!$A$1:$I$89,3,0)*0.475*44/12</f>
        <v>0.14155540132425648</v>
      </c>
      <c r="AB202" s="21">
        <f>EXP(-LN(2)/2)*AB201+(1-EXP(-LN(2)/2))/(LN(2)/2)*V202*Y202*VLOOKUP('Données projet'!$B$9,Paramètres!$A$1:$I$89,3,0)*0.475*44/12</f>
        <v>8.0986021512603324E-25</v>
      </c>
      <c r="AC202" s="22">
        <f t="shared" si="163"/>
        <v>0.22741546892281006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-1.2710188457276673E-13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255.5374979188561</v>
      </c>
      <c r="AO202" s="59">
        <f t="shared" si="205"/>
        <v>343.10418468620901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0.10874752563273112</v>
      </c>
      <c r="AV202" s="21">
        <f>EXP(-LN(2)/25)*AV201+(1-EXP(-LN(2)/25))/(LN(2)/25)*Calculateur!AQ202*Calculateur!AS202*VLOOKUP('Données projet'!$B$10,Paramètres!$A$1:$I$89,3,0)*0.475*44/12</f>
        <v>0.14725741333875178</v>
      </c>
      <c r="AW202" s="21">
        <f>EXP(-LN(2)/2)*AW201+(1-EXP(-LN(2)/2))/(LN(2)/2)*AQ202*AT202*VLOOKUP('Données projet'!$B$10,Paramètres!$A$1:$I$89,3,0)*0.475*44/12</f>
        <v>6.187754369169099E-26</v>
      </c>
      <c r="AX202" s="21">
        <f t="shared" si="166"/>
        <v>0.25600493897148291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378.0000000000004</v>
      </c>
      <c r="BE202" s="13">
        <f>BD202*VLOOKUP('Données projet'!$B$11,Paramètres!$A$1:$I$89,3,0)*VLOOKUP('Données projet'!$B$11,Paramètres!$A$1:$I$89,5,0)</f>
        <v>324.32400000000035</v>
      </c>
      <c r="BF202" s="13">
        <f t="shared" si="167"/>
        <v>76.252341944982831</v>
      </c>
      <c r="BG202" s="20">
        <f t="shared" si="168"/>
        <v>697.67046222084571</v>
      </c>
      <c r="BH202" s="59">
        <f t="shared" si="194"/>
        <v>991.00379555417908</v>
      </c>
      <c r="BI202" s="59">
        <f ca="1">AVERAGE(OFFSET($BH$3,0,0,'Données projet'!$E$11+1,1))-AVERAGE(OFFSET($H$3,0,0,'Données projet'!$E$11+1,1))</f>
        <v>310.4018929413723</v>
      </c>
      <c r="BJ202" s="59">
        <f t="shared" si="206"/>
        <v>127.5231137583819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5.4320325086411977E-2</v>
      </c>
      <c r="BR202" s="21">
        <f>EXP(-LN(2)/2)*BR201+(1-EXP(-LN(2)/2))/(LN(2)/2)*BL202*BO202*VLOOKUP('Données projet'!$B$11,Paramètres!$A$1:$I$89,3,0)*0.475*44/12</f>
        <v>3.2646127652664072E-25</v>
      </c>
      <c r="BS202" s="22">
        <f t="shared" si="169"/>
        <v>5.4320325086411977E-2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210.04871822652808</v>
      </c>
      <c r="CE202" s="59">
        <f t="shared" si="207"/>
        <v>250.17540614049324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0.25694294351115832</v>
      </c>
      <c r="CL202" s="21">
        <f>EXP(-LN(2)/25)*CL201+(1-EXP(-LN(2)/25))/(LN(2)/25)*Calculateur!CG202*Calculateur!CI202*VLOOKUP('Données projet'!$B$12,Paramètres!$A$1:$I$89,3,0)*0.475*44/12</f>
        <v>0.2567802226971645</v>
      </c>
      <c r="CM202" s="21">
        <f>EXP(-LN(2)/2)*CM201+(1-EXP(-LN(2)/2))/(LN(2)/2)*CG202*CJ202*VLOOKUP('Données projet'!$B$12,Paramètres!$A$1:$I$89,3,0)*0.475*44/12</f>
        <v>7.8793610822933405E-25</v>
      </c>
      <c r="CN202" s="22">
        <f t="shared" si="172"/>
        <v>0.51372316620832281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-5.1159076974727213E-13</v>
      </c>
      <c r="O203" s="13">
        <f>N203*VLOOKUP('Données projet'!$B$9,Paramètres!$A$1:$I$89,3,0)*VLOOKUP('Données projet'!$B$9,Paramètres!$A$1:$I$89,5,0)</f>
        <v>-3.7509835237869992E-13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234.09142087023463</v>
      </c>
      <c r="T203" s="59">
        <f t="shared" si="204"/>
        <v>278.990685815294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8.4176404042416109E-2</v>
      </c>
      <c r="AA203" s="21">
        <f>EXP(-LN(2)/25)*AA202+(1-EXP(-LN(2)/25))/(LN(2)/25)*Calculateur!V203*Calculateur!X203*VLOOKUP('Données projet'!$B$9,Paramètres!$A$1:$I$89,3,0)*0.475*44/12</f>
        <v>0.13768456143096966</v>
      </c>
      <c r="AB203" s="21">
        <f>EXP(-LN(2)/2)*AB202+(1-EXP(-LN(2)/2))/(LN(2)/2)*V203*Y203*VLOOKUP('Données projet'!$B$9,Paramètres!$A$1:$I$89,3,0)*0.475*44/12</f>
        <v>5.7265764992881432E-25</v>
      </c>
      <c r="AC203" s="22">
        <f t="shared" si="163"/>
        <v>0.22186096547338577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-1.2710188457276673E-13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255.5374979188561</v>
      </c>
      <c r="AO203" s="59">
        <f t="shared" si="205"/>
        <v>343.10418468620901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0.1066150529845144</v>
      </c>
      <c r="AV203" s="21">
        <f>EXP(-LN(2)/25)*AV202+(1-EXP(-LN(2)/25))/(LN(2)/25)*Calculateur!AQ203*Calculateur!AS203*VLOOKUP('Données projet'!$B$10,Paramètres!$A$1:$I$89,3,0)*0.475*44/12</f>
        <v>0.1432306516270728</v>
      </c>
      <c r="AW203" s="21">
        <f>EXP(-LN(2)/2)*AW202+(1-EXP(-LN(2)/2))/(LN(2)/2)*AQ203*AT203*VLOOKUP('Données projet'!$B$10,Paramètres!$A$1:$I$89,3,0)*0.475*44/12</f>
        <v>4.3754030747561575E-26</v>
      </c>
      <c r="AX203" s="21">
        <f t="shared" si="166"/>
        <v>0.2498457046115872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378.0000000000004</v>
      </c>
      <c r="BE203" s="13">
        <f>BD203*VLOOKUP('Données projet'!$B$11,Paramètres!$A$1:$I$89,3,0)*VLOOKUP('Données projet'!$B$11,Paramètres!$A$1:$I$89,5,0)</f>
        <v>324.32400000000035</v>
      </c>
      <c r="BF203" s="13">
        <f t="shared" si="167"/>
        <v>76.252341944982831</v>
      </c>
      <c r="BG203" s="20">
        <f t="shared" si="168"/>
        <v>697.67046222084571</v>
      </c>
      <c r="BH203" s="59">
        <f t="shared" si="194"/>
        <v>991.00379555417908</v>
      </c>
      <c r="BI203" s="59">
        <f ca="1">AVERAGE(OFFSET($BH$3,0,0,'Données projet'!$E$11+1,1))-AVERAGE(OFFSET($H$3,0,0,'Données projet'!$E$11+1,1))</f>
        <v>310.4018929413723</v>
      </c>
      <c r="BJ203" s="59">
        <f t="shared" si="206"/>
        <v>127.5231137583819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5.2834932940342298E-2</v>
      </c>
      <c r="BR203" s="21">
        <f>EXP(-LN(2)/2)*BR202+(1-EXP(-LN(2)/2))/(LN(2)/2)*BL203*BO203*VLOOKUP('Données projet'!$B$11,Paramètres!$A$1:$I$89,3,0)*0.475*44/12</f>
        <v>2.3084298242680432E-25</v>
      </c>
      <c r="BS203" s="22">
        <f t="shared" si="169"/>
        <v>5.2834932940342298E-2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210.04871822652808</v>
      </c>
      <c r="CE203" s="59">
        <f t="shared" si="207"/>
        <v>250.17540614049324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0.25190444910862525</v>
      </c>
      <c r="CL203" s="21">
        <f>EXP(-LN(2)/25)*CL202+(1-EXP(-LN(2)/25))/(LN(2)/25)*Calculateur!CG203*Calculateur!CI203*VLOOKUP('Données projet'!$B$12,Paramètres!$A$1:$I$89,3,0)*0.475*44/12</f>
        <v>0.2497585540040255</v>
      </c>
      <c r="CM203" s="21">
        <f>EXP(-LN(2)/2)*CM202+(1-EXP(-LN(2)/2))/(LN(2)/2)*CG203*CJ203*VLOOKUP('Données projet'!$B$12,Paramètres!$A$1:$I$89,3,0)*0.475*44/12</f>
        <v>5.5715496527069954E-25</v>
      </c>
      <c r="CN203" s="22">
        <f t="shared" si="172"/>
        <v>0.50166300311265077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1.2709816152101407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1.3477630745024085</v>
      </c>
      <c r="BA205" s="82">
        <f>EXP(LN('Données projet'!B88)/'Données projet'!A88)</f>
        <v>1.2025496037968351</v>
      </c>
      <c r="BV205" s="82">
        <f>EXP(LN('Données projet'!B114)/'Données projet'!A114)</f>
        <v>1.4309690811052556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Châtaignier</v>
      </c>
      <c r="B6" s="146">
        <f>'Données projet'!D9</f>
        <v>3.7640000000000002</v>
      </c>
      <c r="C6" s="147">
        <f ca="1">IF(OR('Données projet'!B9="",'Données projet'!C9="",'Données projet'!C9=0%),0,Calculateur!S3)</f>
        <v>234.09142087023463</v>
      </c>
      <c r="D6" s="147">
        <f>IF(OR('Données projet'!B9="",'Données projet'!C9="",'Données projet'!C9=0%),0,Calculateur!T3)</f>
        <v>278.990685815294</v>
      </c>
      <c r="E6" s="147">
        <f ca="1">MIN(C6,D6)</f>
        <v>234.09142087023463</v>
      </c>
      <c r="F6" s="147">
        <f ca="1">E6*B6</f>
        <v>881.12010815556323</v>
      </c>
      <c r="G6" s="147">
        <f ca="1">F6*(100%-'Données projet'!$C$24)*(100%-'Données projet'!$C$25)*(100%-'Données projet'!$C$26)*(100%-'Données projet'!$C$27)</f>
        <v>793.00809734000688</v>
      </c>
      <c r="H6" s="148">
        <f>IF(OR('Données projet'!B9="",'Données projet'!C9="",'Données projet'!C9=0%),0,AVERAGE(Calculateur!$AC$3:$AC$33)*B6)</f>
        <v>15.75446438398377</v>
      </c>
      <c r="I6" s="149">
        <f>H6*(100%-'Données projet'!$C$24)*(100%-'Données projet'!$C$25)*(100%-'Données projet'!$C$26)*(100%-'Données projet'!$C$27)</f>
        <v>14.179017945585393</v>
      </c>
      <c r="J6" s="150">
        <f>IF(OR('Données projet'!B9="",'Données projet'!C9="",'Données projet'!C9=0%),0,SUM(Calculateur!$V$3:$V$33)*VLOOKUP('Données projet'!$B$9,Paramètres!$A$1:$I$89,9,0)*B6)</f>
        <v>128.917</v>
      </c>
      <c r="K6" s="151">
        <f>J6*(100%-'Données projet'!$C$24)*(100%-'Données projet'!$C$25)*(100%-'Données projet'!$C$26)*(100%-'Données projet'!$C$27)</f>
        <v>116.0253</v>
      </c>
      <c r="L6" s="152">
        <f ca="1">G6+I6+K6</f>
        <v>923.21241528559233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Douglas</v>
      </c>
      <c r="B7" s="154">
        <f>'Données projet'!D10</f>
        <v>11.6684</v>
      </c>
      <c r="C7" s="147">
        <f ca="1">IF(OR('Données projet'!B10="",'Données projet'!C10="",'Données projet'!C10=0%),0,Calculateur!AN3)</f>
        <v>255.5374979188561</v>
      </c>
      <c r="D7" s="147">
        <f>IF(OR('Données projet'!B10="",'Données projet'!C10="",'Données projet'!C10=0%),0,Calculateur!AO3)</f>
        <v>343.10418468620901</v>
      </c>
      <c r="E7" s="147">
        <f t="shared" ref="E7:E15" ca="1" si="0">MIN(C7,D7)</f>
        <v>255.5374979188561</v>
      </c>
      <c r="F7" s="147">
        <f t="shared" ref="F7:F15" ca="1" si="1">E7*B7</f>
        <v>2981.7137407163805</v>
      </c>
      <c r="G7" s="147">
        <f ca="1">F7*(100%-'Données projet'!$C$24)*(100%-'Données projet'!$C$25)*(100%-'Données projet'!$C$26)*(100%-'Données projet'!$C$27)</f>
        <v>2683.5423666447423</v>
      </c>
      <c r="H7" s="155">
        <f>IF(OR('Données projet'!B10="",'Données projet'!C10="",'Données projet'!C10=0%),0,AVERAGE(Calculateur!$AX$3:$AX$33)*B7)</f>
        <v>124.62323857513071</v>
      </c>
      <c r="I7" s="149">
        <f>H7*(100%-'Données projet'!$C$24)*(100%-'Données projet'!$C$25)*(100%-'Données projet'!$C$26)*(100%-'Données projet'!$C$27)</f>
        <v>112.16091471761764</v>
      </c>
      <c r="J7" s="150">
        <f>IF(OR('Données projet'!B10="",'Données projet'!C10="",'Données projet'!C10=0%),0,SUM(Calculateur!$AQ$3:$AQ$33)*VLOOKUP('Données projet'!$B$10,Paramètres!$A$1:$I$89,9,0)*B7)</f>
        <v>891.16956215384596</v>
      </c>
      <c r="K7" s="151">
        <f>J7*(100%-'Données projet'!$C$24)*(100%-'Données projet'!$C$25)*(100%-'Données projet'!$C$26)*(100%-'Données projet'!$C$27)</f>
        <v>802.0526059384614</v>
      </c>
      <c r="L7" s="152">
        <f t="shared" ref="L7:L15" ca="1" si="2">G7+I7+K7</f>
        <v>3597.7558873008215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Hêtre</v>
      </c>
      <c r="B8" s="154">
        <f>'Données projet'!D11</f>
        <v>2.4466000000000001</v>
      </c>
      <c r="C8" s="147">
        <f ca="1">IF(OR('Données projet'!B11="",'Données projet'!C11="",'Données projet'!C11=0%),0,Calculateur!BI3)</f>
        <v>310.4018929413723</v>
      </c>
      <c r="D8" s="147">
        <f>IF(OR('Données projet'!B11="",'Données projet'!C11="",'Données projet'!C11=0%),0,Calculateur!BJ3)</f>
        <v>127.5231137583819</v>
      </c>
      <c r="E8" s="147">
        <f t="shared" ca="1" si="0"/>
        <v>127.5231137583819</v>
      </c>
      <c r="F8" s="147">
        <f t="shared" ca="1" si="1"/>
        <v>311.99805012125717</v>
      </c>
      <c r="G8" s="147">
        <f ca="1">F8*(100%-'Données projet'!$C$24)*(100%-'Données projet'!$C$25)*(100%-'Données projet'!$C$26)*(100%-'Données projet'!$C$27)</f>
        <v>280.79824510913147</v>
      </c>
      <c r="H8" s="155">
        <f>IF(OR('Données projet'!B11="",'Données projet'!C11="",'Données projet'!C11=0%),0,AVERAGE(Calculateur!$BS$3:$BS$33)*B8)</f>
        <v>1.7307118450017711</v>
      </c>
      <c r="I8" s="149">
        <f>H8*(100%-'Données projet'!$C$24)*(100%-'Données projet'!$C$25)*(100%-'Données projet'!$C$26)*(100%-'Données projet'!$C$27)</f>
        <v>1.557640660501594</v>
      </c>
      <c r="J8" s="150">
        <f>IF(OR('Données projet'!B11="",'Données projet'!C11="",'Données projet'!C11=0%),0,SUM(Calculateur!$BL$3:$BL$33)*VLOOKUP('Données projet'!$B$11,Paramètres!$A$1:$I$89,9,0)*B8)</f>
        <v>15.902900000000001</v>
      </c>
      <c r="K8" s="151">
        <f>J8*(100%-'Données projet'!$C$24)*(100%-'Données projet'!$C$25)*(100%-'Données projet'!$C$26)*(100%-'Données projet'!$C$27)</f>
        <v>14.312610000000001</v>
      </c>
      <c r="L8" s="152">
        <f t="shared" ca="1" si="2"/>
        <v>296.66849576963307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0.94100000000000006</v>
      </c>
      <c r="C9" s="147">
        <f ca="1">IF(OR('Données projet'!B12="",'Données projet'!C12="",'Données projet'!C12=0%),0,Calculateur!CD3)</f>
        <v>210.04871822652808</v>
      </c>
      <c r="D9" s="147">
        <f>IF(OR('Données projet'!B12="",'Données projet'!C12="",'Données projet'!C12=0%),0,Calculateur!CE3)</f>
        <v>250.17540614049324</v>
      </c>
      <c r="E9" s="147">
        <f t="shared" ca="1" si="0"/>
        <v>210.04871822652808</v>
      </c>
      <c r="F9" s="147">
        <f t="shared" ca="1" si="1"/>
        <v>197.65584385116293</v>
      </c>
      <c r="G9" s="147">
        <f ca="1">F9*(100%-'Données projet'!$C$24)*(100%-'Données projet'!$C$25)*(100%-'Données projet'!$C$26)*(100%-'Données projet'!$C$27)</f>
        <v>177.89025946604664</v>
      </c>
      <c r="H9" s="155">
        <f>IF(OR('Données projet'!B12="",'Données projet'!C12="",'Données projet'!C12=0%),0,AVERAGE(Calculateur!$CN$3:$CN$33)*B9)</f>
        <v>8.946679883662858</v>
      </c>
      <c r="I9" s="149">
        <f>H9*(100%-'Données projet'!$C$24)*(100%-'Données projet'!$C$25)*(100%-'Données projet'!$C$26)*(100%-'Données projet'!$C$27)</f>
        <v>8.0520118952965731</v>
      </c>
      <c r="J9" s="150">
        <f>IF(OR('Données projet'!B12="",'Données projet'!C12="",'Données projet'!C12=0%),0,SUM(Calculateur!$CG$3:$CG$33)*VLOOKUP('Données projet'!$B$12,Paramètres!$A$1:$I$89,9,0)*B9)</f>
        <v>66.763950000000008</v>
      </c>
      <c r="K9" s="151">
        <f>J9*(100%-'Données projet'!$C$24)*(100%-'Données projet'!$C$25)*(100%-'Données projet'!$C$26)*(100%-'Données projet'!$C$27)</f>
        <v>60.087555000000009</v>
      </c>
      <c r="L9" s="152">
        <f t="shared" ca="1" si="2"/>
        <v>246.02982636134323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4372.4877428443642</v>
      </c>
      <c r="G16" s="166">
        <f t="shared" ca="1" si="3"/>
        <v>3935.2389685599273</v>
      </c>
      <c r="H16" s="167">
        <f t="shared" si="3"/>
        <v>151.0550946877791</v>
      </c>
      <c r="I16" s="167">
        <f t="shared" si="3"/>
        <v>135.94958521900119</v>
      </c>
      <c r="J16" s="168">
        <f t="shared" si="3"/>
        <v>1102.7534121538461</v>
      </c>
      <c r="K16" s="168">
        <f t="shared" si="3"/>
        <v>992.47807093846131</v>
      </c>
      <c r="L16" s="169">
        <f t="shared" ca="1" si="3"/>
        <v>5063.6666247173907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Châtaignier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J34" sqref="J3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Châtaignier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-103.10745951706133</v>
      </c>
      <c r="U10" s="178">
        <f>'Données projet'!D9</f>
        <v>3.7640000000000002</v>
      </c>
      <c r="V10" s="177">
        <f>U10*T10</f>
        <v>-388.09647762221886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5732.6885306945169</v>
      </c>
      <c r="U11" s="178">
        <f>'Données projet'!D10</f>
        <v>11.6684</v>
      </c>
      <c r="V11" s="177">
        <f t="shared" ref="V11" si="0">U11*T11</f>
        <v>66891.302851555898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-651.63050935942601</v>
      </c>
      <c r="U12" s="178">
        <f>'Données projet'!D11</f>
        <v>2.4466000000000001</v>
      </c>
      <c r="V12" s="177">
        <f t="shared" ref="V12:V19" si="1">U12*T12</f>
        <v>-1594.2792041987718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485.11432897633546</v>
      </c>
      <c r="U13" s="178">
        <f>'Données projet'!D12</f>
        <v>0.94100000000000006</v>
      </c>
      <c r="V13" s="177">
        <f t="shared" si="1"/>
        <v>456.4925835667317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Châtaignier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1881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1668.44+60</f>
        <v>1728.44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560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-15565.207994991499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67</v>
      </c>
      <c r="C24" s="193">
        <v>10</v>
      </c>
      <c r="D24" s="182">
        <f t="shared" ref="D24:D42" si="2">B24*C24</f>
        <v>670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1335.1425139394596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70</v>
      </c>
      <c r="C25" s="193">
        <v>15</v>
      </c>
      <c r="D25" s="182">
        <f t="shared" si="2"/>
        <v>1050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-16900.350508930958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70</v>
      </c>
      <c r="C26" s="193">
        <v>20</v>
      </c>
      <c r="D26" s="182">
        <f t="shared" si="2"/>
        <v>1400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43</v>
      </c>
      <c r="C27" s="193">
        <v>30</v>
      </c>
      <c r="D27" s="182">
        <f t="shared" si="2"/>
        <v>1290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30</v>
      </c>
      <c r="C28" s="193">
        <v>35</v>
      </c>
      <c r="D28" s="182">
        <f t="shared" si="2"/>
        <v>1050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26</v>
      </c>
      <c r="C29" s="193">
        <v>45</v>
      </c>
      <c r="D29" s="182">
        <f t="shared" si="2"/>
        <v>1170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342</v>
      </c>
      <c r="C30" s="193">
        <v>70</v>
      </c>
      <c r="D30" s="182">
        <f t="shared" si="2"/>
        <v>23940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1721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17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18</v>
      </c>
      <c r="B55" s="181">
        <f>'Données projet'!D63</f>
        <v>69.284615384615378</v>
      </c>
      <c r="C55" s="191">
        <v>12</v>
      </c>
      <c r="D55" s="179">
        <f t="shared" ref="D55:D73" si="4">B55*C55</f>
        <v>831.41538461538448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24</v>
      </c>
      <c r="B56" s="181">
        <f>'Données projet'!D64</f>
        <v>42.661538461538463</v>
      </c>
      <c r="C56" s="191">
        <v>35</v>
      </c>
      <c r="D56" s="179">
        <f t="shared" si="4"/>
        <v>1493.1538461538462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65.669230769230765</v>
      </c>
      <c r="C57" s="191">
        <v>45</v>
      </c>
      <c r="D57" s="179">
        <f t="shared" si="4"/>
        <v>2955.1153846153843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36</v>
      </c>
      <c r="B58" s="181">
        <f>'Données projet'!D66</f>
        <v>69.3</v>
      </c>
      <c r="C58" s="191">
        <v>50</v>
      </c>
      <c r="D58" s="179">
        <f t="shared" si="4"/>
        <v>3465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42</v>
      </c>
      <c r="B59" s="181">
        <f>'Données projet'!D67</f>
        <v>73.392307692307682</v>
      </c>
      <c r="C59" s="191">
        <v>55</v>
      </c>
      <c r="D59" s="179">
        <f t="shared" si="4"/>
        <v>4036.5769230769224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48</v>
      </c>
      <c r="B60" s="181">
        <f>'Données projet'!D68</f>
        <v>81.330769230769235</v>
      </c>
      <c r="C60" s="191">
        <v>60</v>
      </c>
      <c r="D60" s="179">
        <f t="shared" si="4"/>
        <v>4879.8461538461543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54</v>
      </c>
      <c r="B61" s="181">
        <f>'Données projet'!D69</f>
        <v>566.79999999999995</v>
      </c>
      <c r="C61" s="191">
        <v>80</v>
      </c>
      <c r="D61" s="179">
        <f t="shared" si="4"/>
        <v>45344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1606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4</v>
      </c>
      <c r="C85" s="191"/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22</v>
      </c>
      <c r="C86" s="191">
        <v>15</v>
      </c>
      <c r="D86" s="179">
        <f t="shared" ref="D86:D104" si="6">B86*C86</f>
        <v>330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51</v>
      </c>
      <c r="C87" s="191">
        <v>20</v>
      </c>
      <c r="D87" s="179">
        <f t="shared" si="6"/>
        <v>1020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64</v>
      </c>
      <c r="C88" s="191">
        <v>25</v>
      </c>
      <c r="D88" s="179">
        <f t="shared" si="6"/>
        <v>1600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69</v>
      </c>
      <c r="C89" s="191">
        <v>30</v>
      </c>
      <c r="D89" s="179">
        <f t="shared" si="6"/>
        <v>2070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72</v>
      </c>
      <c r="C90" s="191">
        <v>35</v>
      </c>
      <c r="D90" s="179">
        <f t="shared" si="6"/>
        <v>2520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69</v>
      </c>
      <c r="C91" s="191">
        <v>40</v>
      </c>
      <c r="D91" s="179">
        <f t="shared" si="6"/>
        <v>2760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67</v>
      </c>
      <c r="C92" s="191">
        <v>45</v>
      </c>
      <c r="D92" s="179">
        <f t="shared" si="6"/>
        <v>3015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63</v>
      </c>
      <c r="C93" s="191">
        <v>50</v>
      </c>
      <c r="D93" s="179">
        <f t="shared" si="6"/>
        <v>3150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58</v>
      </c>
      <c r="C94" s="191">
        <v>60</v>
      </c>
      <c r="D94" s="179">
        <f t="shared" si="6"/>
        <v>3480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53</v>
      </c>
      <c r="C95" s="191">
        <v>70</v>
      </c>
      <c r="D95" s="179">
        <f t="shared" si="6"/>
        <v>3710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130</v>
      </c>
      <c r="B96" s="181">
        <f>'Données projet'!D99</f>
        <v>47</v>
      </c>
      <c r="C96" s="191">
        <v>80</v>
      </c>
      <c r="D96" s="179">
        <f t="shared" si="6"/>
        <v>3760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140</v>
      </c>
      <c r="B97" s="181">
        <f>'Données projet'!D100</f>
        <v>41</v>
      </c>
      <c r="C97" s="191">
        <v>90</v>
      </c>
      <c r="D97" s="179">
        <f t="shared" si="6"/>
        <v>3690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150</v>
      </c>
      <c r="B98" s="181">
        <f>'Données projet'!D101</f>
        <v>37</v>
      </c>
      <c r="C98" s="191">
        <v>130</v>
      </c>
      <c r="D98" s="179">
        <f t="shared" si="6"/>
        <v>4810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81</v>
      </c>
      <c r="I101" s="191">
        <v>60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82</v>
      </c>
      <c r="I102" s="191">
        <v>60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83</v>
      </c>
      <c r="I103" s="191">
        <v>60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84</v>
      </c>
      <c r="I104" s="191">
        <v>60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>
        <v>85</v>
      </c>
      <c r="I105" s="191">
        <v>60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>
        <v>86</v>
      </c>
      <c r="I106" s="191">
        <v>60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>
        <v>87</v>
      </c>
      <c r="I107" s="191">
        <v>60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>
        <v>88</v>
      </c>
      <c r="I108" s="191">
        <v>60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89</v>
      </c>
      <c r="I109" s="191">
        <v>60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2111</v>
      </c>
      <c r="F110" s="231"/>
      <c r="G110" s="206"/>
      <c r="H110" s="190">
        <v>90</v>
      </c>
      <c r="I110" s="191">
        <v>60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91</v>
      </c>
      <c r="I111" s="191">
        <v>60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>
        <v>92</v>
      </c>
      <c r="I112" s="191">
        <v>60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93</v>
      </c>
      <c r="I113" s="191">
        <v>60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94</v>
      </c>
      <c r="I114" s="191">
        <v>60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95</v>
      </c>
      <c r="I115" s="191">
        <v>60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>
        <v>96</v>
      </c>
      <c r="I116" s="191">
        <v>60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81</v>
      </c>
      <c r="C117" s="191">
        <v>10</v>
      </c>
      <c r="D117" s="179">
        <f t="shared" ref="D117:D135" si="8">B117*C117</f>
        <v>810</v>
      </c>
      <c r="E117" s="193"/>
      <c r="F117" s="232"/>
      <c r="G117" s="205"/>
      <c r="H117" s="190">
        <v>97</v>
      </c>
      <c r="I117" s="191">
        <v>60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1">
        <v>25</v>
      </c>
      <c r="D118" s="179">
        <f t="shared" si="8"/>
        <v>2100</v>
      </c>
      <c r="E118" s="193"/>
      <c r="F118" s="232"/>
      <c r="G118" s="205"/>
      <c r="H118" s="190">
        <v>98</v>
      </c>
      <c r="I118" s="191">
        <v>60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80</v>
      </c>
      <c r="C119" s="191">
        <v>30</v>
      </c>
      <c r="D119" s="179">
        <f t="shared" si="8"/>
        <v>2400</v>
      </c>
      <c r="E119" s="193"/>
      <c r="F119" s="232"/>
      <c r="G119" s="205"/>
      <c r="H119" s="190">
        <v>99</v>
      </c>
      <c r="I119" s="191">
        <v>60</v>
      </c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65</v>
      </c>
      <c r="C120" s="191">
        <v>35</v>
      </c>
      <c r="D120" s="179">
        <f t="shared" si="8"/>
        <v>2275</v>
      </c>
      <c r="E120" s="193"/>
      <c r="F120" s="232"/>
      <c r="G120" s="205"/>
      <c r="H120" s="190">
        <v>100</v>
      </c>
      <c r="I120" s="191">
        <v>60</v>
      </c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56</v>
      </c>
      <c r="C121" s="191">
        <v>40</v>
      </c>
      <c r="D121" s="179">
        <f t="shared" si="8"/>
        <v>2240</v>
      </c>
      <c r="E121" s="193"/>
      <c r="F121" s="232"/>
      <c r="G121" s="205"/>
      <c r="H121" s="190">
        <v>101</v>
      </c>
      <c r="I121" s="191">
        <v>60</v>
      </c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52</v>
      </c>
      <c r="C122" s="191">
        <v>45</v>
      </c>
      <c r="D122" s="179">
        <f t="shared" si="8"/>
        <v>2340</v>
      </c>
      <c r="E122" s="193"/>
      <c r="F122" s="232"/>
      <c r="G122" s="206"/>
      <c r="H122" s="190">
        <v>102</v>
      </c>
      <c r="I122" s="191">
        <v>60</v>
      </c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433</v>
      </c>
      <c r="C123" s="191">
        <v>60</v>
      </c>
      <c r="D123" s="179">
        <f t="shared" si="8"/>
        <v>25980</v>
      </c>
      <c r="E123" s="193"/>
      <c r="F123" s="232"/>
      <c r="G123" s="206"/>
      <c r="H123" s="190">
        <v>103</v>
      </c>
      <c r="I123" s="191">
        <v>60</v>
      </c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>
        <v>104</v>
      </c>
      <c r="I124" s="191">
        <v>60</v>
      </c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>
        <v>105</v>
      </c>
      <c r="I125" s="191">
        <v>60</v>
      </c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>
        <v>106</v>
      </c>
      <c r="I126" s="191">
        <v>60</v>
      </c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>
        <v>107</v>
      </c>
      <c r="I127" s="191">
        <v>60</v>
      </c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>
        <v>108</v>
      </c>
      <c r="I128" s="191">
        <v>60</v>
      </c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>
        <v>109</v>
      </c>
      <c r="I129" s="191">
        <v>60</v>
      </c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>
        <v>110</v>
      </c>
      <c r="I130" s="191">
        <v>60</v>
      </c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>
        <v>111</v>
      </c>
      <c r="I131" s="191">
        <v>60</v>
      </c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>
        <v>112</v>
      </c>
      <c r="I132" s="191">
        <v>60</v>
      </c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>
        <v>113</v>
      </c>
      <c r="I133" s="191">
        <v>60</v>
      </c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>
        <v>114</v>
      </c>
      <c r="I134" s="191">
        <v>60</v>
      </c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>
        <v>115</v>
      </c>
      <c r="I135" s="191">
        <v>60</v>
      </c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>
        <v>116</v>
      </c>
      <c r="I136" s="191">
        <v>60</v>
      </c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>
        <v>117</v>
      </c>
      <c r="I137" s="191">
        <v>60</v>
      </c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>
        <v>118</v>
      </c>
      <c r="I138" s="191">
        <v>60</v>
      </c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>
        <v>119</v>
      </c>
      <c r="I139" s="191">
        <v>60</v>
      </c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>
        <v>120</v>
      </c>
      <c r="I140" s="191">
        <v>60</v>
      </c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>
        <v>121</v>
      </c>
      <c r="I141" s="191">
        <v>60</v>
      </c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>
        <v>122</v>
      </c>
      <c r="I142" s="191">
        <v>60</v>
      </c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>
        <v>123</v>
      </c>
      <c r="I143" s="191">
        <v>60</v>
      </c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>
        <v>124</v>
      </c>
      <c r="I144" s="191">
        <v>60</v>
      </c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>
        <v>125</v>
      </c>
      <c r="I145" s="191">
        <v>60</v>
      </c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>
        <v>126</v>
      </c>
      <c r="I146" s="191">
        <v>60</v>
      </c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>
        <v>127</v>
      </c>
      <c r="I147" s="191">
        <v>60</v>
      </c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>
        <v>128</v>
      </c>
      <c r="I148" s="191">
        <v>60</v>
      </c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>
        <v>129</v>
      </c>
      <c r="I149" s="191">
        <v>60</v>
      </c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>
        <v>130</v>
      </c>
      <c r="I150" s="191">
        <v>60</v>
      </c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>
        <v>131</v>
      </c>
      <c r="I151" s="191">
        <v>60</v>
      </c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>
        <v>132</v>
      </c>
      <c r="I152" s="191">
        <v>60</v>
      </c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>
        <v>133</v>
      </c>
      <c r="I153" s="191">
        <v>60</v>
      </c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>
        <v>134</v>
      </c>
      <c r="I154" s="191">
        <v>60</v>
      </c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>
        <v>135</v>
      </c>
      <c r="I155" s="191">
        <v>60</v>
      </c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>
        <v>136</v>
      </c>
      <c r="I156" s="191">
        <v>60</v>
      </c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>
        <v>137</v>
      </c>
      <c r="I157" s="191">
        <v>60</v>
      </c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>
        <v>138</v>
      </c>
      <c r="I158" s="191">
        <v>60</v>
      </c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>
        <v>139</v>
      </c>
      <c r="I159" s="191">
        <v>60</v>
      </c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>
        <v>140</v>
      </c>
      <c r="I160" s="191">
        <v>60</v>
      </c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>
        <v>141</v>
      </c>
      <c r="I161" s="191">
        <v>60</v>
      </c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>
        <v>142</v>
      </c>
      <c r="I162" s="191">
        <v>60</v>
      </c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>
        <v>143</v>
      </c>
      <c r="I163" s="191">
        <v>60</v>
      </c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>
        <v>144</v>
      </c>
      <c r="I164" s="191">
        <v>60</v>
      </c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>
        <v>145</v>
      </c>
      <c r="I165" s="191">
        <v>60</v>
      </c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>
        <v>146</v>
      </c>
      <c r="I166" s="191">
        <v>60</v>
      </c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>
        <v>147</v>
      </c>
      <c r="I167" s="191">
        <v>60</v>
      </c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>
        <v>148</v>
      </c>
      <c r="I168" s="191">
        <v>60</v>
      </c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>
        <v>149</v>
      </c>
      <c r="I169" s="191">
        <v>60</v>
      </c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>
        <v>150</v>
      </c>
      <c r="I170" s="191">
        <v>60</v>
      </c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2025-09-26T09:02:58Z</dcterms:modified>
</cp:coreProperties>
</file>